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2022\项目\尚都soho\"/>
    </mc:Choice>
  </mc:AlternateContent>
  <xr:revisionPtr revIDLastSave="0" documentId="13_ncr:1_{73C6268A-F9EC-4DAD-948D-3E515A053C98}" xr6:coauthVersionLast="47" xr6:coauthVersionMax="47" xr10:uidLastSave="{00000000-0000-0000-0000-000000000000}"/>
  <bookViews>
    <workbookView xWindow="9840" yWindow="144" windowWidth="12948" windowHeight="12048" tabRatio="885" firstSheet="11"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concurrentCalc="0"/>
</workbook>
</file>

<file path=xl/calcChain.xml><?xml version="1.0" encoding="utf-8"?>
<calcChain xmlns="http://schemas.openxmlformats.org/spreadsheetml/2006/main">
  <c r="O19" i="64" l="1"/>
  <c r="R14" i="64"/>
  <c r="R13" i="64"/>
  <c r="Q14" i="64"/>
  <c r="Q13" i="64"/>
  <c r="C6" i="11"/>
  <c r="E20" i="1"/>
  <c r="G15" i="61"/>
  <c r="F15" i="61"/>
  <c r="E15" i="61"/>
  <c r="AH5" i="59"/>
  <c r="AG5" i="59"/>
  <c r="AE5" i="59"/>
  <c r="AF5" i="59"/>
  <c r="AD5" i="59"/>
  <c r="Q5" i="59"/>
  <c r="P5" i="59"/>
  <c r="O5" i="59"/>
  <c r="N5" i="59"/>
  <c r="AH6" i="59"/>
  <c r="AG6" i="59"/>
  <c r="AE6" i="59"/>
  <c r="AF6" i="59"/>
  <c r="AD6" i="59"/>
  <c r="Q6" i="59"/>
  <c r="P6" i="59"/>
  <c r="O6" i="59"/>
  <c r="N6" i="59"/>
  <c r="AH7" i="59"/>
  <c r="AG7" i="59"/>
  <c r="AE7" i="59"/>
  <c r="AF7" i="59"/>
  <c r="AD7" i="59"/>
  <c r="Q7" i="59"/>
  <c r="P7" i="59"/>
  <c r="O7" i="59"/>
  <c r="N7" i="59"/>
  <c r="AH8" i="59"/>
  <c r="AG8" i="59"/>
  <c r="AE8" i="59"/>
  <c r="AF8" i="59"/>
  <c r="AD8" i="59"/>
  <c r="Q8" i="59"/>
  <c r="P8" i="59"/>
  <c r="O8" i="59"/>
  <c r="N8" i="59"/>
  <c r="G16" i="61"/>
  <c r="F16" i="61"/>
  <c r="E16" i="61"/>
  <c r="G17" i="61"/>
  <c r="F17" i="61"/>
  <c r="E17" i="61"/>
  <c r="AH9" i="59"/>
  <c r="AG9" i="59"/>
  <c r="AE9" i="59"/>
  <c r="AF9" i="59"/>
  <c r="AD9" i="59"/>
  <c r="Q9" i="59"/>
  <c r="P9" i="59"/>
  <c r="O9" i="59"/>
  <c r="N9" i="59"/>
  <c r="R43" i="63"/>
  <c r="R40" i="63"/>
  <c r="R41" i="63"/>
  <c r="F36" i="63"/>
  <c r="R34" i="63"/>
  <c r="R33" i="63"/>
  <c r="C30" i="63"/>
  <c r="R27" i="63"/>
  <c r="M24" i="63"/>
  <c r="R23" i="63"/>
  <c r="C23" i="63"/>
  <c r="D23" i="63"/>
  <c r="D38" i="63"/>
  <c r="D39" i="63"/>
  <c r="R22" i="63"/>
  <c r="R21" i="63"/>
  <c r="N19" i="63"/>
  <c r="R18" i="63"/>
  <c r="D18" i="63"/>
  <c r="R17" i="63"/>
  <c r="D17" i="63"/>
  <c r="R16" i="63"/>
  <c r="D16" i="63"/>
  <c r="D15" i="63"/>
  <c r="M14" i="63"/>
  <c r="N14" i="63"/>
  <c r="D14" i="63"/>
  <c r="R13" i="63"/>
  <c r="R12" i="63"/>
  <c r="D12" i="63"/>
  <c r="R11" i="63"/>
  <c r="R10" i="63"/>
  <c r="D10" i="63"/>
  <c r="R9" i="63"/>
  <c r="D9" i="63"/>
  <c r="R8" i="63"/>
  <c r="R7" i="63"/>
  <c r="R4" i="63"/>
  <c r="R3" i="63"/>
  <c r="D11" i="63"/>
  <c r="E11" i="63"/>
  <c r="E7" i="63"/>
  <c r="C27" i="63"/>
  <c r="D7" i="63"/>
  <c r="C26" i="63"/>
  <c r="R14" i="63"/>
  <c r="R24" i="63"/>
  <c r="E23" i="63"/>
  <c r="D26" i="63"/>
  <c r="C29" i="63"/>
  <c r="C32" i="63"/>
  <c r="C38" i="63"/>
  <c r="C39" i="63"/>
  <c r="R35" i="63"/>
  <c r="U34" i="63"/>
  <c r="D29" i="63"/>
  <c r="D32" i="63"/>
  <c r="AH10" i="59"/>
  <c r="AG10" i="59"/>
  <c r="AE10" i="59"/>
  <c r="AF10" i="59"/>
  <c r="AD10" i="59"/>
  <c r="Q10" i="59"/>
  <c r="P10" i="59"/>
  <c r="O10" i="59"/>
  <c r="N10" i="59"/>
  <c r="R25" i="63"/>
  <c r="R19" i="63"/>
  <c r="E26" i="63"/>
  <c r="E38" i="63"/>
  <c r="E39" i="63"/>
  <c r="C40" i="63"/>
  <c r="E29" i="63"/>
  <c r="E32" i="63"/>
  <c r="AH11" i="59"/>
  <c r="AG11" i="59"/>
  <c r="AE11" i="59"/>
  <c r="AF11" i="59"/>
  <c r="AD11" i="59"/>
  <c r="Q11" i="59"/>
  <c r="P11" i="59"/>
  <c r="O11" i="59"/>
  <c r="N11" i="59"/>
  <c r="R5" i="63"/>
  <c r="U5" i="63"/>
  <c r="C41" i="63"/>
  <c r="B2" i="63"/>
  <c r="B3" i="63"/>
  <c r="E20" i="43"/>
  <c r="AH12" i="59"/>
  <c r="AG12" i="59"/>
  <c r="AE12" i="59"/>
  <c r="AF12" i="59"/>
  <c r="AD12" i="59"/>
  <c r="Q12" i="59"/>
  <c r="P12" i="59"/>
  <c r="O12" i="59"/>
  <c r="N12" i="59"/>
  <c r="D29" i="43"/>
  <c r="G13" i="61"/>
  <c r="F13" i="61"/>
  <c r="E13" i="61"/>
  <c r="G18" i="61"/>
  <c r="F18" i="61"/>
  <c r="E18" i="61"/>
  <c r="G19" i="61"/>
  <c r="F19" i="61"/>
  <c r="E19" i="61"/>
  <c r="E20" i="61"/>
  <c r="F20" i="61"/>
  <c r="G20" i="61"/>
  <c r="G21" i="61"/>
  <c r="F21" i="61"/>
  <c r="E21" i="61"/>
  <c r="AH13" i="59"/>
  <c r="AG13" i="59"/>
  <c r="AE13" i="59"/>
  <c r="AF13" i="59"/>
  <c r="AD13" i="59"/>
  <c r="Q13" i="59"/>
  <c r="P13" i="59"/>
  <c r="O13" i="59"/>
  <c r="N13" i="59"/>
  <c r="AH14" i="59"/>
  <c r="AG14" i="59"/>
  <c r="AE14" i="59"/>
  <c r="AF14" i="59"/>
  <c r="AD14" i="59"/>
  <c r="Q14" i="59"/>
  <c r="P14" i="59"/>
  <c r="O14" i="59"/>
  <c r="N14" i="59"/>
  <c r="D15" i="48"/>
  <c r="I1" i="4"/>
  <c r="F61" i="57"/>
  <c r="F59" i="9"/>
  <c r="E61" i="57"/>
  <c r="K42" i="40"/>
  <c r="K47" i="39"/>
  <c r="K36" i="36"/>
  <c r="K38" i="35"/>
  <c r="K42" i="37"/>
  <c r="K49" i="34"/>
  <c r="K48" i="33"/>
  <c r="K48" i="21"/>
  <c r="E59" i="9"/>
  <c r="B14" i="62"/>
  <c r="A14" i="55"/>
  <c r="I108" i="57"/>
  <c r="I106" i="9"/>
  <c r="AH15" i="59"/>
  <c r="AG15" i="59"/>
  <c r="AE15" i="59"/>
  <c r="AF15" i="59"/>
  <c r="AD15" i="59"/>
  <c r="Q15" i="59"/>
  <c r="P15" i="59"/>
  <c r="O15" i="59"/>
  <c r="N15" i="59"/>
  <c r="AH16" i="59"/>
  <c r="AG16" i="59"/>
  <c r="AE16" i="59"/>
  <c r="AF16" i="59"/>
  <c r="AD16" i="59"/>
  <c r="Q16" i="59"/>
  <c r="P16" i="59"/>
  <c r="O16" i="59"/>
  <c r="N16" i="59"/>
  <c r="O18" i="59"/>
  <c r="N18" i="59"/>
  <c r="AH17" i="59"/>
  <c r="AG17" i="59"/>
  <c r="AE17" i="59"/>
  <c r="AF17" i="59"/>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c r="K3" i="59"/>
  <c r="AG3" i="59"/>
  <c r="J3" i="59"/>
  <c r="AE3" i="59"/>
  <c r="I3" i="59"/>
  <c r="AD3" i="59"/>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c r="B24" i="1"/>
  <c r="E1" i="61"/>
  <c r="J50" i="15"/>
  <c r="J51" i="15"/>
  <c r="B26" i="1"/>
  <c r="AH24" i="59"/>
  <c r="AG24" i="59"/>
  <c r="AE24" i="59"/>
  <c r="AF24" i="59"/>
  <c r="AD24" i="59"/>
  <c r="AH25" i="59"/>
  <c r="AG25" i="59"/>
  <c r="AE25" i="59"/>
  <c r="AF25" i="59"/>
  <c r="AD25" i="59"/>
  <c r="Q25" i="59"/>
  <c r="P25" i="59"/>
  <c r="O25" i="59"/>
  <c r="C25" i="59"/>
  <c r="N25" i="59"/>
  <c r="Q26" i="59"/>
  <c r="P26" i="59"/>
  <c r="O26" i="59"/>
  <c r="N26" i="59"/>
  <c r="D26" i="59"/>
  <c r="E25" i="59"/>
  <c r="E24" i="59"/>
  <c r="E23" i="59"/>
  <c r="E22" i="59"/>
  <c r="E21" i="59"/>
  <c r="E20" i="59"/>
  <c r="E19" i="59"/>
  <c r="E18" i="59"/>
  <c r="E17" i="59"/>
  <c r="F25" i="59"/>
  <c r="V25" i="59"/>
  <c r="A2" i="50"/>
  <c r="K60" i="15"/>
  <c r="P59" i="15"/>
  <c r="A127" i="57"/>
  <c r="A6" i="52"/>
  <c r="B64" i="60"/>
  <c r="A123" i="9"/>
  <c r="A16" i="54"/>
  <c r="B14" i="60"/>
  <c r="A14" i="54"/>
  <c r="B12" i="60"/>
  <c r="A19" i="55"/>
  <c r="B49" i="60"/>
  <c r="A13" i="55"/>
  <c r="B43" i="60"/>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28" i="59"/>
  <c r="Y28" i="59"/>
  <c r="Z28" i="59"/>
  <c r="P28" i="59"/>
  <c r="Q28" i="59"/>
  <c r="AB27"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F40" i="59"/>
  <c r="AD40" i="59"/>
  <c r="AD41" i="59"/>
  <c r="AE41" i="59"/>
  <c r="AF41" i="59"/>
  <c r="AG41" i="59"/>
  <c r="AH41" i="59"/>
  <c r="S5" i="31"/>
  <c r="M5" i="31"/>
  <c r="N5" i="31"/>
  <c r="O5" i="31"/>
  <c r="P5" i="31"/>
  <c r="Q5" i="31"/>
  <c r="R5" i="31"/>
  <c r="C1" i="61"/>
  <c r="L1" i="61"/>
  <c r="B68" i="60"/>
  <c r="D28" i="57"/>
  <c r="D29" i="57"/>
  <c r="D28" i="9"/>
  <c r="D29" i="9"/>
  <c r="A10" i="54"/>
  <c r="B9" i="60"/>
  <c r="Y12" i="43"/>
  <c r="Y10" i="43"/>
  <c r="AJ9" i="43"/>
  <c r="AJ10" i="43"/>
  <c r="AJ12" i="43"/>
  <c r="AI9" i="43"/>
  <c r="AI12" i="43"/>
  <c r="AH9" i="43"/>
  <c r="AH12" i="43"/>
  <c r="AG9" i="43"/>
  <c r="AG10" i="43"/>
  <c r="AG12" i="43"/>
  <c r="AF9" i="43"/>
  <c r="AF12" i="43"/>
  <c r="AE9" i="43"/>
  <c r="AE12" i="43"/>
  <c r="AD9" i="43"/>
  <c r="AD10" i="43"/>
  <c r="AC9" i="43"/>
  <c r="AC12" i="43"/>
  <c r="AB9" i="43"/>
  <c r="AB12" i="43"/>
  <c r="AA9" i="43"/>
  <c r="AA10" i="43"/>
  <c r="Z9" i="43"/>
  <c r="Z12" i="43"/>
  <c r="AE10" i="43"/>
  <c r="AI10" i="43"/>
  <c r="AB10" i="43"/>
  <c r="AF10" i="43"/>
  <c r="AH10" i="43"/>
  <c r="L51" i="57"/>
  <c r="L49" i="9"/>
  <c r="F112" i="57"/>
  <c r="A116" i="57"/>
  <c r="A129" i="57"/>
  <c r="A112" i="9"/>
  <c r="A125" i="9"/>
  <c r="F110" i="9"/>
  <c r="F116" i="57"/>
  <c r="A133" i="57"/>
  <c r="A120" i="57"/>
  <c r="A116" i="9"/>
  <c r="F114" i="57"/>
  <c r="A118" i="57"/>
  <c r="A131" i="57"/>
  <c r="A114" i="9"/>
  <c r="A127" i="9"/>
  <c r="F114" i="9"/>
  <c r="A129" i="9"/>
  <c r="F112" i="9"/>
  <c r="B45" i="50"/>
  <c r="B59" i="60"/>
  <c r="D2" i="52"/>
  <c r="B60" i="60"/>
  <c r="B18" i="50"/>
  <c r="B10" i="50"/>
  <c r="B31" i="50"/>
  <c r="C6" i="50"/>
  <c r="B18" i="60"/>
  <c r="A13" i="54"/>
  <c r="B51" i="60"/>
  <c r="B50" i="60"/>
  <c r="B47" i="60"/>
  <c r="B16" i="60"/>
  <c r="B51" i="10"/>
  <c r="A15" i="55"/>
  <c r="B45" i="60"/>
  <c r="B44" i="60"/>
  <c r="C10" i="50"/>
  <c r="B24" i="60"/>
  <c r="C7" i="50"/>
  <c r="C15" i="50"/>
  <c r="C35" i="50"/>
  <c r="C34" i="50"/>
  <c r="C33" i="50"/>
  <c r="B13" i="60"/>
  <c r="C42" i="50"/>
  <c r="C36" i="50"/>
  <c r="C39" i="50"/>
  <c r="I19" i="43"/>
  <c r="A136" i="57"/>
  <c r="F119" i="57"/>
  <c r="D90" i="59"/>
  <c r="F89" i="59"/>
  <c r="F88" i="59"/>
  <c r="F87" i="59"/>
  <c r="E89" i="59"/>
  <c r="E88" i="59"/>
  <c r="E87" i="59"/>
  <c r="C89" i="59"/>
  <c r="D89" i="59"/>
  <c r="B89" i="59"/>
  <c r="B88" i="59"/>
  <c r="B87" i="59"/>
  <c r="D86" i="59"/>
  <c r="F85" i="59"/>
  <c r="F84" i="59"/>
  <c r="F83" i="59"/>
  <c r="E85" i="59"/>
  <c r="E84" i="59"/>
  <c r="E83" i="59"/>
  <c r="C85" i="59"/>
  <c r="D85" i="59"/>
  <c r="B85" i="59"/>
  <c r="B84" i="59"/>
  <c r="B83" i="59"/>
  <c r="D82" i="59"/>
  <c r="S81" i="59"/>
  <c r="Q81" i="59"/>
  <c r="P81" i="59"/>
  <c r="O81" i="59"/>
  <c r="N81" i="59"/>
  <c r="F81" i="59"/>
  <c r="F80" i="59"/>
  <c r="F79" i="59"/>
  <c r="E81" i="59"/>
  <c r="U81" i="59"/>
  <c r="C81" i="59"/>
  <c r="T81" i="59"/>
  <c r="B81" i="59"/>
  <c r="B80" i="59"/>
  <c r="B79" i="59"/>
  <c r="Q80" i="59"/>
  <c r="P80" i="59"/>
  <c r="O80" i="59"/>
  <c r="N80" i="59"/>
  <c r="Q79" i="59"/>
  <c r="P79" i="59"/>
  <c r="O79" i="59"/>
  <c r="N79" i="59"/>
  <c r="Q78" i="59"/>
  <c r="P78" i="59"/>
  <c r="O78" i="59"/>
  <c r="N78" i="59"/>
  <c r="D78" i="59"/>
  <c r="Q77" i="59"/>
  <c r="P77" i="59"/>
  <c r="O77" i="59"/>
  <c r="N77" i="59"/>
  <c r="F77" i="59"/>
  <c r="F76" i="59"/>
  <c r="F75" i="59"/>
  <c r="E77" i="59"/>
  <c r="E76" i="59"/>
  <c r="E75" i="59"/>
  <c r="C77" i="59"/>
  <c r="T77" i="59"/>
  <c r="B77" i="59"/>
  <c r="S77" i="59"/>
  <c r="Q76" i="59"/>
  <c r="P76" i="59"/>
  <c r="O76" i="59"/>
  <c r="N76" i="59"/>
  <c r="Q75" i="59"/>
  <c r="P75" i="59"/>
  <c r="O75" i="59"/>
  <c r="N75" i="59"/>
  <c r="Q74" i="59"/>
  <c r="P74" i="59"/>
  <c r="O74" i="59"/>
  <c r="N74" i="59"/>
  <c r="D74" i="59"/>
  <c r="Q73" i="59"/>
  <c r="P73" i="59"/>
  <c r="O73" i="59"/>
  <c r="N73" i="59"/>
  <c r="F73" i="59"/>
  <c r="V73" i="59"/>
  <c r="E73" i="59"/>
  <c r="U73" i="59"/>
  <c r="C73" i="59"/>
  <c r="T73" i="59"/>
  <c r="B73" i="59"/>
  <c r="S73" i="59"/>
  <c r="Q72" i="59"/>
  <c r="P72" i="59"/>
  <c r="O72" i="59"/>
  <c r="N72" i="59"/>
  <c r="Q71" i="59"/>
  <c r="P71" i="59"/>
  <c r="O71" i="59"/>
  <c r="N71" i="59"/>
  <c r="Q70" i="59"/>
  <c r="P70" i="59"/>
  <c r="O70" i="59"/>
  <c r="N70" i="59"/>
  <c r="D70" i="59"/>
  <c r="P69" i="59"/>
  <c r="F69" i="59"/>
  <c r="V69" i="59"/>
  <c r="E69" i="59"/>
  <c r="E68" i="59"/>
  <c r="C69" i="59"/>
  <c r="O69" i="59"/>
  <c r="B69" i="59"/>
  <c r="N69" i="59"/>
  <c r="D66" i="59"/>
  <c r="Q65" i="59"/>
  <c r="P65" i="59"/>
  <c r="O65" i="59"/>
  <c r="N65" i="59"/>
  <c r="Q64" i="59"/>
  <c r="P64" i="59"/>
  <c r="O64" i="59"/>
  <c r="N64" i="59"/>
  <c r="Q63" i="59"/>
  <c r="P63" i="59"/>
  <c r="O63" i="59"/>
  <c r="N63" i="59"/>
  <c r="Q62" i="59"/>
  <c r="F63" i="59"/>
  <c r="F64" i="59"/>
  <c r="P62" i="59"/>
  <c r="E63" i="59"/>
  <c r="E64" i="59"/>
  <c r="E65" i="59"/>
  <c r="U65" i="59"/>
  <c r="O62" i="59"/>
  <c r="C63" i="59"/>
  <c r="N62" i="59"/>
  <c r="B63" i="59"/>
  <c r="B64" i="59"/>
  <c r="B65" i="59"/>
  <c r="S65" i="59"/>
  <c r="D62" i="59"/>
  <c r="Q61" i="59"/>
  <c r="P61" i="59"/>
  <c r="O61" i="59"/>
  <c r="N61" i="59"/>
  <c r="Q60" i="59"/>
  <c r="P60" i="59"/>
  <c r="O60" i="59"/>
  <c r="N60" i="59"/>
  <c r="Q59" i="59"/>
  <c r="P59" i="59"/>
  <c r="O59" i="59"/>
  <c r="N59" i="59"/>
  <c r="Q58" i="59"/>
  <c r="F59" i="59"/>
  <c r="F60" i="59"/>
  <c r="P58" i="59"/>
  <c r="E59" i="59"/>
  <c r="O58" i="59"/>
  <c r="C59" i="59"/>
  <c r="N58" i="59"/>
  <c r="B59" i="59"/>
  <c r="B60" i="59"/>
  <c r="B61" i="59"/>
  <c r="S61" i="59"/>
  <c r="D58" i="59"/>
  <c r="Q57" i="59"/>
  <c r="P57" i="59"/>
  <c r="O57" i="59"/>
  <c r="N57" i="59"/>
  <c r="Q56" i="59"/>
  <c r="P56" i="59"/>
  <c r="O56" i="59"/>
  <c r="N56" i="59"/>
  <c r="Q55" i="59"/>
  <c r="P55" i="59"/>
  <c r="O55" i="59"/>
  <c r="N55" i="59"/>
  <c r="C55" i="59"/>
  <c r="D55" i="59"/>
  <c r="Q54" i="59"/>
  <c r="F55" i="59"/>
  <c r="F56" i="59"/>
  <c r="F57" i="59"/>
  <c r="V57" i="59"/>
  <c r="P54" i="59"/>
  <c r="E55" i="59"/>
  <c r="E56" i="59"/>
  <c r="E57" i="59"/>
  <c r="U57" i="59"/>
  <c r="O54" i="59"/>
  <c r="N54" i="59"/>
  <c r="B55" i="59"/>
  <c r="B56" i="59"/>
  <c r="B57" i="59"/>
  <c r="S57" i="59"/>
  <c r="D54" i="59"/>
  <c r="Q53" i="59"/>
  <c r="P53" i="59"/>
  <c r="O53" i="59"/>
  <c r="N53" i="59"/>
  <c r="Q52" i="59"/>
  <c r="P52" i="59"/>
  <c r="O52" i="59"/>
  <c r="N52" i="59"/>
  <c r="Q51" i="59"/>
  <c r="P51" i="59"/>
  <c r="O51" i="59"/>
  <c r="N51" i="59"/>
  <c r="Q50" i="59"/>
  <c r="F51" i="59"/>
  <c r="P50" i="59"/>
  <c r="E51" i="59"/>
  <c r="E52" i="59"/>
  <c r="O50" i="59"/>
  <c r="C51" i="59"/>
  <c r="C52" i="59"/>
  <c r="N50" i="59"/>
  <c r="B51" i="59"/>
  <c r="B52" i="59"/>
  <c r="B53" i="59"/>
  <c r="S53" i="59"/>
  <c r="D50" i="59"/>
  <c r="T49" i="59"/>
  <c r="Q49" i="59"/>
  <c r="P49" i="59"/>
  <c r="O49" i="59"/>
  <c r="N49" i="59"/>
  <c r="D49" i="59"/>
  <c r="Q48" i="59"/>
  <c r="P48" i="59"/>
  <c r="O48" i="59"/>
  <c r="N48" i="59"/>
  <c r="Q47" i="59"/>
  <c r="P47" i="59"/>
  <c r="O47" i="59"/>
  <c r="N47" i="59"/>
  <c r="Q46" i="59"/>
  <c r="F47" i="59"/>
  <c r="F48" i="59"/>
  <c r="F49" i="59"/>
  <c r="V49" i="59"/>
  <c r="P46" i="59"/>
  <c r="E47" i="59"/>
  <c r="O46" i="59"/>
  <c r="C47" i="59"/>
  <c r="N46" i="59"/>
  <c r="B47" i="59"/>
  <c r="D46" i="59"/>
  <c r="Q45" i="59"/>
  <c r="P45" i="59"/>
  <c r="O45" i="59"/>
  <c r="N45" i="59"/>
  <c r="Q44" i="59"/>
  <c r="P44" i="59"/>
  <c r="O44" i="59"/>
  <c r="N44" i="59"/>
  <c r="Q43" i="59"/>
  <c r="P43" i="59"/>
  <c r="O43" i="59"/>
  <c r="N43" i="59"/>
  <c r="Q42" i="59"/>
  <c r="F43" i="59"/>
  <c r="F44" i="59"/>
  <c r="F45" i="59"/>
  <c r="V45" i="59"/>
  <c r="P42" i="59"/>
  <c r="E43" i="59"/>
  <c r="E44" i="59"/>
  <c r="O42" i="59"/>
  <c r="C43" i="59"/>
  <c r="C44" i="59"/>
  <c r="N42" i="59"/>
  <c r="B43" i="59"/>
  <c r="B44" i="59"/>
  <c r="B45" i="59"/>
  <c r="S45" i="59"/>
  <c r="D42" i="59"/>
  <c r="Q41" i="59"/>
  <c r="P41" i="59"/>
  <c r="O41" i="59"/>
  <c r="N41" i="59"/>
  <c r="Q40" i="59"/>
  <c r="P40" i="59"/>
  <c r="AA40" i="59"/>
  <c r="O40" i="59"/>
  <c r="Y40" i="59"/>
  <c r="Z40" i="59"/>
  <c r="N40" i="59"/>
  <c r="X40" i="59"/>
  <c r="Q39" i="59"/>
  <c r="AB39" i="59"/>
  <c r="P39" i="59"/>
  <c r="AA39" i="59"/>
  <c r="O39" i="59"/>
  <c r="N39" i="59"/>
  <c r="X39" i="59"/>
  <c r="Q38" i="59"/>
  <c r="F39" i="59"/>
  <c r="F40" i="59"/>
  <c r="P38" i="59"/>
  <c r="E39" i="59"/>
  <c r="E40" i="59"/>
  <c r="E41" i="59"/>
  <c r="O38" i="59"/>
  <c r="C39" i="59"/>
  <c r="C40" i="59"/>
  <c r="N38" i="59"/>
  <c r="X38" i="59"/>
  <c r="D38" i="59"/>
  <c r="Q37" i="59"/>
  <c r="P37" i="59"/>
  <c r="AA37" i="59"/>
  <c r="O37" i="59"/>
  <c r="N37" i="59"/>
  <c r="Q36" i="59"/>
  <c r="P36" i="59"/>
  <c r="O36" i="59"/>
  <c r="Y36" i="59"/>
  <c r="Z36" i="59"/>
  <c r="N36" i="59"/>
  <c r="Q35" i="59"/>
  <c r="P35" i="59"/>
  <c r="O35" i="59"/>
  <c r="N35" i="59"/>
  <c r="Q34" i="59"/>
  <c r="P34" i="59"/>
  <c r="O34" i="59"/>
  <c r="C35" i="59"/>
  <c r="N34" i="59"/>
  <c r="B35" i="59"/>
  <c r="D34" i="59"/>
  <c r="Q33" i="59"/>
  <c r="AB31" i="59"/>
  <c r="P33" i="59"/>
  <c r="O33" i="59"/>
  <c r="N33" i="59"/>
  <c r="Q32" i="59"/>
  <c r="P32" i="59"/>
  <c r="O32" i="59"/>
  <c r="N32" i="59"/>
  <c r="Q31" i="59"/>
  <c r="P31" i="59"/>
  <c r="O31" i="59"/>
  <c r="N31" i="59"/>
  <c r="Q30" i="59"/>
  <c r="AB3" i="59"/>
  <c r="P30" i="59"/>
  <c r="E31" i="59"/>
  <c r="E32" i="59"/>
  <c r="O30" i="59"/>
  <c r="Y30" i="59"/>
  <c r="Z30" i="59"/>
  <c r="N30" i="59"/>
  <c r="X30" i="59"/>
  <c r="D30" i="59"/>
  <c r="O29" i="59"/>
  <c r="N29" i="59"/>
  <c r="B29" i="59"/>
  <c r="X26" i="59"/>
  <c r="D39" i="59"/>
  <c r="P29" i="59"/>
  <c r="AA26" i="59"/>
  <c r="Q29" i="59"/>
  <c r="F29" i="59"/>
  <c r="T69" i="59"/>
  <c r="C68" i="59"/>
  <c r="C67" i="59"/>
  <c r="D73" i="59"/>
  <c r="C76" i="59"/>
  <c r="D76" i="59"/>
  <c r="D77" i="59"/>
  <c r="C80" i="59"/>
  <c r="D80" i="59"/>
  <c r="D81" i="59"/>
  <c r="C88" i="59"/>
  <c r="C87" i="59"/>
  <c r="D87" i="59"/>
  <c r="E29" i="59"/>
  <c r="E28" i="59"/>
  <c r="E27" i="59"/>
  <c r="B66" i="43"/>
  <c r="Q25" i="40"/>
  <c r="Z25" i="40"/>
  <c r="D93" i="40"/>
  <c r="E93" i="40"/>
  <c r="F93" i="40"/>
  <c r="G93" i="40"/>
  <c r="H25" i="40"/>
  <c r="U25" i="40"/>
  <c r="F25" i="40"/>
  <c r="AA25" i="40"/>
  <c r="Q27" i="39"/>
  <c r="Z27" i="39"/>
  <c r="D100" i="39"/>
  <c r="E100" i="39"/>
  <c r="F100" i="39"/>
  <c r="G100" i="39"/>
  <c r="Q18" i="36"/>
  <c r="Z18" i="36"/>
  <c r="F18" i="36"/>
  <c r="S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S21" i="37"/>
  <c r="C21" i="37"/>
  <c r="Q21" i="34"/>
  <c r="Z21" i="34"/>
  <c r="D84" i="34"/>
  <c r="E84" i="34"/>
  <c r="F84" i="34"/>
  <c r="F21" i="34"/>
  <c r="AA21" i="34"/>
  <c r="C21" i="34"/>
  <c r="Q21" i="33"/>
  <c r="Z21" i="33"/>
  <c r="D83" i="33"/>
  <c r="E83" i="33"/>
  <c r="F83" i="33"/>
  <c r="G83" i="33"/>
  <c r="H21" i="33"/>
  <c r="U21" i="33"/>
  <c r="F21" i="33"/>
  <c r="AA21" i="33"/>
  <c r="C21" i="33"/>
  <c r="Q21" i="21"/>
  <c r="Z21" i="21"/>
  <c r="D83" i="21"/>
  <c r="E83" i="21"/>
  <c r="F83" i="21"/>
  <c r="F21" i="21"/>
  <c r="AA21" i="21"/>
  <c r="C21" i="21"/>
  <c r="G20" i="20"/>
  <c r="C25" i="40"/>
  <c r="C22" i="20"/>
  <c r="B55" i="43"/>
  <c r="J25" i="40"/>
  <c r="J27" i="39"/>
  <c r="H27" i="39"/>
  <c r="F27" i="39"/>
  <c r="H18" i="36"/>
  <c r="J18" i="36"/>
  <c r="J21" i="37"/>
  <c r="H21" i="34"/>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7" i="40"/>
  <c r="C57" i="40"/>
  <c r="M19" i="15"/>
  <c r="M24" i="15"/>
  <c r="M22" i="15"/>
  <c r="J15" i="15"/>
  <c r="M23" i="15"/>
  <c r="F9" i="15"/>
  <c r="C2" i="11"/>
  <c r="F2" i="11"/>
  <c r="C7" i="12"/>
  <c r="C8" i="12"/>
  <c r="C4" i="12"/>
  <c r="D20" i="12"/>
  <c r="D19" i="12"/>
  <c r="D17" i="12"/>
  <c r="D14" i="12"/>
  <c r="C2" i="12"/>
  <c r="B25" i="1"/>
  <c r="F11" i="12"/>
  <c r="F28" i="12"/>
  <c r="B6" i="50"/>
  <c r="B17" i="60"/>
  <c r="B1" i="4"/>
  <c r="B9" i="49"/>
  <c r="B2" i="60"/>
  <c r="G56" i="40"/>
  <c r="C56" i="40"/>
  <c r="G55" i="40"/>
  <c r="C55" i="40"/>
  <c r="B21" i="50"/>
  <c r="B42" i="50"/>
  <c r="D1" i="43"/>
  <c r="F113" i="43"/>
  <c r="N99" i="43"/>
  <c r="N100" i="43"/>
  <c r="M99" i="43"/>
  <c r="M100" i="43"/>
  <c r="M108" i="43"/>
  <c r="L99" i="43"/>
  <c r="L108" i="43"/>
  <c r="K99" i="43"/>
  <c r="K100" i="43"/>
  <c r="J99" i="43"/>
  <c r="J100" i="43"/>
  <c r="J108" i="43"/>
  <c r="I99" i="43"/>
  <c r="I108" i="43"/>
  <c r="H99" i="43"/>
  <c r="H108" i="43"/>
  <c r="G99" i="43"/>
  <c r="G108" i="43"/>
  <c r="F99" i="43"/>
  <c r="F108" i="43"/>
  <c r="E99" i="43"/>
  <c r="E100" i="43"/>
  <c r="D99" i="43"/>
  <c r="D100" i="43"/>
  <c r="C99" i="43"/>
  <c r="C108" i="43"/>
  <c r="C100" i="43"/>
  <c r="G100" i="43"/>
  <c r="F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E13"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V27" i="31"/>
  <c r="D115" i="57"/>
  <c r="D114" i="57"/>
  <c r="D113" i="57"/>
  <c r="I110" i="57"/>
  <c r="I107" i="57"/>
  <c r="D127" i="57"/>
  <c r="I109" i="57"/>
  <c r="D102" i="57"/>
  <c r="C102" i="57"/>
  <c r="C93" i="57"/>
  <c r="E92" i="57"/>
  <c r="D91" i="57"/>
  <c r="C91" i="57"/>
  <c r="C89" i="57"/>
  <c r="H79" i="57"/>
  <c r="D79" i="57"/>
  <c r="P57" i="57"/>
  <c r="O57" i="57"/>
  <c r="F58" i="57"/>
  <c r="P56" i="57"/>
  <c r="L57" i="57"/>
  <c r="I57" i="57"/>
  <c r="F57" i="57"/>
  <c r="P55" i="57"/>
  <c r="O56" i="57"/>
  <c r="O55" i="57"/>
  <c r="E50" i="57"/>
  <c r="O54" i="57"/>
  <c r="D27" i="57"/>
  <c r="C24" i="57"/>
  <c r="H19" i="57"/>
  <c r="D17" i="57"/>
  <c r="C17" i="57"/>
  <c r="M4" i="57"/>
  <c r="L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H16" i="48"/>
  <c r="D16" i="48"/>
  <c r="B21" i="49"/>
  <c r="B5" i="60"/>
  <c r="B12" i="49"/>
  <c r="B3" i="60"/>
  <c r="I2" i="43"/>
  <c r="H6" i="44"/>
  <c r="G2" i="43"/>
  <c r="F33" i="43"/>
  <c r="E31" i="4"/>
  <c r="C7" i="4"/>
  <c r="G3" i="43"/>
  <c r="C121" i="9"/>
  <c r="C4" i="52"/>
  <c r="B36" i="60"/>
  <c r="B121" i="9"/>
  <c r="B4" i="52"/>
  <c r="A41" i="1"/>
  <c r="A40" i="1"/>
  <c r="A39" i="1"/>
  <c r="A38" i="1"/>
  <c r="A37" i="1"/>
  <c r="A30" i="1"/>
  <c r="A35" i="1"/>
  <c r="D111" i="9"/>
  <c r="I108" i="9"/>
  <c r="D110" i="9"/>
  <c r="I107" i="9"/>
  <c r="D109" i="9"/>
  <c r="H101" i="9"/>
  <c r="J35" i="15"/>
  <c r="Q69" i="15"/>
  <c r="F27" i="11"/>
  <c r="F45" i="11"/>
  <c r="F36" i="11"/>
  <c r="M28" i="15"/>
  <c r="M26" i="15"/>
  <c r="F42" i="15"/>
  <c r="F40" i="15"/>
  <c r="F69" i="15"/>
  <c r="G54" i="40"/>
  <c r="C54" i="40"/>
  <c r="G53" i="40"/>
  <c r="C53" i="40"/>
  <c r="G52" i="40"/>
  <c r="C52" i="40"/>
  <c r="G57" i="39"/>
  <c r="C57" i="39"/>
  <c r="G62" i="39"/>
  <c r="G64" i="39"/>
  <c r="C64"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E31" i="1"/>
  <c r="E29" i="1"/>
  <c r="G1" i="15"/>
  <c r="F35" i="11"/>
  <c r="F38" i="11"/>
  <c r="E37" i="11"/>
  <c r="F20" i="11"/>
  <c r="F39" i="11"/>
  <c r="F21" i="11"/>
  <c r="F40" i="11"/>
  <c r="F7" i="11"/>
  <c r="C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F54" i="33"/>
  <c r="G111" i="21"/>
  <c r="H111" i="21"/>
  <c r="B109" i="39"/>
  <c r="F35" i="39"/>
  <c r="S35" i="39"/>
  <c r="B111" i="39"/>
  <c r="J30" i="36"/>
  <c r="H30" i="36"/>
  <c r="F30" i="36"/>
  <c r="AA30" i="36"/>
  <c r="C79" i="35"/>
  <c r="H26" i="35"/>
  <c r="J31" i="35"/>
  <c r="AC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W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H41" i="21"/>
  <c r="D80" i="39"/>
  <c r="E80" i="39"/>
  <c r="F80" i="39"/>
  <c r="G80" i="39"/>
  <c r="H80" i="39"/>
  <c r="I80" i="39"/>
  <c r="J80" i="39"/>
  <c r="K80" i="39"/>
  <c r="L80" i="39"/>
  <c r="M80" i="39"/>
  <c r="D75" i="40"/>
  <c r="E75" i="40"/>
  <c r="F75" i="40"/>
  <c r="G75" i="40"/>
  <c r="H75" i="40"/>
  <c r="I75" i="40"/>
  <c r="J75" i="40"/>
  <c r="K75" i="40"/>
  <c r="L75" i="40"/>
  <c r="M75" i="40"/>
  <c r="B119" i="40"/>
  <c r="B117" i="40"/>
  <c r="H39" i="40"/>
  <c r="U39" i="40"/>
  <c r="B115" i="40"/>
  <c r="D114" i="40"/>
  <c r="E114" i="40"/>
  <c r="F114" i="40"/>
  <c r="G114" i="40"/>
  <c r="H114" i="40"/>
  <c r="I114" i="40"/>
  <c r="J114" i="40"/>
  <c r="K114" i="40"/>
  <c r="L114" i="40"/>
  <c r="M114" i="40"/>
  <c r="D112" i="40"/>
  <c r="E112" i="40"/>
  <c r="F112" i="40"/>
  <c r="G112" i="40"/>
  <c r="H112" i="40"/>
  <c r="I112" i="40"/>
  <c r="J112" i="40"/>
  <c r="K112" i="40"/>
  <c r="L112" i="40"/>
  <c r="M112" i="40"/>
  <c r="D110" i="40"/>
  <c r="E110" i="40"/>
  <c r="F110" i="40"/>
  <c r="G110" i="40"/>
  <c r="H110" i="40"/>
  <c r="I110" i="40"/>
  <c r="J110" i="40"/>
  <c r="K110" i="40"/>
  <c r="L110" i="40"/>
  <c r="M110" i="40"/>
  <c r="M106" i="40"/>
  <c r="L106" i="40"/>
  <c r="K106" i="40"/>
  <c r="J106" i="40"/>
  <c r="I106" i="40"/>
  <c r="H106" i="40"/>
  <c r="G106" i="40"/>
  <c r="F106" i="40"/>
  <c r="E106" i="40"/>
  <c r="D106" i="40"/>
  <c r="C106" i="40"/>
  <c r="B104" i="40"/>
  <c r="J33" i="40"/>
  <c r="AC33" i="40"/>
  <c r="B102" i="40"/>
  <c r="B100" i="40"/>
  <c r="J31" i="40"/>
  <c r="AC31" i="40"/>
  <c r="D99" i="40"/>
  <c r="E99" i="40"/>
  <c r="F99" i="40"/>
  <c r="G99" i="40"/>
  <c r="H99" i="40"/>
  <c r="I99" i="40"/>
  <c r="J99" i="40"/>
  <c r="K99" i="40"/>
  <c r="L99" i="40"/>
  <c r="M99" i="40"/>
  <c r="D97" i="40"/>
  <c r="E97" i="40"/>
  <c r="F97" i="40"/>
  <c r="D95" i="40"/>
  <c r="E95" i="40"/>
  <c r="F95" i="40"/>
  <c r="G95" i="40"/>
  <c r="H95" i="40"/>
  <c r="I95" i="40"/>
  <c r="J95" i="40"/>
  <c r="K95" i="40"/>
  <c r="L95" i="40"/>
  <c r="M95" i="40"/>
  <c r="B94" i="40"/>
  <c r="F27" i="40"/>
  <c r="S27" i="40"/>
  <c r="D91" i="40"/>
  <c r="E91" i="40"/>
  <c r="F91" i="40"/>
  <c r="G91" i="40"/>
  <c r="D89" i="40"/>
  <c r="E89" i="40"/>
  <c r="D87" i="40"/>
  <c r="E87" i="40"/>
  <c r="F87" i="40"/>
  <c r="G87" i="40"/>
  <c r="D85" i="40"/>
  <c r="E85" i="40"/>
  <c r="D83" i="40"/>
  <c r="E83" i="40"/>
  <c r="B80" i="40"/>
  <c r="B78" i="40"/>
  <c r="B76" i="40"/>
  <c r="M73" i="40"/>
  <c r="L73" i="40"/>
  <c r="K73" i="40"/>
  <c r="J73" i="40"/>
  <c r="I73" i="40"/>
  <c r="H73" i="40"/>
  <c r="G73" i="40"/>
  <c r="F73" i="40"/>
  <c r="E73" i="40"/>
  <c r="D73" i="40"/>
  <c r="C73"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2"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W37" i="39"/>
  <c r="D108" i="39"/>
  <c r="F34" i="39"/>
  <c r="AA34" i="39"/>
  <c r="D106" i="39"/>
  <c r="E106" i="39"/>
  <c r="F106" i="39"/>
  <c r="G106" i="39"/>
  <c r="H106" i="39"/>
  <c r="I106" i="39"/>
  <c r="J106" i="39"/>
  <c r="K106" i="39"/>
  <c r="L106" i="39"/>
  <c r="M106" i="39"/>
  <c r="D104" i="39"/>
  <c r="E104" i="39"/>
  <c r="F104" i="39"/>
  <c r="G104" i="39"/>
  <c r="H104" i="39"/>
  <c r="I104" i="39"/>
  <c r="J104" i="39"/>
  <c r="K104" i="39"/>
  <c r="L104" i="39"/>
  <c r="M104" i="39"/>
  <c r="D102" i="39"/>
  <c r="D98" i="39"/>
  <c r="E98" i="39"/>
  <c r="F98" i="39"/>
  <c r="G98" i="39"/>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c r="B128" i="39"/>
  <c r="H44" i="39"/>
  <c r="B126" i="39"/>
  <c r="D125" i="39"/>
  <c r="E125" i="39"/>
  <c r="F125" i="39"/>
  <c r="G125" i="39"/>
  <c r="H125" i="39"/>
  <c r="I125" i="39"/>
  <c r="J125" i="39"/>
  <c r="K125" i="39"/>
  <c r="L125" i="39"/>
  <c r="M125" i="39"/>
  <c r="D121" i="39"/>
  <c r="E121" i="39"/>
  <c r="F121" i="39"/>
  <c r="G121" i="39"/>
  <c r="H121" i="39"/>
  <c r="I121" i="39"/>
  <c r="J121" i="39"/>
  <c r="K121" i="39"/>
  <c r="L121" i="39"/>
  <c r="M121" i="39"/>
  <c r="B103" i="39"/>
  <c r="D96" i="39"/>
  <c r="D94" i="39"/>
  <c r="E94" i="39"/>
  <c r="F94" i="39"/>
  <c r="G94" i="39"/>
  <c r="J21" i="39"/>
  <c r="AC21" i="39"/>
  <c r="D92" i="39"/>
  <c r="E92" i="39"/>
  <c r="F92" i="39"/>
  <c r="G92" i="39"/>
  <c r="D90" i="39"/>
  <c r="E90" i="39"/>
  <c r="F90" i="39"/>
  <c r="G90" i="39"/>
  <c r="D88" i="39"/>
  <c r="E88" i="39"/>
  <c r="F88" i="39"/>
  <c r="G88" i="39"/>
  <c r="B85" i="39"/>
  <c r="F14" i="39"/>
  <c r="AA14" i="39"/>
  <c r="B83" i="39"/>
  <c r="B81" i="39"/>
  <c r="H12" i="39"/>
  <c r="M78" i="39"/>
  <c r="L78" i="39"/>
  <c r="K78" i="39"/>
  <c r="J78" i="39"/>
  <c r="I78" i="39"/>
  <c r="H78" i="39"/>
  <c r="G78" i="39"/>
  <c r="F78" i="39"/>
  <c r="E78" i="39"/>
  <c r="D78" i="39"/>
  <c r="C78"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B108" i="37"/>
  <c r="C23" i="37"/>
  <c r="C19" i="37"/>
  <c r="C17" i="37"/>
  <c r="C15" i="37"/>
  <c r="B112" i="37"/>
  <c r="H40" i="37"/>
  <c r="AB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F73" i="37"/>
  <c r="G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F9" i="37"/>
  <c r="AA9"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B91" i="36"/>
  <c r="F32" i="36"/>
  <c r="AA32" i="36"/>
  <c r="B95" i="36"/>
  <c r="H34" i="36"/>
  <c r="U34" i="36"/>
  <c r="D83" i="36"/>
  <c r="E83" i="36"/>
  <c r="D78" i="36"/>
  <c r="E78" i="36"/>
  <c r="F78" i="36"/>
  <c r="G78" i="36"/>
  <c r="H78" i="36"/>
  <c r="I78" i="36"/>
  <c r="J78" i="36"/>
  <c r="K78" i="36"/>
  <c r="L78" i="36"/>
  <c r="M78" i="36"/>
  <c r="B75" i="36"/>
  <c r="J25" i="36"/>
  <c r="AC25" i="36"/>
  <c r="B73" i="36"/>
  <c r="B71" i="36"/>
  <c r="H23" i="36"/>
  <c r="AB23" i="36"/>
  <c r="D70" i="36"/>
  <c r="H22" i="36"/>
  <c r="AB22" i="36"/>
  <c r="D68" i="36"/>
  <c r="E68" i="36"/>
  <c r="F68" i="36"/>
  <c r="G68" i="36"/>
  <c r="D64" i="36"/>
  <c r="E64" i="36"/>
  <c r="F64" i="36"/>
  <c r="G64" i="36"/>
  <c r="J16" i="36"/>
  <c r="W16" i="36"/>
  <c r="D62" i="36"/>
  <c r="E62" i="36"/>
  <c r="F62" i="36"/>
  <c r="G62" i="36"/>
  <c r="H14" i="36"/>
  <c r="AB14" i="36"/>
  <c r="B59" i="36"/>
  <c r="F13" i="36"/>
  <c r="S13"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F23" i="36"/>
  <c r="S23" i="36"/>
  <c r="Q22" i="36"/>
  <c r="Z22" i="36"/>
  <c r="J22" i="36"/>
  <c r="Q20" i="36"/>
  <c r="Z20" i="36"/>
  <c r="Q16" i="36"/>
  <c r="Z16" i="36"/>
  <c r="Q14" i="36"/>
  <c r="Z14" i="36"/>
  <c r="Q13" i="36"/>
  <c r="Z13" i="36"/>
  <c r="Q12" i="36"/>
  <c r="Z12" i="36"/>
  <c r="Q11" i="36"/>
  <c r="Z11" i="36"/>
  <c r="Q10" i="36"/>
  <c r="Z10" i="36"/>
  <c r="F10" i="36"/>
  <c r="AA10" i="36"/>
  <c r="Q9" i="36"/>
  <c r="Z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H25" i="35"/>
  <c r="B75" i="35"/>
  <c r="J24" i="35"/>
  <c r="B73" i="35"/>
  <c r="B57" i="35"/>
  <c r="J11" i="35"/>
  <c r="B61" i="35"/>
  <c r="H13" i="35"/>
  <c r="B59" i="35"/>
  <c r="H12" i="35"/>
  <c r="B131" i="34"/>
  <c r="B129" i="34"/>
  <c r="F46" i="34"/>
  <c r="B127" i="34"/>
  <c r="J45" i="34"/>
  <c r="W45" i="34"/>
  <c r="B99" i="34"/>
  <c r="B97" i="34"/>
  <c r="B95" i="34"/>
  <c r="J30" i="34"/>
  <c r="B93" i="34"/>
  <c r="B75" i="34"/>
  <c r="B73" i="34"/>
  <c r="B71" i="34"/>
  <c r="B130" i="33"/>
  <c r="J46" i="33"/>
  <c r="B128" i="33"/>
  <c r="B126" i="33"/>
  <c r="B98" i="33"/>
  <c r="B96" i="33"/>
  <c r="B94" i="33"/>
  <c r="B74" i="33"/>
  <c r="B72" i="33"/>
  <c r="B70" i="33"/>
  <c r="H12" i="33"/>
  <c r="U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J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U12" i="35"/>
  <c r="F12" i="35"/>
  <c r="S12" i="35"/>
  <c r="Q11" i="35"/>
  <c r="Z11" i="35"/>
  <c r="Q10" i="35"/>
  <c r="Z10" i="35"/>
  <c r="Q9" i="35"/>
  <c r="Z9" i="35"/>
  <c r="F9" i="35"/>
  <c r="AA9" i="35"/>
  <c r="J8" i="35"/>
  <c r="AC8" i="35"/>
  <c r="H8" i="35"/>
  <c r="AB8" i="35"/>
  <c r="F8" i="35"/>
  <c r="S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AA11" i="34"/>
  <c r="M68" i="34"/>
  <c r="L68" i="34"/>
  <c r="K68" i="34"/>
  <c r="J68" i="34"/>
  <c r="I68" i="34"/>
  <c r="H68" i="34"/>
  <c r="G68" i="34"/>
  <c r="F68" i="34"/>
  <c r="E68" i="34"/>
  <c r="D68" i="34"/>
  <c r="C68" i="34"/>
  <c r="C64" i="34"/>
  <c r="J9"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Q11" i="34"/>
  <c r="Z11" i="34"/>
  <c r="Q10" i="34"/>
  <c r="Z10" i="34"/>
  <c r="F10" i="34"/>
  <c r="Q9" i="34"/>
  <c r="Z9" i="34"/>
  <c r="J8" i="34"/>
  <c r="W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E125" i="33"/>
  <c r="F125" i="33"/>
  <c r="G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E119" i="21"/>
  <c r="F119" i="21"/>
  <c r="G119" i="21"/>
  <c r="H119" i="21"/>
  <c r="I119" i="21"/>
  <c r="J119" i="21"/>
  <c r="K119" i="21"/>
  <c r="L119" i="21"/>
  <c r="M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J46" i="21"/>
  <c r="B128" i="21"/>
  <c r="H45" i="21"/>
  <c r="B126" i="21"/>
  <c r="B98" i="21"/>
  <c r="B96" i="21"/>
  <c r="F30" i="21"/>
  <c r="S30" i="21"/>
  <c r="B94" i="21"/>
  <c r="B92" i="21"/>
  <c r="B90" i="21"/>
  <c r="B74" i="21"/>
  <c r="F14" i="21"/>
  <c r="B72" i="21"/>
  <c r="B70" i="21"/>
  <c r="F12" i="21"/>
  <c r="AA12" i="21"/>
  <c r="F10" i="21"/>
  <c r="S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F45" i="39"/>
  <c r="J45" i="39"/>
  <c r="W45" i="39"/>
  <c r="J44" i="39"/>
  <c r="F36" i="39"/>
  <c r="S36" i="39"/>
  <c r="H36" i="39"/>
  <c r="AB36" i="39"/>
  <c r="J36" i="39"/>
  <c r="AC36" i="39"/>
  <c r="U38" i="39"/>
  <c r="H32" i="37"/>
  <c r="AB32" i="37"/>
  <c r="U8" i="37"/>
  <c r="W30" i="37"/>
  <c r="F29" i="36"/>
  <c r="AA29" i="36"/>
  <c r="F16" i="36"/>
  <c r="S16" i="36"/>
  <c r="U22" i="36"/>
  <c r="W23" i="36"/>
  <c r="U31" i="36"/>
  <c r="J33" i="36"/>
  <c r="W33" i="36"/>
  <c r="AB34" i="36"/>
  <c r="H22" i="35"/>
  <c r="U22" i="35"/>
  <c r="U31" i="35"/>
  <c r="S32" i="35"/>
  <c r="S31" i="35"/>
  <c r="W31" i="35"/>
  <c r="U32" i="35"/>
  <c r="F36" i="34"/>
  <c r="AA36" i="34"/>
  <c r="H39" i="33"/>
  <c r="AB39" i="33"/>
  <c r="F26" i="33"/>
  <c r="AC38" i="21"/>
  <c r="S27" i="35"/>
  <c r="F11" i="40"/>
  <c r="AA11" i="40"/>
  <c r="S8" i="40"/>
  <c r="H11" i="40"/>
  <c r="AB11" i="40"/>
  <c r="U34" i="40"/>
  <c r="F42" i="39"/>
  <c r="AA42" i="39"/>
  <c r="F41" i="39"/>
  <c r="AA41" i="39"/>
  <c r="H40" i="39"/>
  <c r="AB40" i="39"/>
  <c r="H39" i="39"/>
  <c r="AB39" i="39"/>
  <c r="U39" i="39"/>
  <c r="S38" i="39"/>
  <c r="H34" i="39"/>
  <c r="E108" i="39"/>
  <c r="F108" i="39"/>
  <c r="G108" i="39"/>
  <c r="H108" i="39"/>
  <c r="I108" i="39"/>
  <c r="J108" i="39"/>
  <c r="K108" i="39"/>
  <c r="L108" i="39"/>
  <c r="M108" i="39"/>
  <c r="H31" i="39"/>
  <c r="AB31" i="39"/>
  <c r="F31" i="39"/>
  <c r="AA31" i="39"/>
  <c r="E102" i="39"/>
  <c r="F102" i="39"/>
  <c r="H19" i="39"/>
  <c r="AB19" i="39"/>
  <c r="F19" i="39"/>
  <c r="S19" i="39"/>
  <c r="H17" i="39"/>
  <c r="U17" i="39"/>
  <c r="F17" i="39"/>
  <c r="AA17" i="39"/>
  <c r="J23" i="40"/>
  <c r="AC23" i="40"/>
  <c r="H42" i="39"/>
  <c r="AB42" i="39"/>
  <c r="J34" i="39"/>
  <c r="AC34" i="39"/>
  <c r="J31" i="39"/>
  <c r="W31" i="39"/>
  <c r="H29" i="39"/>
  <c r="U29" i="39"/>
  <c r="J19" i="39"/>
  <c r="AC19" i="39"/>
  <c r="J17" i="39"/>
  <c r="W17" i="39"/>
  <c r="J29" i="39"/>
  <c r="AC29" i="39"/>
  <c r="F29" i="39"/>
  <c r="AA29" i="39"/>
  <c r="F11" i="21"/>
  <c r="S11" i="21"/>
  <c r="C25" i="39"/>
  <c r="H11" i="39"/>
  <c r="AB11" i="39"/>
  <c r="H11" i="21"/>
  <c r="U11" i="21"/>
  <c r="J11" i="21"/>
  <c r="AC11" i="21"/>
  <c r="U33" i="21"/>
  <c r="H36" i="40"/>
  <c r="U36" i="40"/>
  <c r="F35" i="40"/>
  <c r="S35" i="40"/>
  <c r="J30" i="40"/>
  <c r="W30" i="40"/>
  <c r="F30" i="40"/>
  <c r="AA30" i="40"/>
  <c r="H27" i="40"/>
  <c r="U27" i="40"/>
  <c r="H23" i="40"/>
  <c r="AB23" i="40"/>
  <c r="J11" i="40"/>
  <c r="S44" i="39"/>
  <c r="F37" i="39"/>
  <c r="S37" i="39"/>
  <c r="J34" i="36"/>
  <c r="AC34" i="36"/>
  <c r="U30" i="36"/>
  <c r="F22" i="35"/>
  <c r="AA22" i="35"/>
  <c r="H10" i="35"/>
  <c r="U10" i="35"/>
  <c r="AB29" i="36"/>
  <c r="F33" i="36"/>
  <c r="S33" i="36"/>
  <c r="E85" i="36"/>
  <c r="F85" i="36"/>
  <c r="G85" i="36"/>
  <c r="H85" i="36"/>
  <c r="I85" i="36"/>
  <c r="J85" i="36"/>
  <c r="K85" i="36"/>
  <c r="L85" i="36"/>
  <c r="M85" i="36"/>
  <c r="J29" i="36"/>
  <c r="AC29" i="36"/>
  <c r="F12" i="36"/>
  <c r="AA12" i="36"/>
  <c r="F34" i="36"/>
  <c r="AA34" i="36"/>
  <c r="H20" i="36"/>
  <c r="J20" i="36"/>
  <c r="W20" i="36"/>
  <c r="AB8" i="36"/>
  <c r="F14" i="35"/>
  <c r="F23" i="35"/>
  <c r="AA23" i="35"/>
  <c r="J32" i="35"/>
  <c r="AC32" i="35"/>
  <c r="J16" i="35"/>
  <c r="W16" i="35"/>
  <c r="H14" i="35"/>
  <c r="AB14" i="35"/>
  <c r="H33" i="35"/>
  <c r="AB33" i="35"/>
  <c r="W8" i="35"/>
  <c r="S9" i="35"/>
  <c r="J20" i="35"/>
  <c r="H20" i="35"/>
  <c r="U20" i="35"/>
  <c r="F20" i="35"/>
  <c r="AA20" i="35"/>
  <c r="E101" i="37"/>
  <c r="F101" i="37"/>
  <c r="G101" i="37"/>
  <c r="H101" i="37"/>
  <c r="I101" i="37"/>
  <c r="J101" i="37"/>
  <c r="K101" i="37"/>
  <c r="L101" i="37"/>
  <c r="M101" i="37"/>
  <c r="J34" i="37"/>
  <c r="W34" i="37"/>
  <c r="J43" i="34"/>
  <c r="AC43" i="34"/>
  <c r="H43" i="34"/>
  <c r="AB43" i="34"/>
  <c r="U42" i="34"/>
  <c r="F118" i="34"/>
  <c r="G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S23" i="33"/>
  <c r="H23" i="33"/>
  <c r="F19" i="33"/>
  <c r="S19" i="33"/>
  <c r="J19" i="33"/>
  <c r="W19" i="33"/>
  <c r="J17" i="33"/>
  <c r="AC17" i="33"/>
  <c r="H17" i="33"/>
  <c r="AB17" i="33"/>
  <c r="J15" i="33"/>
  <c r="AC15" i="33"/>
  <c r="F11" i="33"/>
  <c r="AA11" i="33"/>
  <c r="W10" i="33"/>
  <c r="H10" i="33"/>
  <c r="U10" i="33"/>
  <c r="U40" i="33"/>
  <c r="U8" i="33"/>
  <c r="S8" i="33"/>
  <c r="F37" i="40"/>
  <c r="AA37" i="40"/>
  <c r="F36" i="40"/>
  <c r="AA36" i="40"/>
  <c r="J27" i="40"/>
  <c r="W27" i="40"/>
  <c r="F23" i="40"/>
  <c r="AA23" i="40"/>
  <c r="AB30" i="36"/>
  <c r="W32" i="35"/>
  <c r="F29" i="35"/>
  <c r="S29" i="35"/>
  <c r="U34" i="37"/>
  <c r="AB42" i="34"/>
  <c r="H38" i="34"/>
  <c r="U15" i="34"/>
  <c r="F113" i="33"/>
  <c r="G113" i="33"/>
  <c r="H113" i="33"/>
  <c r="I113" i="33"/>
  <c r="J113" i="33"/>
  <c r="K113" i="33"/>
  <c r="L113" i="33"/>
  <c r="M113" i="33"/>
  <c r="H37" i="33"/>
  <c r="AB37" i="33"/>
  <c r="H36" i="33"/>
  <c r="U36" i="33"/>
  <c r="S25" i="33"/>
  <c r="F17" i="33"/>
  <c r="AA17" i="33"/>
  <c r="H15" i="33"/>
  <c r="AB15" i="33"/>
  <c r="AB11" i="33"/>
  <c r="AA42" i="34"/>
  <c r="S42" i="34"/>
  <c r="W38" i="34"/>
  <c r="J37" i="33"/>
  <c r="AC37" i="33"/>
  <c r="J36" i="33"/>
  <c r="AC36" i="33"/>
  <c r="J11" i="33"/>
  <c r="AC11" i="33"/>
  <c r="J42" i="21"/>
  <c r="AC42" i="21"/>
  <c r="H42" i="21"/>
  <c r="U42" i="21"/>
  <c r="J10" i="35"/>
  <c r="AC10" i="35"/>
  <c r="J14" i="21"/>
  <c r="AC14" i="21"/>
  <c r="S14" i="21"/>
  <c r="H14" i="21"/>
  <c r="AB14" i="21"/>
  <c r="H28" i="21"/>
  <c r="AB28" i="21"/>
  <c r="F28" i="21"/>
  <c r="AA28" i="21"/>
  <c r="J28" i="21"/>
  <c r="W28" i="21"/>
  <c r="H30" i="21"/>
  <c r="AB30" i="21"/>
  <c r="J30" i="21"/>
  <c r="W30" i="21"/>
  <c r="J44" i="21"/>
  <c r="AC44" i="21"/>
  <c r="H44" i="21"/>
  <c r="U44" i="21"/>
  <c r="F44" i="21"/>
  <c r="AA44" i="21"/>
  <c r="H46" i="21"/>
  <c r="U46" i="21"/>
  <c r="W46" i="21"/>
  <c r="F46" i="21"/>
  <c r="AA46" i="21"/>
  <c r="H26" i="33"/>
  <c r="U26" i="33"/>
  <c r="H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H13" i="33"/>
  <c r="AB13" i="33"/>
  <c r="J29" i="33"/>
  <c r="H29" i="33"/>
  <c r="U29" i="33"/>
  <c r="F29" i="33"/>
  <c r="S29" i="33"/>
  <c r="J31" i="33"/>
  <c r="W31" i="33"/>
  <c r="H31" i="33"/>
  <c r="AB31" i="33"/>
  <c r="F31" i="33"/>
  <c r="AA31" i="33"/>
  <c r="H45" i="33"/>
  <c r="J45" i="33"/>
  <c r="W45" i="33"/>
  <c r="F45" i="33"/>
  <c r="S45" i="33"/>
  <c r="F14" i="34"/>
  <c r="H30" i="34"/>
  <c r="U30" i="34"/>
  <c r="F30" i="34"/>
  <c r="AA30" i="34"/>
  <c r="W30" i="34"/>
  <c r="H32" i="34"/>
  <c r="F32" i="34"/>
  <c r="S32" i="34"/>
  <c r="J32" i="34"/>
  <c r="H46" i="34"/>
  <c r="U46" i="34"/>
  <c r="S46" i="34"/>
  <c r="J46" i="34"/>
  <c r="W46" i="34"/>
  <c r="H11" i="35"/>
  <c r="U11" i="35"/>
  <c r="AC11" i="35"/>
  <c r="F11" i="35"/>
  <c r="S11" i="35"/>
  <c r="J26" i="36"/>
  <c r="W26" i="36"/>
  <c r="H28" i="36"/>
  <c r="U28" i="36"/>
  <c r="H32" i="36"/>
  <c r="U32" i="36"/>
  <c r="J32" i="36"/>
  <c r="W32" i="36"/>
  <c r="J11" i="36"/>
  <c r="W11" i="36"/>
  <c r="H11" i="36"/>
  <c r="AB11" i="36"/>
  <c r="F11" i="36"/>
  <c r="AA11" i="36"/>
  <c r="H13" i="36"/>
  <c r="AB13" i="36"/>
  <c r="H36" i="37"/>
  <c r="AB36" i="37"/>
  <c r="H37" i="37"/>
  <c r="U37" i="37"/>
  <c r="H14" i="33"/>
  <c r="AB14" i="33"/>
  <c r="U14" i="33"/>
  <c r="F14" i="33"/>
  <c r="AA14" i="33"/>
  <c r="J14" i="33"/>
  <c r="AC14" i="33"/>
  <c r="H30" i="33"/>
  <c r="AB30" i="33"/>
  <c r="F30" i="33"/>
  <c r="S30" i="33"/>
  <c r="J30" i="33"/>
  <c r="W30" i="33"/>
  <c r="AC30" i="33"/>
  <c r="H44" i="33"/>
  <c r="J44" i="33"/>
  <c r="AC44" i="33"/>
  <c r="F44" i="33"/>
  <c r="W46" i="33"/>
  <c r="F46" i="33"/>
  <c r="AA46" i="33"/>
  <c r="H46" i="33"/>
  <c r="AB46" i="33"/>
  <c r="H13" i="34"/>
  <c r="AB13" i="34"/>
  <c r="J13" i="34"/>
  <c r="W13" i="34"/>
  <c r="F13" i="34"/>
  <c r="AA13" i="34"/>
  <c r="J29" i="34"/>
  <c r="AC29" i="34"/>
  <c r="F29" i="34"/>
  <c r="S29" i="34"/>
  <c r="H29" i="34"/>
  <c r="U29" i="34"/>
  <c r="J31" i="34"/>
  <c r="AC31" i="34"/>
  <c r="H31" i="34"/>
  <c r="AB31" i="34"/>
  <c r="F31" i="34"/>
  <c r="S31" i="34"/>
  <c r="H45" i="34"/>
  <c r="U45" i="34"/>
  <c r="F45" i="34"/>
  <c r="S45" i="34"/>
  <c r="H47" i="34"/>
  <c r="U47" i="34"/>
  <c r="F47" i="34"/>
  <c r="AA47" i="34"/>
  <c r="J47" i="34"/>
  <c r="AC47" i="34"/>
  <c r="F13" i="35"/>
  <c r="S13" i="35"/>
  <c r="J13" i="35"/>
  <c r="AC13" i="35"/>
  <c r="U13" i="35"/>
  <c r="F25" i="35"/>
  <c r="S25" i="35"/>
  <c r="J35" i="35"/>
  <c r="AC35" i="35"/>
  <c r="F35" i="35"/>
  <c r="AA35" i="35"/>
  <c r="H35" i="35"/>
  <c r="AB35" i="35"/>
  <c r="F25" i="36"/>
  <c r="S25" i="36"/>
  <c r="H25" i="36"/>
  <c r="AB25" i="36"/>
  <c r="H13" i="37"/>
  <c r="U13" i="37"/>
  <c r="F13" i="37"/>
  <c r="S13" i="37"/>
  <c r="J13" i="37"/>
  <c r="W13" i="37"/>
  <c r="F28" i="37"/>
  <c r="AA28" i="37"/>
  <c r="J28" i="37"/>
  <c r="AC28" i="37"/>
  <c r="H28" i="37"/>
  <c r="U28" i="37"/>
  <c r="H38" i="37"/>
  <c r="AB38" i="37"/>
  <c r="J38" i="37"/>
  <c r="AC38" i="37"/>
  <c r="F38" i="37"/>
  <c r="S38" i="37"/>
  <c r="F43" i="39"/>
  <c r="AA43" i="39"/>
  <c r="J14" i="39"/>
  <c r="W14" i="39"/>
  <c r="H14" i="39"/>
  <c r="AB14" i="39"/>
  <c r="H12" i="40"/>
  <c r="AB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28" i="37"/>
  <c r="S47" i="34"/>
  <c r="S14" i="33"/>
  <c r="J10" i="36"/>
  <c r="AC10" i="36"/>
  <c r="AB46" i="21"/>
  <c r="U31" i="33"/>
  <c r="S19" i="21"/>
  <c r="J41" i="39"/>
  <c r="W41"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J36" i="40"/>
  <c r="W36" i="40"/>
  <c r="H42" i="33"/>
  <c r="U42" i="33"/>
  <c r="J23" i="37"/>
  <c r="W23" i="37"/>
  <c r="S30" i="31"/>
  <c r="U11" i="40"/>
  <c r="AC33" i="36"/>
  <c r="AB20" i="35"/>
  <c r="AC12" i="35"/>
  <c r="W47" i="34"/>
  <c r="AB8" i="34"/>
  <c r="S11" i="33"/>
  <c r="AC33" i="21"/>
  <c r="AB38" i="21"/>
  <c r="W10" i="36"/>
  <c r="H37" i="21"/>
  <c r="U37" i="21"/>
  <c r="J37" i="21"/>
  <c r="W37" i="21"/>
  <c r="H19" i="34"/>
  <c r="U19" i="34"/>
  <c r="F36" i="35"/>
  <c r="AA36" i="35"/>
  <c r="F11" i="37"/>
  <c r="S11" i="37"/>
  <c r="J42" i="39"/>
  <c r="AC42" i="39"/>
  <c r="S37" i="21"/>
  <c r="AB27" i="40"/>
  <c r="AC31" i="39"/>
  <c r="U31" i="39"/>
  <c r="C12" i="43"/>
  <c r="D15" i="47"/>
  <c r="F15" i="47"/>
  <c r="B13" i="47"/>
  <c r="D17" i="47"/>
  <c r="D19" i="47"/>
  <c r="D21" i="47"/>
  <c r="D23" i="47"/>
  <c r="D27" i="47"/>
  <c r="D33" i="47"/>
  <c r="D37" i="47"/>
  <c r="D39" i="47"/>
  <c r="F37" i="47"/>
  <c r="B35" i="47"/>
  <c r="D41" i="47"/>
  <c r="D43" i="47"/>
  <c r="D16" i="47"/>
  <c r="D18" i="47"/>
  <c r="D20" i="47"/>
  <c r="D22" i="47"/>
  <c r="D26" i="47"/>
  <c r="D28" i="47"/>
  <c r="D30" i="47"/>
  <c r="D32" i="47"/>
  <c r="D34" i="47"/>
  <c r="D38" i="47"/>
  <c r="D40" i="47"/>
  <c r="D42" i="47"/>
  <c r="D44" i="47"/>
  <c r="D9" i="47"/>
  <c r="D8" i="47"/>
  <c r="D6" i="47"/>
  <c r="H19" i="40"/>
  <c r="AB19" i="40"/>
  <c r="F19" i="40"/>
  <c r="S19" i="40"/>
  <c r="U45" i="39"/>
  <c r="AB45" i="39"/>
  <c r="AB44" i="39"/>
  <c r="U44" i="39"/>
  <c r="G102"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S42" i="39"/>
  <c r="S41" i="39"/>
  <c r="W39" i="39"/>
  <c r="W8" i="39"/>
  <c r="W21" i="39"/>
  <c r="J11" i="39"/>
  <c r="W11" i="39"/>
  <c r="J32" i="39"/>
  <c r="AC32" i="39"/>
  <c r="E65" i="39"/>
  <c r="E60" i="40"/>
  <c r="F34" i="43"/>
  <c r="C21" i="11"/>
  <c r="C29" i="11"/>
  <c r="D27" i="11"/>
  <c r="H55" i="39"/>
  <c r="S30" i="40"/>
  <c r="H16" i="44"/>
  <c r="D17" i="43"/>
  <c r="I17" i="43"/>
  <c r="D108" i="9"/>
  <c r="F22" i="43"/>
  <c r="G22" i="43"/>
  <c r="H14" i="44"/>
  <c r="W40" i="39"/>
  <c r="S39" i="34"/>
  <c r="AC10" i="34"/>
  <c r="AB30"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AC37" i="34"/>
  <c r="S23" i="34"/>
  <c r="AB33" i="34"/>
  <c r="F26" i="35"/>
  <c r="AA26" i="35"/>
  <c r="U28" i="21"/>
  <c r="K145" i="21"/>
  <c r="K144" i="21"/>
  <c r="K141" i="21"/>
  <c r="K143" i="21"/>
  <c r="W25" i="21"/>
  <c r="F23" i="21"/>
  <c r="S23" i="21"/>
  <c r="J23" i="21"/>
  <c r="AC23" i="21"/>
  <c r="H23" i="21"/>
  <c r="U23" i="21"/>
  <c r="F17" i="21"/>
  <c r="AA17" i="21"/>
  <c r="J17" i="21"/>
  <c r="AC17" i="21"/>
  <c r="H17" i="21"/>
  <c r="U17" i="21"/>
  <c r="AB17" i="21"/>
  <c r="J15" i="21"/>
  <c r="W15" i="21"/>
  <c r="U35" i="21"/>
  <c r="H103" i="57"/>
  <c r="A135" i="57"/>
  <c r="B103" i="57"/>
  <c r="B107" i="57"/>
  <c r="C112" i="57"/>
  <c r="H107" i="57"/>
  <c r="D128" i="57"/>
  <c r="AC15" i="21"/>
  <c r="T27" i="31"/>
  <c r="S27" i="31"/>
  <c r="B113" i="43"/>
  <c r="I118" i="43"/>
  <c r="J118" i="43"/>
  <c r="K118" i="43"/>
  <c r="L118" i="43"/>
  <c r="M118" i="43"/>
  <c r="M101" i="43"/>
  <c r="M109" i="43"/>
  <c r="K101" i="43"/>
  <c r="K107" i="43"/>
  <c r="I101" i="43"/>
  <c r="I102" i="43"/>
  <c r="G101" i="43"/>
  <c r="G105" i="43"/>
  <c r="E101" i="43"/>
  <c r="C101" i="43"/>
  <c r="N101" i="43"/>
  <c r="N107" i="43"/>
  <c r="L101" i="43"/>
  <c r="J101" i="43"/>
  <c r="J102" i="43"/>
  <c r="H101" i="43"/>
  <c r="H107"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U40" i="37"/>
  <c r="U15" i="21"/>
  <c r="AB15" i="21"/>
  <c r="AA16" i="35"/>
  <c r="S14" i="39"/>
  <c r="AB29" i="35"/>
  <c r="U29" i="35"/>
  <c r="AA35" i="39"/>
  <c r="W44" i="33"/>
  <c r="U36" i="37"/>
  <c r="AB46" i="34"/>
  <c r="S14" i="34"/>
  <c r="AA14" i="34"/>
  <c r="W44" i="21"/>
  <c r="AB38" i="34"/>
  <c r="U38" i="34"/>
  <c r="F40" i="34"/>
  <c r="AA40" i="34"/>
  <c r="U20" i="36"/>
  <c r="AB20" i="36"/>
  <c r="AA16" i="36"/>
  <c r="AC44" i="39"/>
  <c r="W44" i="39"/>
  <c r="H13" i="21"/>
  <c r="U13" i="21"/>
  <c r="J13" i="21"/>
  <c r="W13" i="21"/>
  <c r="F13" i="21"/>
  <c r="AA13" i="21"/>
  <c r="J45" i="21"/>
  <c r="AC45" i="21"/>
  <c r="F45" i="21"/>
  <c r="AA45" i="21"/>
  <c r="S42" i="21"/>
  <c r="B41" i="47"/>
  <c r="C23" i="40"/>
  <c r="AC8" i="34"/>
  <c r="AA19" i="34"/>
  <c r="S19" i="34"/>
  <c r="U23" i="36"/>
  <c r="J12" i="36"/>
  <c r="AC12" i="36"/>
  <c r="H12" i="36"/>
  <c r="AB12" i="36"/>
  <c r="AA9" i="39"/>
  <c r="S9" i="39"/>
  <c r="AB12" i="39"/>
  <c r="U12" i="39"/>
  <c r="J12" i="39"/>
  <c r="AC12" i="39"/>
  <c r="F12" i="39"/>
  <c r="S12" i="39"/>
  <c r="R29" i="31"/>
  <c r="T29" i="31"/>
  <c r="F15" i="21"/>
  <c r="S15" i="21"/>
  <c r="AA30" i="21"/>
  <c r="J36" i="34"/>
  <c r="W36" i="34"/>
  <c r="S8" i="34"/>
  <c r="J19" i="40"/>
  <c r="AC19" i="40"/>
  <c r="W9" i="39"/>
  <c r="U14" i="39"/>
  <c r="H32" i="39"/>
  <c r="U32" i="39"/>
  <c r="F21" i="39"/>
  <c r="AA21" i="39"/>
  <c r="F31" i="37"/>
  <c r="AA31" i="37"/>
  <c r="S44" i="21"/>
  <c r="F17" i="37"/>
  <c r="AA17" i="37"/>
  <c r="AA29" i="33"/>
  <c r="AB28" i="36"/>
  <c r="AB13" i="40"/>
  <c r="U33" i="40"/>
  <c r="AB13" i="37"/>
  <c r="AB11" i="35"/>
  <c r="U32" i="34"/>
  <c r="AB32" i="34"/>
  <c r="J14" i="36"/>
  <c r="W14" i="36"/>
  <c r="AC14" i="36"/>
  <c r="AC30" i="21"/>
  <c r="S15" i="34"/>
  <c r="J40" i="34"/>
  <c r="AC40" i="34"/>
  <c r="S37" i="40"/>
  <c r="H19" i="33"/>
  <c r="AB19" i="33"/>
  <c r="AB23" i="33"/>
  <c r="U23" i="33"/>
  <c r="W23"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101" i="33"/>
  <c r="G101" i="33"/>
  <c r="H101" i="33"/>
  <c r="I101" i="33"/>
  <c r="J101" i="33"/>
  <c r="K101" i="33"/>
  <c r="L101" i="33"/>
  <c r="M101" i="33"/>
  <c r="F32" i="33"/>
  <c r="AA32" i="33"/>
  <c r="W27" i="34"/>
  <c r="AC27" i="34"/>
  <c r="H28" i="34"/>
  <c r="U28" i="34"/>
  <c r="E116" i="34"/>
  <c r="F116" i="34"/>
  <c r="G116" i="34"/>
  <c r="H116" i="34"/>
  <c r="I116" i="34"/>
  <c r="J116" i="34"/>
  <c r="K116" i="34"/>
  <c r="L116" i="34"/>
  <c r="M116" i="34"/>
  <c r="J39" i="34"/>
  <c r="AC39" i="34"/>
  <c r="W39" i="34"/>
  <c r="J27" i="36"/>
  <c r="F37" i="34"/>
  <c r="AA37" i="34"/>
  <c r="H37" i="34"/>
  <c r="U37" i="34"/>
  <c r="U12" i="40"/>
  <c r="AC14" i="39"/>
  <c r="AC46" i="34"/>
  <c r="S31" i="33"/>
  <c r="W28" i="33"/>
  <c r="W34" i="33"/>
  <c r="AC34" i="33"/>
  <c r="AA14" i="35"/>
  <c r="S14" i="35"/>
  <c r="W11" i="21"/>
  <c r="S45" i="39"/>
  <c r="AA45" i="39"/>
  <c r="H27" i="21"/>
  <c r="U27" i="21"/>
  <c r="J27" i="21"/>
  <c r="W27" i="21"/>
  <c r="F27" i="21"/>
  <c r="AA27" i="21"/>
  <c r="J29" i="21"/>
  <c r="AC29" i="21"/>
  <c r="H29" i="21"/>
  <c r="U29" i="21"/>
  <c r="F29" i="21"/>
  <c r="S29" i="21"/>
  <c r="J31" i="21"/>
  <c r="W31" i="21"/>
  <c r="H31" i="21"/>
  <c r="AB31" i="21"/>
  <c r="F31" i="21"/>
  <c r="AA31" i="21"/>
  <c r="H39" i="21"/>
  <c r="U39" i="21"/>
  <c r="S9" i="21"/>
  <c r="AA9" i="21"/>
  <c r="AA15" i="33"/>
  <c r="S15" i="33"/>
  <c r="AA35" i="33"/>
  <c r="E117" i="33"/>
  <c r="F117" i="33"/>
  <c r="G117" i="33"/>
  <c r="J39" i="33"/>
  <c r="AC39" i="33"/>
  <c r="H43" i="33"/>
  <c r="U43" i="33"/>
  <c r="E91" i="33"/>
  <c r="F91" i="33"/>
  <c r="G91" i="33"/>
  <c r="H91" i="33"/>
  <c r="I91" i="33"/>
  <c r="J91" i="33"/>
  <c r="K91" i="33"/>
  <c r="L91" i="33"/>
  <c r="M91" i="33"/>
  <c r="F27" i="33"/>
  <c r="S27" i="33"/>
  <c r="H41" i="33"/>
  <c r="U41" i="33"/>
  <c r="F80" i="34"/>
  <c r="H17" i="34"/>
  <c r="U17" i="34"/>
  <c r="H16" i="35"/>
  <c r="U16" i="35"/>
  <c r="H34" i="35"/>
  <c r="U34" i="35"/>
  <c r="F34" i="35"/>
  <c r="S34" i="35"/>
  <c r="G60" i="37"/>
  <c r="F10" i="37"/>
  <c r="AA10" i="37"/>
  <c r="J12" i="37"/>
  <c r="AC12" i="37"/>
  <c r="F12" i="37"/>
  <c r="AA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AB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F126" i="34"/>
  <c r="G126" i="34"/>
  <c r="H44" i="34"/>
  <c r="U44" i="34"/>
  <c r="AB26" i="36"/>
  <c r="U26" i="36"/>
  <c r="U9" i="36"/>
  <c r="F20" i="36"/>
  <c r="AA20" i="36"/>
  <c r="J24" i="36"/>
  <c r="AC24" i="36"/>
  <c r="W24" i="36"/>
  <c r="H24" i="36"/>
  <c r="AB24" i="36"/>
  <c r="U24" i="36"/>
  <c r="F24" i="36"/>
  <c r="AA24" i="36"/>
  <c r="J26" i="37"/>
  <c r="AC26" i="37"/>
  <c r="H26" i="37"/>
  <c r="AB26" i="37"/>
  <c r="F26" i="37"/>
  <c r="AA26" i="37"/>
  <c r="J23" i="39"/>
  <c r="W23" i="39"/>
  <c r="E96" i="39"/>
  <c r="F96" i="39"/>
  <c r="G96" i="39"/>
  <c r="H15" i="37"/>
  <c r="U15" i="37"/>
  <c r="F15" i="37"/>
  <c r="AA15" i="37"/>
  <c r="F38" i="40"/>
  <c r="AA38" i="40"/>
  <c r="J38" i="40"/>
  <c r="W38" i="40"/>
  <c r="H38" i="40"/>
  <c r="AB38" i="40"/>
  <c r="J40" i="40"/>
  <c r="AC40" i="40"/>
  <c r="H40" i="40"/>
  <c r="AB40" i="40"/>
  <c r="F40" i="40"/>
  <c r="S40" i="40"/>
  <c r="AA40" i="40"/>
  <c r="N6" i="43"/>
  <c r="M1" i="43"/>
  <c r="F101" i="9"/>
  <c r="F33" i="9"/>
  <c r="C25" i="57"/>
  <c r="G103" i="43"/>
  <c r="F59" i="43"/>
  <c r="H63" i="43"/>
  <c r="G15" i="47"/>
  <c r="H25" i="34"/>
  <c r="U25" i="34"/>
  <c r="AB35" i="39"/>
  <c r="S27" i="37"/>
  <c r="J17" i="34"/>
  <c r="AC17" i="34"/>
  <c r="G80" i="34"/>
  <c r="F17" i="34"/>
  <c r="AA17" i="34"/>
  <c r="H27" i="33"/>
  <c r="U27" i="33"/>
  <c r="F43" i="33"/>
  <c r="S43" i="33"/>
  <c r="J43" i="33"/>
  <c r="AC43" i="33"/>
  <c r="AA29" i="21"/>
  <c r="AC27" i="21"/>
  <c r="S37" i="34"/>
  <c r="H27" i="36"/>
  <c r="U27" i="36"/>
  <c r="F27" i="36"/>
  <c r="AA27" i="36"/>
  <c r="J28" i="34"/>
  <c r="W28" i="34"/>
  <c r="AB34" i="21"/>
  <c r="H11" i="34"/>
  <c r="U11" i="34"/>
  <c r="J11" i="37"/>
  <c r="W11" i="37"/>
  <c r="AC36" i="34"/>
  <c r="W12" i="39"/>
  <c r="AC37" i="37"/>
  <c r="U38" i="40"/>
  <c r="F23" i="39"/>
  <c r="AA23" i="39"/>
  <c r="S26" i="37"/>
  <c r="S24" i="36"/>
  <c r="F44" i="34"/>
  <c r="AA44" i="34"/>
  <c r="J44" i="34"/>
  <c r="AC44" i="34"/>
  <c r="U31" i="37"/>
  <c r="H60" i="37"/>
  <c r="I60" i="37"/>
  <c r="H10" i="37"/>
  <c r="AB10" i="37"/>
  <c r="U10" i="37"/>
  <c r="AB43" i="33"/>
  <c r="S31" i="21"/>
  <c r="AB29" i="21"/>
  <c r="AC27" i="36"/>
  <c r="W27" i="36"/>
  <c r="J32" i="33"/>
  <c r="W32" i="33"/>
  <c r="H32" i="33"/>
  <c r="U32" i="33"/>
  <c r="U12" i="36"/>
  <c r="AC13" i="21"/>
  <c r="AB25" i="34"/>
  <c r="J10" i="37"/>
  <c r="AC10" i="37"/>
  <c r="H23" i="39"/>
  <c r="U23" i="39"/>
  <c r="AB23" i="39"/>
  <c r="J11" i="34"/>
  <c r="W11" i="34"/>
  <c r="J27" i="33"/>
  <c r="W27" i="33"/>
  <c r="J25" i="34"/>
  <c r="W25"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2" i="31"/>
  <c r="I23" i="31"/>
  <c r="P60" i="15"/>
  <c r="D3" i="35"/>
  <c r="D3" i="34"/>
  <c r="D78" i="9"/>
  <c r="D95" i="57"/>
  <c r="D80" i="57"/>
  <c r="A16" i="55"/>
  <c r="B46" i="60"/>
  <c r="D3" i="33"/>
  <c r="D3" i="37"/>
  <c r="D3" i="36"/>
  <c r="C14" i="12"/>
  <c r="AB36" i="40"/>
  <c r="W31" i="40"/>
  <c r="AC9" i="40"/>
  <c r="S9" i="40"/>
  <c r="AA27" i="40"/>
  <c r="AC38" i="40"/>
  <c r="W35" i="40"/>
  <c r="W33" i="40"/>
  <c r="W34" i="40"/>
  <c r="AB39" i="40"/>
  <c r="J37" i="40"/>
  <c r="W37" i="40"/>
  <c r="H35" i="40"/>
  <c r="U35" i="40"/>
  <c r="H37" i="40"/>
  <c r="H28" i="40"/>
  <c r="U28" i="40"/>
  <c r="F28" i="40"/>
  <c r="J28" i="40"/>
  <c r="G97" i="40"/>
  <c r="H97" i="40"/>
  <c r="I97" i="40"/>
  <c r="J97" i="40"/>
  <c r="K97" i="40"/>
  <c r="L97" i="40"/>
  <c r="M97" i="40"/>
  <c r="F21" i="40"/>
  <c r="AA21" i="40"/>
  <c r="H21" i="40"/>
  <c r="F89" i="40"/>
  <c r="G89" i="40"/>
  <c r="J21" i="40"/>
  <c r="W21" i="40"/>
  <c r="W19" i="40"/>
  <c r="F85" i="40"/>
  <c r="G85" i="40"/>
  <c r="H17" i="40"/>
  <c r="U17" i="40"/>
  <c r="J17" i="40"/>
  <c r="F17" i="40"/>
  <c r="S17" i="40"/>
  <c r="F83" i="40"/>
  <c r="G83" i="40"/>
  <c r="F15" i="40"/>
  <c r="J15" i="40"/>
  <c r="AC15" i="40"/>
  <c r="H15" i="40"/>
  <c r="AB15" i="40"/>
  <c r="AC25" i="40"/>
  <c r="W25" i="40"/>
  <c r="U14" i="40"/>
  <c r="U8"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12" i="36"/>
  <c r="AC16" i="36"/>
  <c r="S26" i="36"/>
  <c r="AC26" i="36"/>
  <c r="AA25" i="36"/>
  <c r="S14" i="36"/>
  <c r="U14" i="36"/>
  <c r="S10" i="36"/>
  <c r="W18" i="36"/>
  <c r="AC18" i="36"/>
  <c r="W25" i="36"/>
  <c r="AC32" i="36"/>
  <c r="AC20" i="36"/>
  <c r="W28" i="36"/>
  <c r="W8" i="36"/>
  <c r="U13" i="36"/>
  <c r="AB18" i="36"/>
  <c r="U18" i="36"/>
  <c r="S28" i="36"/>
  <c r="S29" i="36"/>
  <c r="W35" i="35"/>
  <c r="S23" i="35"/>
  <c r="W11" i="35"/>
  <c r="AA12" i="35"/>
  <c r="W10" i="35"/>
  <c r="W14" i="35"/>
  <c r="W34" i="35"/>
  <c r="W28" i="35"/>
  <c r="AC27" i="35"/>
  <c r="U14" i="35"/>
  <c r="U35" i="35"/>
  <c r="AB10" i="35"/>
  <c r="U8" i="35"/>
  <c r="AB12" i="35"/>
  <c r="AA13" i="35"/>
  <c r="S20" i="35"/>
  <c r="AB13" i="35"/>
  <c r="S10" i="35"/>
  <c r="S34" i="37"/>
  <c r="W32" i="37"/>
  <c r="W26" i="37"/>
  <c r="AB28" i="37"/>
  <c r="J33" i="37"/>
  <c r="AC33" i="37"/>
  <c r="F33" i="37"/>
  <c r="S33" i="37"/>
  <c r="AA33" i="37"/>
  <c r="H99" i="37"/>
  <c r="I99" i="37"/>
  <c r="J99" i="37"/>
  <c r="K99" i="37"/>
  <c r="L99" i="37"/>
  <c r="M99" i="37"/>
  <c r="H33" i="37"/>
  <c r="AB33" i="37"/>
  <c r="AC35" i="37"/>
  <c r="W35" i="37"/>
  <c r="S31" i="37"/>
  <c r="H35" i="37"/>
  <c r="AB35" i="37"/>
  <c r="F35" i="37"/>
  <c r="E103" i="37"/>
  <c r="F103" i="37"/>
  <c r="G103" i="37"/>
  <c r="H103" i="37"/>
  <c r="I103" i="37"/>
  <c r="J103" i="37"/>
  <c r="K103" i="37"/>
  <c r="L103" i="37"/>
  <c r="M103" i="37"/>
  <c r="AC23" i="37"/>
  <c r="J19" i="37"/>
  <c r="AC19" i="37"/>
  <c r="F19" i="37"/>
  <c r="G75" i="37"/>
  <c r="H19" i="37"/>
  <c r="U19" i="37"/>
  <c r="W17" i="37"/>
  <c r="AC17" i="37"/>
  <c r="AB17" i="37"/>
  <c r="S15" i="37"/>
  <c r="J15" i="37"/>
  <c r="AC15" i="37"/>
  <c r="AA11" i="37"/>
  <c r="AC21" i="37"/>
  <c r="W21" i="37"/>
  <c r="W14" i="37"/>
  <c r="AB11" i="37"/>
  <c r="AA14" i="37"/>
  <c r="W35" i="34"/>
  <c r="AB11" i="34"/>
  <c r="AC28" i="34"/>
  <c r="AB41" i="34"/>
  <c r="S38" i="34"/>
  <c r="S36" i="34"/>
  <c r="S43" i="34"/>
  <c r="AB19" i="34"/>
  <c r="AB17" i="34"/>
  <c r="W15" i="34"/>
  <c r="W31" i="34"/>
  <c r="U36" i="34"/>
  <c r="U21" i="34"/>
  <c r="AB21" i="34"/>
  <c r="AA25" i="34"/>
  <c r="AA41" i="34"/>
  <c r="AA46" i="34"/>
  <c r="U25" i="33"/>
  <c r="W11" i="33"/>
  <c r="U17" i="33"/>
  <c r="W25" i="33"/>
  <c r="U34" i="33"/>
  <c r="U38" i="33"/>
  <c r="W37" i="33"/>
  <c r="AC41" i="33"/>
  <c r="AC27" i="33"/>
  <c r="AA45" i="33"/>
  <c r="S17" i="33"/>
  <c r="W17" i="33"/>
  <c r="U15" i="33"/>
  <c r="AB9" i="33"/>
  <c r="U9" i="33"/>
  <c r="S10" i="33"/>
  <c r="W39" i="33"/>
  <c r="W9" i="33"/>
  <c r="AC46" i="33"/>
  <c r="AC19" i="33"/>
  <c r="W21" i="33"/>
  <c r="AC21" i="33"/>
  <c r="AB42" i="33"/>
  <c r="U13" i="33"/>
  <c r="U39" i="33"/>
  <c r="S42" i="33"/>
  <c r="W42" i="21"/>
  <c r="AA39" i="21"/>
  <c r="W39" i="21"/>
  <c r="AA34" i="21"/>
  <c r="AC26" i="21"/>
  <c r="W40" i="21"/>
  <c r="AC37" i="21"/>
  <c r="W34" i="21"/>
  <c r="AC28" i="21"/>
  <c r="AB23" i="21"/>
  <c r="U19" i="21"/>
  <c r="U43" i="21"/>
  <c r="U26" i="21"/>
  <c r="AB44" i="21"/>
  <c r="U30" i="21"/>
  <c r="AB36" i="21"/>
  <c r="S17" i="21"/>
  <c r="AA36" i="21"/>
  <c r="AA43" i="21"/>
  <c r="AB32" i="21"/>
  <c r="S28" i="21"/>
  <c r="AB21" i="21"/>
  <c r="U21" i="21"/>
  <c r="AC19"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A14" i="52"/>
  <c r="B61" i="60"/>
  <c r="V25" i="31"/>
  <c r="D3" i="21"/>
  <c r="M6" i="43"/>
  <c r="M5" i="43"/>
  <c r="F81" i="43"/>
  <c r="H85" i="43"/>
  <c r="H13" i="44"/>
  <c r="H11" i="44"/>
  <c r="C51" i="10"/>
  <c r="A8" i="54"/>
  <c r="B8" i="60"/>
  <c r="F2" i="21"/>
  <c r="F2" i="34"/>
  <c r="F2" i="35"/>
  <c r="F2" i="33"/>
  <c r="D36" i="57"/>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c r="D19" i="11"/>
  <c r="C20" i="12"/>
  <c r="C19" i="12"/>
  <c r="H113" i="43"/>
  <c r="X7" i="43"/>
  <c r="E59" i="43"/>
  <c r="B57" i="43"/>
  <c r="E70" i="43"/>
  <c r="B68" i="43"/>
  <c r="C24" i="43"/>
  <c r="AI11" i="43"/>
  <c r="AI13" i="43"/>
  <c r="AG11" i="43"/>
  <c r="AG13" i="43"/>
  <c r="AE11" i="43"/>
  <c r="AE13" i="43"/>
  <c r="AC11" i="43"/>
  <c r="AA11" i="43"/>
  <c r="Y11" i="43"/>
  <c r="Y13" i="43"/>
  <c r="AJ11" i="43"/>
  <c r="AJ13" i="43"/>
  <c r="AH11" i="43"/>
  <c r="AH13" i="43"/>
  <c r="AF11" i="43"/>
  <c r="AF13" i="43"/>
  <c r="AD11" i="43"/>
  <c r="AB11" i="43"/>
  <c r="AB13" i="43"/>
  <c r="Z11" i="43"/>
  <c r="Z13" i="43"/>
  <c r="Z7" i="43"/>
  <c r="C7" i="39"/>
  <c r="C67" i="39"/>
  <c r="C69" i="39"/>
  <c r="C53" i="10"/>
  <c r="D124" i="9"/>
  <c r="D7" i="52"/>
  <c r="N49" i="57"/>
  <c r="B58" i="60"/>
  <c r="L109" i="43"/>
  <c r="K106" i="43"/>
  <c r="C104"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L104" i="43"/>
  <c r="D105" i="43"/>
  <c r="D102" i="43"/>
  <c r="K103" i="43"/>
  <c r="G104" i="43"/>
  <c r="C105" i="43"/>
  <c r="D115" i="43"/>
  <c r="E115" i="43"/>
  <c r="F115" i="43"/>
  <c r="N106" i="43"/>
  <c r="G37" i="47"/>
  <c r="G19" i="43"/>
  <c r="O19" i="43"/>
  <c r="F36" i="43"/>
  <c r="C17" i="43"/>
  <c r="F35" i="43"/>
  <c r="F37" i="43"/>
  <c r="F39" i="43"/>
  <c r="K17" i="43"/>
  <c r="C7" i="34"/>
  <c r="C59" i="34"/>
  <c r="C7" i="36"/>
  <c r="C46" i="36"/>
  <c r="F38" i="43"/>
  <c r="K86" i="43"/>
  <c r="J86" i="43"/>
  <c r="D86" i="43"/>
  <c r="M87" i="43"/>
  <c r="N87" i="43"/>
  <c r="K82" i="43"/>
  <c r="J82" i="43"/>
  <c r="D82" i="43"/>
  <c r="M83" i="43"/>
  <c r="N83" i="43"/>
  <c r="D117" i="43"/>
  <c r="E117" i="43"/>
  <c r="F117" i="43"/>
  <c r="G117" i="43"/>
  <c r="H117" i="43"/>
  <c r="B116" i="43"/>
  <c r="C116" i="43"/>
  <c r="E105" i="43"/>
  <c r="F106" i="43"/>
  <c r="M12" i="43"/>
  <c r="M8" i="43"/>
  <c r="N7" i="43"/>
  <c r="M3" i="43"/>
  <c r="M11" i="43"/>
  <c r="N8" i="43"/>
  <c r="H8" i="44"/>
  <c r="H12" i="44"/>
  <c r="C62" i="39"/>
  <c r="M85" i="43"/>
  <c r="N85" i="43"/>
  <c r="K85" i="43"/>
  <c r="J85" i="43"/>
  <c r="D85" i="43"/>
  <c r="M82" i="43"/>
  <c r="N82" i="43"/>
  <c r="K83" i="43"/>
  <c r="J83" i="43"/>
  <c r="D83" i="43"/>
  <c r="H81" i="43"/>
  <c r="F103" i="43"/>
  <c r="N105" i="43"/>
  <c r="E102" i="43"/>
  <c r="E106" i="43"/>
  <c r="I103" i="43"/>
  <c r="M107" i="43"/>
  <c r="M104" i="43"/>
  <c r="B115" i="43"/>
  <c r="C115" i="43"/>
  <c r="D116" i="43"/>
  <c r="E116" i="43"/>
  <c r="F116" i="43"/>
  <c r="G116" i="43"/>
  <c r="H116" i="43"/>
  <c r="D118" i="43"/>
  <c r="E118" i="43"/>
  <c r="F118" i="43"/>
  <c r="M7" i="15"/>
  <c r="J6" i="15"/>
  <c r="F35" i="15"/>
  <c r="F64" i="15"/>
  <c r="E18" i="1"/>
  <c r="C34" i="11"/>
  <c r="C17" i="15"/>
  <c r="A2" i="9"/>
  <c r="W23" i="40"/>
  <c r="S23" i="40"/>
  <c r="U23" i="40"/>
  <c r="S38" i="40"/>
  <c r="U40" i="40"/>
  <c r="S33" i="40"/>
  <c r="AB31" i="40"/>
  <c r="AC14" i="40"/>
  <c r="AC13" i="40"/>
  <c r="S14" i="40"/>
  <c r="S31" i="40"/>
  <c r="S11" i="40"/>
  <c r="AB37" i="39"/>
  <c r="W42" i="39"/>
  <c r="W34" i="39"/>
  <c r="W32" i="39"/>
  <c r="AA32" i="39"/>
  <c r="S29" i="39"/>
  <c r="U40" i="39"/>
  <c r="AC41" i="39"/>
  <c r="U11" i="39"/>
  <c r="W36" i="39"/>
  <c r="S34" i="39"/>
  <c r="S39" i="39"/>
  <c r="U9" i="39"/>
  <c r="S20" i="36"/>
  <c r="AA13" i="36"/>
  <c r="AA33" i="36"/>
  <c r="S8" i="36"/>
  <c r="AB34" i="35"/>
  <c r="U33" i="35"/>
  <c r="S36" i="35"/>
  <c r="AA33" i="35"/>
  <c r="AA29" i="35"/>
  <c r="S22" i="35"/>
  <c r="U28" i="35"/>
  <c r="AB27" i="35"/>
  <c r="U36" i="35"/>
  <c r="S35" i="35"/>
  <c r="AC16" i="35"/>
  <c r="AA25" i="35"/>
  <c r="S28" i="35"/>
  <c r="AC34" i="37"/>
  <c r="U29" i="37"/>
  <c r="U30" i="37"/>
  <c r="U26" i="37"/>
  <c r="AC13" i="37"/>
  <c r="U38" i="37"/>
  <c r="AA13" i="37"/>
  <c r="W25" i="37"/>
  <c r="S9" i="37"/>
  <c r="G84" i="34"/>
  <c r="J21" i="34"/>
  <c r="AC21" i="34"/>
  <c r="AB40" i="34"/>
  <c r="AC19" i="34"/>
  <c r="AB28" i="34"/>
  <c r="W41" i="34"/>
  <c r="AA45" i="34"/>
  <c r="AB45" i="34"/>
  <c r="AB35" i="34"/>
  <c r="AB27" i="34"/>
  <c r="W29" i="34"/>
  <c r="W43" i="34"/>
  <c r="U34" i="34"/>
  <c r="S34" i="34"/>
  <c r="AC25" i="34"/>
  <c r="W44" i="34"/>
  <c r="AC33" i="34"/>
  <c r="AA33" i="34"/>
  <c r="S35" i="34"/>
  <c r="AB47" i="34"/>
  <c r="AA29" i="34"/>
  <c r="AC13" i="34"/>
  <c r="U10" i="34"/>
  <c r="S13" i="34"/>
  <c r="AA31" i="34"/>
  <c r="AB29" i="34"/>
  <c r="U37" i="33"/>
  <c r="U19" i="33"/>
  <c r="AC32" i="33"/>
  <c r="AA43" i="33"/>
  <c r="S32" i="33"/>
  <c r="U33" i="33"/>
  <c r="AA28" i="33"/>
  <c r="U30" i="33"/>
  <c r="S39" i="33"/>
  <c r="AB26" i="33"/>
  <c r="AA36" i="33"/>
  <c r="W35" i="33"/>
  <c r="W40" i="33"/>
  <c r="W26" i="33"/>
  <c r="S33" i="33"/>
  <c r="U35" i="33"/>
  <c r="AC45" i="33"/>
  <c r="AB29" i="33"/>
  <c r="AB36" i="33"/>
  <c r="W15" i="33"/>
  <c r="AA19" i="33"/>
  <c r="W8" i="33"/>
  <c r="G83" i="21"/>
  <c r="J21" i="21"/>
  <c r="AC21" i="21"/>
  <c r="S27" i="21"/>
  <c r="AC31" i="21"/>
  <c r="AA32" i="21"/>
  <c r="W23" i="21"/>
  <c r="AA25" i="21"/>
  <c r="U40" i="21"/>
  <c r="S46" i="21"/>
  <c r="AC46" i="21"/>
  <c r="AA26" i="21"/>
  <c r="W10" i="21"/>
  <c r="W12" i="21"/>
  <c r="S35" i="21"/>
  <c r="C15" i="39"/>
  <c r="C17" i="39"/>
  <c r="C19" i="39"/>
  <c r="C15" i="40"/>
  <c r="C17" i="40"/>
  <c r="B54" i="43"/>
  <c r="B65" i="43"/>
  <c r="U30" i="40"/>
  <c r="B52" i="43"/>
  <c r="B56" i="43"/>
  <c r="B63" i="43"/>
  <c r="B67" i="43"/>
  <c r="U37" i="40"/>
  <c r="AB37" i="40"/>
  <c r="AA28" i="40"/>
  <c r="S28" i="40"/>
  <c r="AC28" i="40"/>
  <c r="W28" i="40"/>
  <c r="AB28" i="40"/>
  <c r="AB21" i="40"/>
  <c r="U21" i="40"/>
  <c r="S21" i="40"/>
  <c r="AB17" i="40"/>
  <c r="W17" i="40"/>
  <c r="AC17" i="40"/>
  <c r="AA15" i="40"/>
  <c r="S15" i="40"/>
  <c r="U33" i="37"/>
  <c r="U35" i="37"/>
  <c r="AA35" i="37"/>
  <c r="S35" i="37"/>
  <c r="W33" i="37"/>
  <c r="AA19" i="37"/>
  <c r="S19" i="37"/>
  <c r="M86" i="43"/>
  <c r="N86" i="43"/>
  <c r="F34" i="11"/>
  <c r="E19" i="1"/>
  <c r="D20" i="1"/>
  <c r="D18" i="1"/>
  <c r="F50" i="11"/>
  <c r="F19" i="1"/>
  <c r="F18" i="1"/>
  <c r="C11" i="12"/>
  <c r="C15" i="12"/>
  <c r="D19" i="1"/>
  <c r="K87" i="43"/>
  <c r="J87" i="43"/>
  <c r="D87" i="43"/>
  <c r="C3" i="4"/>
  <c r="B4" i="55"/>
  <c r="B53" i="60"/>
  <c r="J22" i="43"/>
  <c r="M84" i="43"/>
  <c r="N84" i="43"/>
  <c r="K84" i="43"/>
  <c r="J84" i="43"/>
  <c r="D84" i="43"/>
  <c r="M81" i="43"/>
  <c r="N81" i="43"/>
  <c r="K81" i="43"/>
  <c r="J81" i="43"/>
  <c r="D81" i="43"/>
  <c r="M88" i="43"/>
  <c r="N88" i="43"/>
  <c r="K88" i="43"/>
  <c r="J88" i="43"/>
  <c r="D88" i="43"/>
  <c r="I114" i="57"/>
  <c r="D131" i="57"/>
  <c r="B41" i="1"/>
  <c r="M27" i="15"/>
  <c r="C13" i="12"/>
  <c r="C36" i="11"/>
  <c r="D118" i="57"/>
  <c r="D119" i="57"/>
  <c r="I115" i="57"/>
  <c r="D132" i="57"/>
  <c r="D134" i="57"/>
  <c r="D13" i="52"/>
  <c r="D130" i="9"/>
  <c r="N46" i="9"/>
  <c r="H60" i="43"/>
  <c r="H66" i="43"/>
  <c r="H84" i="43"/>
  <c r="H9" i="44"/>
  <c r="H7" i="44"/>
  <c r="H10" i="44"/>
  <c r="N12" i="43"/>
  <c r="N4" i="43"/>
  <c r="F70" i="43"/>
  <c r="M7" i="43"/>
  <c r="N1" i="43"/>
  <c r="M10" i="43"/>
  <c r="M2" i="43"/>
  <c r="H15" i="44"/>
  <c r="H64" i="43"/>
  <c r="H87" i="43"/>
  <c r="H86" i="43"/>
  <c r="H61" i="43"/>
  <c r="H5" i="44"/>
  <c r="N10" i="43"/>
  <c r="N2" i="43"/>
  <c r="N11" i="43"/>
  <c r="N9" i="43"/>
  <c r="M4" i="43"/>
  <c r="C6" i="43"/>
  <c r="N5" i="43"/>
  <c r="N3" i="43"/>
  <c r="M9" i="43"/>
  <c r="E17" i="43"/>
  <c r="N17" i="43"/>
  <c r="L17" i="43"/>
  <c r="O17" i="43"/>
  <c r="M17" i="43"/>
  <c r="J1" i="61"/>
  <c r="J52" i="15"/>
  <c r="M60" i="15"/>
  <c r="B25" i="59"/>
  <c r="B24" i="59"/>
  <c r="B23" i="59"/>
  <c r="B22" i="59"/>
  <c r="B21" i="59"/>
  <c r="AB25" i="59"/>
  <c r="U25" i="59"/>
  <c r="AA24" i="59"/>
  <c r="X24" i="59"/>
  <c r="AB24" i="59"/>
  <c r="AA23" i="59"/>
  <c r="Y23" i="59"/>
  <c r="Z23" i="59"/>
  <c r="Y21" i="59"/>
  <c r="Z21" i="59"/>
  <c r="AB21" i="59"/>
  <c r="AB19" i="59"/>
  <c r="X21" i="59"/>
  <c r="X19" i="59"/>
  <c r="AA21" i="59"/>
  <c r="AA19" i="59"/>
  <c r="AB20" i="59"/>
  <c r="X20" i="59"/>
  <c r="U21" i="59"/>
  <c r="J30" i="35"/>
  <c r="AC30" i="35"/>
  <c r="W30" i="35"/>
  <c r="H30" i="35"/>
  <c r="AB30" i="35"/>
  <c r="AA30" i="35"/>
  <c r="N56" i="9"/>
  <c r="O56" i="9"/>
  <c r="O58" i="57"/>
  <c r="K58" i="57"/>
  <c r="K59" i="57"/>
  <c r="K61" i="57"/>
  <c r="K63" i="57"/>
  <c r="N58" i="57"/>
  <c r="K56" i="9"/>
  <c r="K57" i="9"/>
  <c r="K59" i="9"/>
  <c r="K61" i="9"/>
  <c r="L58" i="57"/>
  <c r="X3" i="59"/>
  <c r="Y3" i="59"/>
  <c r="Z3" i="59"/>
  <c r="F48" i="43"/>
  <c r="H50" i="43"/>
  <c r="G4" i="47"/>
  <c r="S25" i="59"/>
  <c r="U30" i="35"/>
  <c r="I116" i="57"/>
  <c r="D133" i="57"/>
  <c r="D120" i="57"/>
  <c r="I114" i="9"/>
  <c r="D129" i="9"/>
  <c r="I112" i="9"/>
  <c r="D116" i="9"/>
  <c r="D114" i="9"/>
  <c r="D115" i="9"/>
  <c r="I113" i="9"/>
  <c r="F7" i="61"/>
  <c r="E2" i="21"/>
  <c r="H23" i="31"/>
  <c r="E2" i="34"/>
  <c r="C19" i="57"/>
  <c r="D19" i="57"/>
  <c r="F4" i="61"/>
  <c r="D20" i="57"/>
  <c r="E2" i="36"/>
  <c r="E2" i="35"/>
  <c r="E2" i="33"/>
  <c r="C20" i="57"/>
  <c r="F6" i="61"/>
  <c r="E2" i="11"/>
  <c r="F5" i="61"/>
  <c r="F3" i="61"/>
  <c r="E2" i="37"/>
  <c r="D7" i="61"/>
  <c r="U25" i="35"/>
  <c r="AB25" i="35"/>
  <c r="AB45" i="21"/>
  <c r="U45" i="21"/>
  <c r="AA27" i="34"/>
  <c r="S43" i="39"/>
  <c r="W43" i="33"/>
  <c r="S40" i="34"/>
  <c r="S34" i="36"/>
  <c r="S45" i="21"/>
  <c r="AA34" i="35"/>
  <c r="J25" i="35"/>
  <c r="W20" i="35"/>
  <c r="AC20" i="35"/>
  <c r="J13" i="33"/>
  <c r="F13" i="33"/>
  <c r="AB39" i="21"/>
  <c r="U23" i="34"/>
  <c r="S40" i="37"/>
  <c r="E48" i="43"/>
  <c r="B46" i="43"/>
  <c r="AB32" i="33"/>
  <c r="W27" i="37"/>
  <c r="AB15" i="37"/>
  <c r="W12" i="37"/>
  <c r="AB27" i="21"/>
  <c r="W12" i="36"/>
  <c r="U13" i="34"/>
  <c r="J13" i="36"/>
  <c r="AA23" i="33"/>
  <c r="AB22" i="35"/>
  <c r="S30" i="34"/>
  <c r="AC42" i="34"/>
  <c r="I14" i="62"/>
  <c r="B8" i="62"/>
  <c r="B117" i="43"/>
  <c r="C117" i="43"/>
  <c r="AC32" i="21"/>
  <c r="AB41" i="33"/>
  <c r="W10" i="37"/>
  <c r="U19" i="40"/>
  <c r="AC11" i="37"/>
  <c r="W17" i="21"/>
  <c r="S17" i="39"/>
  <c r="W36" i="33"/>
  <c r="AC45" i="39"/>
  <c r="AB42" i="21"/>
  <c r="AB34" i="39"/>
  <c r="U34" i="39"/>
  <c r="U25" i="36"/>
  <c r="F26" i="47"/>
  <c r="B24" i="47"/>
  <c r="W29" i="33"/>
  <c r="AC29" i="33"/>
  <c r="AB12" i="33"/>
  <c r="AA26" i="33"/>
  <c r="S26" i="33"/>
  <c r="J12" i="40"/>
  <c r="F12" i="40"/>
  <c r="AA12" i="40"/>
  <c r="W33" i="35"/>
  <c r="AA15" i="21"/>
  <c r="S17" i="37"/>
  <c r="S44" i="33"/>
  <c r="AA44" i="33"/>
  <c r="AA38" i="37"/>
  <c r="AC45" i="34"/>
  <c r="S37" i="37"/>
  <c r="F4" i="47"/>
  <c r="B2" i="47"/>
  <c r="S33" i="21"/>
  <c r="U28" i="33"/>
  <c r="AB28" i="33"/>
  <c r="J32" i="40"/>
  <c r="H32" i="40"/>
  <c r="U32" i="40"/>
  <c r="AA13" i="43"/>
  <c r="E81" i="43"/>
  <c r="B79" i="43"/>
  <c r="U46" i="33"/>
  <c r="W42" i="33"/>
  <c r="S22" i="36"/>
  <c r="N102" i="43"/>
  <c r="W37" i="34"/>
  <c r="AC13" i="39"/>
  <c r="H9" i="37"/>
  <c r="U44" i="33"/>
  <c r="AB44" i="33"/>
  <c r="J12" i="34"/>
  <c r="F12" i="34"/>
  <c r="AC31" i="36"/>
  <c r="W31" i="36"/>
  <c r="B28" i="59"/>
  <c r="B27" i="59"/>
  <c r="S29" i="59"/>
  <c r="U31" i="34"/>
  <c r="W45" i="21"/>
  <c r="AA23" i="21"/>
  <c r="S23" i="37"/>
  <c r="AA23" i="37"/>
  <c r="J23" i="35"/>
  <c r="H23" i="35"/>
  <c r="J43" i="39"/>
  <c r="H43" i="39"/>
  <c r="AA25" i="39"/>
  <c r="S11" i="36"/>
  <c r="AC35" i="21"/>
  <c r="J9" i="37"/>
  <c r="AB10" i="33"/>
  <c r="AC11" i="36"/>
  <c r="W32" i="34"/>
  <c r="AC32" i="34"/>
  <c r="AB45" i="33"/>
  <c r="U45" i="33"/>
  <c r="J14" i="34"/>
  <c r="W14" i="34"/>
  <c r="H14" i="34"/>
  <c r="D59" i="59"/>
  <c r="C60" i="59"/>
  <c r="H104" i="43"/>
  <c r="H102" i="43"/>
  <c r="S9" i="33"/>
  <c r="AB27" i="36"/>
  <c r="AC31" i="33"/>
  <c r="C24" i="59"/>
  <c r="T25" i="59"/>
  <c r="D25" i="59"/>
  <c r="U9" i="40"/>
  <c r="J12" i="33"/>
  <c r="F25" i="37"/>
  <c r="S21" i="33"/>
  <c r="X32" i="59"/>
  <c r="AB34" i="59"/>
  <c r="X22" i="59"/>
  <c r="AA8" i="35"/>
  <c r="D108" i="43"/>
  <c r="K108" i="43"/>
  <c r="S21" i="34"/>
  <c r="B75" i="43"/>
  <c r="C84" i="59"/>
  <c r="C56" i="59"/>
  <c r="B31" i="59"/>
  <c r="B32" i="59"/>
  <c r="B33" i="59"/>
  <c r="S33" i="59"/>
  <c r="Y32" i="59"/>
  <c r="Z32" i="59"/>
  <c r="F35" i="59"/>
  <c r="F36" i="59"/>
  <c r="F37" i="59"/>
  <c r="V37" i="59"/>
  <c r="AB37" i="59"/>
  <c r="Z10" i="43"/>
  <c r="AD12" i="43"/>
  <c r="AD13" i="43"/>
  <c r="AA27" i="59"/>
  <c r="U21" i="37"/>
  <c r="Y22" i="59"/>
  <c r="Z22" i="59"/>
  <c r="AA18" i="59"/>
  <c r="E108" i="43"/>
  <c r="E109" i="43"/>
  <c r="AB25" i="40"/>
  <c r="E72" i="59"/>
  <c r="E71" i="59"/>
  <c r="C31" i="59"/>
  <c r="AB32" i="59"/>
  <c r="Y35" i="59"/>
  <c r="Z35" i="59"/>
  <c r="B39" i="59"/>
  <c r="B40" i="59"/>
  <c r="B41" i="59"/>
  <c r="S41" i="59"/>
  <c r="AA12" i="59"/>
  <c r="U14" i="37"/>
  <c r="J9" i="36"/>
  <c r="C29" i="39"/>
  <c r="X33" i="59"/>
  <c r="AA35" i="59"/>
  <c r="AB17" i="59"/>
  <c r="D88" i="59"/>
  <c r="E33" i="59"/>
  <c r="U33" i="59"/>
  <c r="Y33" i="59"/>
  <c r="Z33" i="59"/>
  <c r="AB35" i="59"/>
  <c r="E45" i="59"/>
  <c r="U45" i="59"/>
  <c r="F65" i="59"/>
  <c r="V65" i="59"/>
  <c r="AC10" i="43"/>
  <c r="Y25" i="59"/>
  <c r="Z25" i="59"/>
  <c r="C72" i="59"/>
  <c r="AA30" i="59"/>
  <c r="AA32" i="59"/>
  <c r="X35" i="59"/>
  <c r="AA11" i="59"/>
  <c r="P72" i="15"/>
  <c r="AB22" i="59"/>
  <c r="U10" i="36"/>
  <c r="S13" i="40"/>
  <c r="W14" i="33"/>
  <c r="AB32" i="36"/>
  <c r="S8" i="39"/>
  <c r="J36" i="35"/>
  <c r="I105" i="9"/>
  <c r="D123" i="9"/>
  <c r="X31" i="59"/>
  <c r="AA38" i="59"/>
  <c r="B68" i="59"/>
  <c r="N68" i="59"/>
  <c r="AA12" i="43"/>
  <c r="Y34" i="59"/>
  <c r="Z34" i="59"/>
  <c r="Y26" i="59"/>
  <c r="Z26" i="59"/>
  <c r="X25" i="59"/>
  <c r="F12" i="33"/>
  <c r="Y31" i="59"/>
  <c r="Z31" i="59"/>
  <c r="B36" i="59"/>
  <c r="B37" i="59"/>
  <c r="S37" i="59"/>
  <c r="AB36" i="59"/>
  <c r="F41" i="59"/>
  <c r="V41" i="59"/>
  <c r="B48" i="59"/>
  <c r="B49" i="59"/>
  <c r="S49" i="59"/>
  <c r="E53" i="59"/>
  <c r="U53" i="59"/>
  <c r="E60" i="59"/>
  <c r="E61" i="59"/>
  <c r="U61" i="59"/>
  <c r="B76" i="59"/>
  <c r="B75" i="59"/>
  <c r="Y24" i="59"/>
  <c r="Z24" i="59"/>
  <c r="Y19" i="59"/>
  <c r="Z19" i="59"/>
  <c r="X27" i="59"/>
  <c r="AA29" i="59"/>
  <c r="X37" i="59"/>
  <c r="F52" i="59"/>
  <c r="F53" i="59"/>
  <c r="V53" i="59"/>
  <c r="F61" i="59"/>
  <c r="V61" i="59"/>
  <c r="AA25" i="59"/>
  <c r="X18" i="59"/>
  <c r="Y29" i="59"/>
  <c r="Z29" i="59"/>
  <c r="AA34" i="59"/>
  <c r="Y37" i="59"/>
  <c r="Z37" i="59"/>
  <c r="Y39" i="59"/>
  <c r="Z39" i="59"/>
  <c r="E48" i="59"/>
  <c r="E49" i="59"/>
  <c r="U49" i="59"/>
  <c r="Y18" i="59"/>
  <c r="Z18" i="59"/>
  <c r="F7" i="15"/>
  <c r="C8" i="11"/>
  <c r="C5" i="11"/>
  <c r="G41" i="11"/>
  <c r="G22" i="11"/>
  <c r="C110" i="57"/>
  <c r="H104" i="57"/>
  <c r="D32" i="9"/>
  <c r="A131" i="9"/>
  <c r="C114" i="57"/>
  <c r="H109" i="57"/>
  <c r="B101" i="9"/>
  <c r="D39" i="50"/>
  <c r="D40" i="50"/>
  <c r="A8" i="52"/>
  <c r="B65" i="60"/>
  <c r="A12" i="52"/>
  <c r="B67" i="60"/>
  <c r="W24" i="35"/>
  <c r="AC24" i="35"/>
  <c r="U26" i="35"/>
  <c r="AB26" i="35"/>
  <c r="W9" i="34"/>
  <c r="AC9" i="34"/>
  <c r="B20" i="59"/>
  <c r="B19" i="59"/>
  <c r="B18" i="59"/>
  <c r="B17" i="59"/>
  <c r="S21" i="59"/>
  <c r="AA41" i="33"/>
  <c r="AB37" i="21"/>
  <c r="S28" i="37"/>
  <c r="AB32" i="40"/>
  <c r="W34" i="36"/>
  <c r="AB16" i="35"/>
  <c r="J26" i="35"/>
  <c r="J9" i="35"/>
  <c r="H9" i="35"/>
  <c r="AA23" i="36"/>
  <c r="U33" i="36"/>
  <c r="AB33" i="36"/>
  <c r="B60" i="43"/>
  <c r="AA17" i="40"/>
  <c r="AC37" i="40"/>
  <c r="AB32" i="39"/>
  <c r="S17" i="34"/>
  <c r="W19" i="37"/>
  <c r="AC11" i="34"/>
  <c r="W40" i="34"/>
  <c r="AB27" i="37"/>
  <c r="AB27" i="33"/>
  <c r="AC40" i="37"/>
  <c r="AA11" i="35"/>
  <c r="W14" i="21"/>
  <c r="AC8" i="21"/>
  <c r="W8" i="21"/>
  <c r="AA10" i="21"/>
  <c r="AB39" i="34"/>
  <c r="U39" i="34"/>
  <c r="S40" i="33"/>
  <c r="AA40" i="33"/>
  <c r="B49" i="43"/>
  <c r="S26" i="35"/>
  <c r="S10" i="37"/>
  <c r="W29" i="21"/>
  <c r="S11" i="34"/>
  <c r="AA32" i="34"/>
  <c r="S46" i="33"/>
  <c r="AB37" i="37"/>
  <c r="AA31" i="36"/>
  <c r="S31" i="36"/>
  <c r="H67" i="43"/>
  <c r="W21" i="21"/>
  <c r="AB44" i="34"/>
  <c r="W29" i="35"/>
  <c r="AC36" i="40"/>
  <c r="AB21" i="39"/>
  <c r="AB25" i="39"/>
  <c r="AA30" i="33"/>
  <c r="AA37" i="33"/>
  <c r="AA19" i="40"/>
  <c r="S27" i="36"/>
  <c r="S40" i="21"/>
  <c r="H24" i="35"/>
  <c r="F9" i="34"/>
  <c r="U14" i="21"/>
  <c r="D42" i="50"/>
  <c r="D43" i="50"/>
  <c r="AB37" i="34"/>
  <c r="U43" i="34"/>
  <c r="H59" i="43"/>
  <c r="W17" i="34"/>
  <c r="S44" i="34"/>
  <c r="U31" i="21"/>
  <c r="W13" i="35"/>
  <c r="W11" i="40"/>
  <c r="AC11" i="40"/>
  <c r="U23" i="37"/>
  <c r="W21" i="34"/>
  <c r="AB35" i="40"/>
  <c r="AC29" i="37"/>
  <c r="J104" i="43"/>
  <c r="AC23" i="34"/>
  <c r="J107" i="43"/>
  <c r="W29" i="36"/>
  <c r="AB13" i="21"/>
  <c r="S32" i="36"/>
  <c r="F24" i="35"/>
  <c r="AA32" i="37"/>
  <c r="H9" i="34"/>
  <c r="U11" i="36"/>
  <c r="W41" i="21"/>
  <c r="AC41" i="21"/>
  <c r="W15" i="37"/>
  <c r="W15" i="40"/>
  <c r="AC21" i="40"/>
  <c r="AB25" i="21"/>
  <c r="AC13" i="43"/>
  <c r="W40" i="40"/>
  <c r="S41" i="21"/>
  <c r="AA41" i="21"/>
  <c r="B23" i="60"/>
  <c r="H65" i="43"/>
  <c r="AA27" i="33"/>
  <c r="W38" i="37"/>
  <c r="C21" i="39"/>
  <c r="AB19" i="37"/>
  <c r="AC22" i="36"/>
  <c r="W22" i="36"/>
  <c r="F39" i="37"/>
  <c r="H39" i="37"/>
  <c r="J39" i="37"/>
  <c r="F28" i="59"/>
  <c r="F27" i="59"/>
  <c r="V29" i="59"/>
  <c r="E16" i="59"/>
  <c r="E15" i="59"/>
  <c r="E14" i="59"/>
  <c r="E13" i="59"/>
  <c r="U17" i="59"/>
  <c r="F9" i="36"/>
  <c r="C45" i="59"/>
  <c r="D44" i="59"/>
  <c r="C64" i="59"/>
  <c r="D63" i="59"/>
  <c r="C41" i="59"/>
  <c r="D40" i="59"/>
  <c r="AC9" i="21"/>
  <c r="H12" i="34"/>
  <c r="M19" i="43"/>
  <c r="U41" i="59"/>
  <c r="D52" i="59"/>
  <c r="C53" i="59"/>
  <c r="B74" i="43"/>
  <c r="D67" i="59"/>
  <c r="O66" i="59"/>
  <c r="O67" i="59"/>
  <c r="F39" i="40"/>
  <c r="AA39" i="40"/>
  <c r="C36" i="59"/>
  <c r="D35" i="59"/>
  <c r="C48" i="59"/>
  <c r="D48" i="59"/>
  <c r="D47" i="59"/>
  <c r="J39" i="40"/>
  <c r="E67" i="59"/>
  <c r="P68" i="59"/>
  <c r="X25" i="31"/>
  <c r="AA18" i="36"/>
  <c r="AA36" i="59"/>
  <c r="AA22" i="59"/>
  <c r="AB18" i="59"/>
  <c r="Y20" i="59"/>
  <c r="Z20" i="59"/>
  <c r="X16" i="59"/>
  <c r="AB15" i="59"/>
  <c r="S18" i="35"/>
  <c r="AA3" i="59"/>
  <c r="Q69" i="59"/>
  <c r="X28" i="59"/>
  <c r="C29" i="59"/>
  <c r="S69" i="59"/>
  <c r="B72" i="59"/>
  <c r="B71" i="59"/>
  <c r="AB38" i="59"/>
  <c r="X34" i="59"/>
  <c r="AA31" i="59"/>
  <c r="Y16" i="59"/>
  <c r="Z16" i="59"/>
  <c r="H100" i="43"/>
  <c r="U18" i="35"/>
  <c r="D68" i="59"/>
  <c r="X29" i="59"/>
  <c r="U69" i="59"/>
  <c r="U77" i="59"/>
  <c r="AB33" i="59"/>
  <c r="AB23" i="59"/>
  <c r="AA20" i="59"/>
  <c r="AA17" i="59"/>
  <c r="X13" i="59"/>
  <c r="AA10" i="59"/>
  <c r="W18" i="35"/>
  <c r="O68" i="59"/>
  <c r="AA28" i="59"/>
  <c r="D43" i="59"/>
  <c r="F68" i="59"/>
  <c r="F72" i="59"/>
  <c r="F71" i="59"/>
  <c r="X36" i="59"/>
  <c r="AA33" i="59"/>
  <c r="X12" i="59"/>
  <c r="U29" i="59"/>
  <c r="X7" i="59"/>
  <c r="X6" i="59"/>
  <c r="X5" i="59"/>
  <c r="X8" i="59"/>
  <c r="X11" i="59"/>
  <c r="X9" i="59"/>
  <c r="V77" i="59"/>
  <c r="Y38" i="59"/>
  <c r="Z38" i="59"/>
  <c r="AA16" i="59"/>
  <c r="X10" i="59"/>
  <c r="AA13" i="59"/>
  <c r="B86" i="43"/>
  <c r="C75" i="59"/>
  <c r="D75" i="59"/>
  <c r="B15" i="50"/>
  <c r="AB30" i="59"/>
  <c r="X14" i="59"/>
  <c r="AA14" i="59"/>
  <c r="H17" i="43"/>
  <c r="AB21" i="33"/>
  <c r="C79" i="59"/>
  <c r="D79" i="59"/>
  <c r="AB29" i="59"/>
  <c r="D69" i="59"/>
  <c r="X15" i="59"/>
  <c r="AA15" i="59"/>
  <c r="I100" i="43"/>
  <c r="S21" i="21"/>
  <c r="AB28" i="59"/>
  <c r="E80" i="59"/>
  <c r="E79" i="59"/>
  <c r="Y5" i="59"/>
  <c r="Z5" i="59"/>
  <c r="Y7" i="59"/>
  <c r="Z7" i="59"/>
  <c r="Y8" i="59"/>
  <c r="Z8" i="59"/>
  <c r="Y9" i="59"/>
  <c r="Z9" i="59"/>
  <c r="Y10" i="59"/>
  <c r="Z10" i="59"/>
  <c r="Y6" i="59"/>
  <c r="Z6" i="59"/>
  <c r="F24" i="59"/>
  <c r="F23" i="59"/>
  <c r="F22" i="59"/>
  <c r="F21" i="59"/>
  <c r="X23" i="59"/>
  <c r="AB16" i="59"/>
  <c r="AB13" i="59"/>
  <c r="Y11" i="59"/>
  <c r="Z11" i="59"/>
  <c r="AB11" i="59"/>
  <c r="Y14" i="59"/>
  <c r="Z14" i="59"/>
  <c r="U27" i="31"/>
  <c r="U25" i="31"/>
  <c r="C36" i="57"/>
  <c r="D125" i="57"/>
  <c r="L108" i="57"/>
  <c r="N108" i="43"/>
  <c r="N109" i="43"/>
  <c r="AA21" i="37"/>
  <c r="AB26" i="59"/>
  <c r="Y27" i="59"/>
  <c r="Z27" i="59"/>
  <c r="F31" i="59"/>
  <c r="F32" i="59"/>
  <c r="F33" i="59"/>
  <c r="V33" i="59"/>
  <c r="E35" i="59"/>
  <c r="E36" i="59"/>
  <c r="E37" i="59"/>
  <c r="U37" i="59"/>
  <c r="AA7" i="59"/>
  <c r="AA5" i="59"/>
  <c r="AA6" i="59"/>
  <c r="AA8" i="59"/>
  <c r="AA9" i="59"/>
  <c r="V81" i="59"/>
  <c r="AB14" i="59"/>
  <c r="Y13" i="59"/>
  <c r="Z13" i="59"/>
  <c r="B67" i="59"/>
  <c r="D51" i="59"/>
  <c r="AB6" i="59"/>
  <c r="AB7" i="59"/>
  <c r="AB9" i="59"/>
  <c r="AB8" i="59"/>
  <c r="AB5" i="59"/>
  <c r="AB10" i="59"/>
  <c r="Y12" i="59"/>
  <c r="Z12" i="59"/>
  <c r="Y27" i="31"/>
  <c r="Y25" i="31"/>
  <c r="AB40" i="59"/>
  <c r="AB12" i="59"/>
  <c r="Y15" i="59"/>
  <c r="Z15" i="59"/>
  <c r="U15" i="40"/>
  <c r="W32" i="40"/>
  <c r="AC32" i="40"/>
  <c r="AA32" i="40"/>
  <c r="S12" i="40"/>
  <c r="AC27" i="40"/>
  <c r="S34" i="40"/>
  <c r="W8" i="40"/>
  <c r="S25" i="40"/>
  <c r="S21" i="39"/>
  <c r="S11" i="39"/>
  <c r="AB15" i="39"/>
  <c r="AC15" i="39"/>
  <c r="AA15" i="39"/>
  <c r="G63" i="39"/>
  <c r="C63" i="39"/>
  <c r="G58" i="40"/>
  <c r="C58" i="40"/>
  <c r="G59" i="40"/>
  <c r="C59" i="40"/>
  <c r="E8" i="43"/>
  <c r="E11" i="43"/>
  <c r="E9" i="43"/>
  <c r="E10" i="43"/>
  <c r="E12" i="59"/>
  <c r="E11" i="59"/>
  <c r="E10" i="59"/>
  <c r="E9" i="59"/>
  <c r="U13" i="59"/>
  <c r="D18" i="50"/>
  <c r="B31" i="60"/>
  <c r="A10" i="52"/>
  <c r="B66" i="60"/>
  <c r="C14" i="15"/>
  <c r="C15" i="15"/>
  <c r="D12" i="52"/>
  <c r="H70" i="43"/>
  <c r="H76" i="43"/>
  <c r="H78" i="43"/>
  <c r="H75" i="43"/>
  <c r="H73" i="43"/>
  <c r="G26" i="47"/>
  <c r="H62" i="43"/>
  <c r="H88" i="43"/>
  <c r="H83" i="43"/>
  <c r="H82" i="43"/>
  <c r="H54" i="43"/>
  <c r="H51" i="43"/>
  <c r="B20" i="60"/>
  <c r="C18" i="50"/>
  <c r="AA8" i="37"/>
  <c r="AC8" i="37"/>
  <c r="AC36" i="37"/>
  <c r="S36" i="37"/>
  <c r="S30" i="37"/>
  <c r="W31" i="37"/>
  <c r="AA29" i="37"/>
  <c r="D67" i="39"/>
  <c r="E67" i="39"/>
  <c r="E69" i="39"/>
  <c r="C18" i="12"/>
  <c r="C21" i="50"/>
  <c r="M17" i="15"/>
  <c r="F15" i="48"/>
  <c r="H15" i="48"/>
  <c r="B14" i="48"/>
  <c r="D14" i="48"/>
  <c r="F13" i="48"/>
  <c r="H13" i="48"/>
  <c r="F14" i="48"/>
  <c r="H14" i="48"/>
  <c r="L60" i="15"/>
  <c r="Q72" i="15"/>
  <c r="C10" i="11"/>
  <c r="B103" i="9"/>
  <c r="C40" i="11"/>
  <c r="C47" i="11"/>
  <c r="D45" i="11"/>
  <c r="M18" i="15"/>
  <c r="J18" i="15"/>
  <c r="F55" i="57"/>
  <c r="F52" i="9"/>
  <c r="F32" i="15"/>
  <c r="F61" i="15"/>
  <c r="F50" i="57"/>
  <c r="P54" i="57"/>
  <c r="F56" i="57"/>
  <c r="F54" i="9"/>
  <c r="F53" i="9"/>
  <c r="D70" i="57"/>
  <c r="F31" i="12"/>
  <c r="C31" i="12"/>
  <c r="F48" i="9"/>
  <c r="P52" i="9"/>
  <c r="F30" i="11"/>
  <c r="F48" i="11"/>
  <c r="F28" i="15"/>
  <c r="C28" i="15"/>
  <c r="F54" i="57"/>
  <c r="D68" i="9"/>
  <c r="C19" i="11"/>
  <c r="B105" i="57"/>
  <c r="C118" i="57"/>
  <c r="H114" i="57"/>
  <c r="S29" i="31"/>
  <c r="S25" i="31"/>
  <c r="T28" i="31"/>
  <c r="T25" i="31"/>
  <c r="C116" i="57"/>
  <c r="H112" i="57"/>
  <c r="C17" i="12"/>
  <c r="B36" i="50"/>
  <c r="B56" i="60"/>
  <c r="H53" i="43"/>
  <c r="N60" i="15"/>
  <c r="C12" i="12"/>
  <c r="C16" i="12"/>
  <c r="G17" i="43"/>
  <c r="C16" i="43"/>
  <c r="C5" i="43"/>
  <c r="J20" i="15"/>
  <c r="C6" i="15"/>
  <c r="F51" i="15"/>
  <c r="D62" i="40"/>
  <c r="C64" i="40"/>
  <c r="D127" i="9"/>
  <c r="H14" i="62"/>
  <c r="B7" i="6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C35" i="11"/>
  <c r="C38" i="11"/>
  <c r="C79" i="57"/>
  <c r="C76" i="57"/>
  <c r="C24" i="12"/>
  <c r="C29" i="12"/>
  <c r="D28" i="12"/>
  <c r="C77" i="9"/>
  <c r="C74" i="9"/>
  <c r="G52" i="37"/>
  <c r="H52" i="37"/>
  <c r="I52" i="37"/>
  <c r="J52" i="37"/>
  <c r="K52" i="37"/>
  <c r="L52" i="37"/>
  <c r="M52" i="37"/>
  <c r="N52" i="37"/>
  <c r="O52" i="37"/>
  <c r="H7" i="37"/>
  <c r="AB7" i="37"/>
  <c r="T42" i="37"/>
  <c r="G42" i="37"/>
  <c r="G46" i="37"/>
  <c r="H46" i="37"/>
  <c r="F31" i="15"/>
  <c r="H48" i="43"/>
  <c r="H49" i="43"/>
  <c r="H55" i="43"/>
  <c r="J7" i="33"/>
  <c r="W7" i="33"/>
  <c r="B13" i="1"/>
  <c r="I48" i="35"/>
  <c r="J48" i="35"/>
  <c r="K48" i="35"/>
  <c r="L48" i="35"/>
  <c r="M48" i="35"/>
  <c r="N48" i="35"/>
  <c r="O48" i="35"/>
  <c r="F7" i="35"/>
  <c r="D59" i="34"/>
  <c r="D46" i="36"/>
  <c r="G115" i="43"/>
  <c r="H115" i="43"/>
  <c r="E58" i="21"/>
  <c r="H72" i="43"/>
  <c r="H74" i="43"/>
  <c r="H77" i="43"/>
  <c r="F102" i="43"/>
  <c r="F107" i="43"/>
  <c r="J103" i="43"/>
  <c r="J109" i="43"/>
  <c r="M103" i="43"/>
  <c r="M105" i="43"/>
  <c r="E22" i="43"/>
  <c r="D22" i="43"/>
  <c r="C21" i="43"/>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C13" i="50"/>
  <c r="C92" i="9"/>
  <c r="C94" i="9"/>
  <c r="C109" i="9"/>
  <c r="H106" i="9"/>
  <c r="C111" i="9"/>
  <c r="H108" i="9"/>
  <c r="H105" i="9"/>
  <c r="C110" i="9"/>
  <c r="H107" i="9"/>
  <c r="D21" i="50"/>
  <c r="D41" i="50"/>
  <c r="B63" i="60"/>
  <c r="C12" i="50"/>
  <c r="C94" i="57"/>
  <c r="C96" i="57"/>
  <c r="C113" i="57"/>
  <c r="H108" i="57"/>
  <c r="C115" i="57"/>
  <c r="H110" i="57"/>
  <c r="D19" i="50"/>
  <c r="B32" i="60"/>
  <c r="C23" i="12"/>
  <c r="D128" i="9"/>
  <c r="D11" i="52"/>
  <c r="D20" i="50"/>
  <c r="C34" i="15"/>
  <c r="D8" i="62"/>
  <c r="C8" i="62"/>
  <c r="C14" i="50"/>
  <c r="B5" i="48"/>
  <c r="D5" i="48"/>
  <c r="F7" i="48"/>
  <c r="H7" i="48"/>
  <c r="F11" i="48"/>
  <c r="H11" i="48"/>
  <c r="B12" i="48"/>
  <c r="D12" i="48"/>
  <c r="X17" i="59"/>
  <c r="Y17" i="59"/>
  <c r="Z17" i="59"/>
  <c r="AF3" i="59"/>
  <c r="P25" i="43"/>
  <c r="B10" i="48"/>
  <c r="D10" i="48"/>
  <c r="B7" i="48"/>
  <c r="D7" i="48"/>
  <c r="B4" i="48"/>
  <c r="D4" i="48"/>
  <c r="F4" i="48"/>
  <c r="H4" i="48"/>
  <c r="F5" i="48"/>
  <c r="H5" i="48"/>
  <c r="F6" i="48"/>
  <c r="H6" i="48"/>
  <c r="B6" i="48"/>
  <c r="D6" i="48"/>
  <c r="F8" i="48"/>
  <c r="H8" i="48"/>
  <c r="B11" i="48"/>
  <c r="D11" i="48"/>
  <c r="B13" i="48"/>
  <c r="D13" i="48"/>
  <c r="B9" i="48"/>
  <c r="F9" i="48"/>
  <c r="H9" i="48"/>
  <c r="F12" i="48"/>
  <c r="H12" i="48"/>
  <c r="B8" i="48"/>
  <c r="D8" i="48"/>
  <c r="F10" i="48"/>
  <c r="H10" i="48"/>
  <c r="C103" i="57"/>
  <c r="G19" i="57"/>
  <c r="D22" i="57"/>
  <c r="D103" i="57"/>
  <c r="I1" i="61"/>
  <c r="B31" i="1"/>
  <c r="G20" i="57"/>
  <c r="C104" i="57"/>
  <c r="D104" i="57"/>
  <c r="D6" i="61"/>
  <c r="D4" i="61"/>
  <c r="D5" i="61"/>
  <c r="D3" i="61"/>
  <c r="D6" i="52"/>
  <c r="L106" i="9"/>
  <c r="A18" i="55"/>
  <c r="B48" i="60"/>
  <c r="D84" i="59"/>
  <c r="C83" i="59"/>
  <c r="D83" i="59"/>
  <c r="AC43" i="39"/>
  <c r="W43" i="39"/>
  <c r="W25" i="35"/>
  <c r="AC25" i="35"/>
  <c r="AC36" i="35"/>
  <c r="W36" i="35"/>
  <c r="U23" i="35"/>
  <c r="AB23" i="35"/>
  <c r="S12" i="34"/>
  <c r="AA12" i="34"/>
  <c r="D72" i="59"/>
  <c r="C71" i="59"/>
  <c r="D71" i="59"/>
  <c r="AC23" i="35"/>
  <c r="W23" i="35"/>
  <c r="W12" i="34"/>
  <c r="AC12" i="34"/>
  <c r="AC9" i="36"/>
  <c r="W9" i="36"/>
  <c r="D24" i="59"/>
  <c r="C23" i="59"/>
  <c r="AC14" i="34"/>
  <c r="S12" i="33"/>
  <c r="AA12" i="33"/>
  <c r="AB9" i="37"/>
  <c r="U9" i="37"/>
  <c r="AC12" i="40"/>
  <c r="W12" i="40"/>
  <c r="AC9" i="37"/>
  <c r="W9" i="37"/>
  <c r="W13" i="36"/>
  <c r="AC13" i="36"/>
  <c r="S13" i="33"/>
  <c r="AA13" i="33"/>
  <c r="D31" i="59"/>
  <c r="C32" i="59"/>
  <c r="C61" i="59"/>
  <c r="D60" i="59"/>
  <c r="W13" i="33"/>
  <c r="AC13" i="33"/>
  <c r="AA25" i="37"/>
  <c r="S25" i="37"/>
  <c r="C37" i="57"/>
  <c r="F125" i="57"/>
  <c r="G125" i="57"/>
  <c r="C57" i="59"/>
  <c r="D56" i="59"/>
  <c r="W12" i="33"/>
  <c r="AC12" i="33"/>
  <c r="U14" i="34"/>
  <c r="AB14" i="34"/>
  <c r="U43" i="39"/>
  <c r="AB43" i="39"/>
  <c r="C20" i="11"/>
  <c r="C28" i="11"/>
  <c r="C27" i="11"/>
  <c r="C105" i="57"/>
  <c r="D126" i="57"/>
  <c r="E125" i="57"/>
  <c r="C112" i="9"/>
  <c r="H110" i="9"/>
  <c r="C114" i="9"/>
  <c r="H112" i="9"/>
  <c r="C116" i="9"/>
  <c r="H114" i="9"/>
  <c r="C106" i="9"/>
  <c r="H102" i="9"/>
  <c r="F7" i="37"/>
  <c r="S7" i="37"/>
  <c r="J7" i="37"/>
  <c r="AC7" i="37"/>
  <c r="V42" i="37"/>
  <c r="I42" i="37"/>
  <c r="D69" i="39"/>
  <c r="K1" i="61"/>
  <c r="N66" i="59"/>
  <c r="N67" i="59"/>
  <c r="AB39" i="37"/>
  <c r="U39" i="37"/>
  <c r="S9" i="34"/>
  <c r="AA9" i="34"/>
  <c r="AB9" i="34"/>
  <c r="U9" i="34"/>
  <c r="C28" i="59"/>
  <c r="D29" i="59"/>
  <c r="T29" i="59"/>
  <c r="T41" i="59"/>
  <c r="D41" i="59"/>
  <c r="S39" i="37"/>
  <c r="AA39" i="37"/>
  <c r="S24" i="35"/>
  <c r="AA24" i="35"/>
  <c r="AB24" i="35"/>
  <c r="U24" i="35"/>
  <c r="B16" i="59"/>
  <c r="B15" i="59"/>
  <c r="B14" i="59"/>
  <c r="B13" i="59"/>
  <c r="S17" i="59"/>
  <c r="AC39" i="37"/>
  <c r="W39" i="37"/>
  <c r="Q68" i="59"/>
  <c r="F67" i="59"/>
  <c r="C65" i="59"/>
  <c r="D64" i="59"/>
  <c r="U9" i="35"/>
  <c r="AB9" i="35"/>
  <c r="T53" i="59"/>
  <c r="D53" i="59"/>
  <c r="AC9" i="35"/>
  <c r="W9" i="35"/>
  <c r="S39" i="40"/>
  <c r="P66" i="59"/>
  <c r="P67" i="59"/>
  <c r="T45" i="59"/>
  <c r="D45" i="59"/>
  <c r="AC26" i="35"/>
  <c r="W26" i="35"/>
  <c r="AC39" i="40"/>
  <c r="W39" i="40"/>
  <c r="AA9" i="36"/>
  <c r="S9" i="36"/>
  <c r="F67" i="39"/>
  <c r="G67" i="39"/>
  <c r="U12" i="34"/>
  <c r="AB12" i="34"/>
  <c r="F20" i="59"/>
  <c r="F19" i="59"/>
  <c r="F18" i="59"/>
  <c r="F17" i="59"/>
  <c r="V21" i="59"/>
  <c r="C37" i="59"/>
  <c r="D36" i="59"/>
  <c r="F69" i="39"/>
  <c r="C7" i="43"/>
  <c r="U9" i="59"/>
  <c r="E8" i="59"/>
  <c r="C18" i="15"/>
  <c r="C16" i="15"/>
  <c r="J7" i="35"/>
  <c r="AC7" i="35"/>
  <c r="V38" i="35"/>
  <c r="I38" i="35"/>
  <c r="C30" i="11"/>
  <c r="C48" i="11"/>
  <c r="C32" i="15"/>
  <c r="D5" i="43"/>
  <c r="Q59" i="15"/>
  <c r="C21" i="12"/>
  <c r="C22" i="12"/>
  <c r="C30" i="12"/>
  <c r="C28" i="12"/>
  <c r="C33" i="11"/>
  <c r="C39" i="11"/>
  <c r="C46" i="11"/>
  <c r="C45" i="11"/>
  <c r="C106" i="57"/>
  <c r="D9" i="48"/>
  <c r="E3" i="4"/>
  <c r="D7" i="62"/>
  <c r="C7" i="62"/>
  <c r="U7" i="37"/>
  <c r="C50" i="15"/>
  <c r="F60" i="15"/>
  <c r="B23" i="31"/>
  <c r="R25" i="31"/>
  <c r="AC7" i="33"/>
  <c r="V48" i="33"/>
  <c r="I48" i="33"/>
  <c r="I52" i="33"/>
  <c r="J52" i="33"/>
  <c r="D113" i="43"/>
  <c r="D64" i="40"/>
  <c r="E62" i="40"/>
  <c r="AA7" i="37"/>
  <c r="R42" i="37"/>
  <c r="R43" i="37"/>
  <c r="L49" i="15"/>
  <c r="I20" i="43"/>
  <c r="B14" i="1"/>
  <c r="AB7" i="33"/>
  <c r="T48" i="33"/>
  <c r="G48" i="33"/>
  <c r="U7" i="33"/>
  <c r="F58" i="21"/>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D22" i="50"/>
  <c r="B35" i="60"/>
  <c r="B33" i="60"/>
  <c r="C19" i="43"/>
  <c r="P24" i="43"/>
  <c r="B65" i="40"/>
  <c r="P21" i="43"/>
  <c r="B70" i="39"/>
  <c r="P23" i="43"/>
  <c r="P22" i="43"/>
  <c r="P28" i="43"/>
  <c r="N28" i="43"/>
  <c r="M28" i="43"/>
  <c r="O28" i="43"/>
  <c r="G20" i="43"/>
  <c r="E41" i="43"/>
  <c r="C41" i="43"/>
  <c r="F11" i="15"/>
  <c r="M11" i="15"/>
  <c r="J10" i="15"/>
  <c r="J5" i="15"/>
  <c r="G1" i="61"/>
  <c r="D23" i="59"/>
  <c r="C22" i="59"/>
  <c r="T57" i="59"/>
  <c r="D57" i="59"/>
  <c r="T61" i="59"/>
  <c r="D61" i="59"/>
  <c r="F126" i="57"/>
  <c r="C33" i="59"/>
  <c r="D32" i="59"/>
  <c r="J7" i="36"/>
  <c r="W7" i="36"/>
  <c r="C19" i="15"/>
  <c r="C20" i="15"/>
  <c r="C26" i="15"/>
  <c r="W7" i="37"/>
  <c r="E27" i="1"/>
  <c r="F22" i="11"/>
  <c r="F41" i="11"/>
  <c r="G69" i="39"/>
  <c r="H67" i="39"/>
  <c r="D28" i="59"/>
  <c r="C27" i="59"/>
  <c r="D27" i="59"/>
  <c r="B12" i="59"/>
  <c r="B11" i="59"/>
  <c r="B10" i="59"/>
  <c r="B9" i="59"/>
  <c r="S13" i="59"/>
  <c r="W7" i="35"/>
  <c r="T65" i="59"/>
  <c r="D65" i="59"/>
  <c r="T37" i="59"/>
  <c r="D37" i="59"/>
  <c r="E42" i="37"/>
  <c r="E46" i="37"/>
  <c r="F46" i="37"/>
  <c r="F16" i="59"/>
  <c r="F15" i="59"/>
  <c r="F14" i="59"/>
  <c r="F13" i="59"/>
  <c r="V17" i="59"/>
  <c r="Q66" i="59"/>
  <c r="Q67" i="59"/>
  <c r="E7" i="59"/>
  <c r="H7" i="36"/>
  <c r="U7" i="36"/>
  <c r="C20" i="43"/>
  <c r="C29" i="43"/>
  <c r="B5" i="55"/>
  <c r="B55" i="60"/>
  <c r="B18" i="49"/>
  <c r="B4" i="60"/>
  <c r="B24" i="31"/>
  <c r="B3" i="31"/>
  <c r="C35" i="57"/>
  <c r="I125" i="57"/>
  <c r="B2" i="31"/>
  <c r="C34" i="57"/>
  <c r="H125" i="57"/>
  <c r="E64" i="40"/>
  <c r="F62" i="40"/>
  <c r="H10" i="39"/>
  <c r="H10" i="40"/>
  <c r="J10" i="39"/>
  <c r="F10" i="40"/>
  <c r="J10" i="40"/>
  <c r="F10" i="39"/>
  <c r="I55" i="15"/>
  <c r="J58" i="15"/>
  <c r="J56" i="15"/>
  <c r="J59" i="15"/>
  <c r="Q48" i="15"/>
  <c r="L59" i="15"/>
  <c r="L57" i="15"/>
  <c r="J54" i="15"/>
  <c r="G42" i="35"/>
  <c r="H42" i="35"/>
  <c r="G43" i="35"/>
  <c r="H43" i="35"/>
  <c r="R49" i="33"/>
  <c r="E48" i="33"/>
  <c r="F7" i="36"/>
  <c r="I42" i="35"/>
  <c r="J42" i="35"/>
  <c r="C43" i="37"/>
  <c r="B2" i="37"/>
  <c r="B3" i="37"/>
  <c r="C42" i="37"/>
  <c r="R39" i="35"/>
  <c r="E38" i="35"/>
  <c r="I43" i="35"/>
  <c r="J43" i="35"/>
  <c r="F59" i="34"/>
  <c r="G58" i="21"/>
  <c r="G52" i="33"/>
  <c r="H52" i="33"/>
  <c r="G53" i="33"/>
  <c r="H53" i="33"/>
  <c r="I46" i="37"/>
  <c r="J46" i="37"/>
  <c r="I47" i="37"/>
  <c r="J47" i="37"/>
  <c r="G47" i="37"/>
  <c r="H47" i="37"/>
  <c r="C39" i="43"/>
  <c r="G39" i="43"/>
  <c r="I39" i="43"/>
  <c r="C38" i="43"/>
  <c r="C10" i="15"/>
  <c r="C5" i="15"/>
  <c r="C54" i="15"/>
  <c r="C49" i="15"/>
  <c r="J24" i="15"/>
  <c r="J26" i="15"/>
  <c r="T33" i="59"/>
  <c r="D33" i="59"/>
  <c r="AC7" i="36"/>
  <c r="V36" i="36"/>
  <c r="I36" i="36"/>
  <c r="C21" i="59"/>
  <c r="D22" i="59"/>
  <c r="F24" i="15"/>
  <c r="C23" i="15"/>
  <c r="F25" i="12"/>
  <c r="C27" i="12"/>
  <c r="C25" i="12"/>
  <c r="AB7" i="36"/>
  <c r="T36" i="36"/>
  <c r="G36" i="36"/>
  <c r="G40" i="36"/>
  <c r="H40" i="36"/>
  <c r="E47" i="37"/>
  <c r="F47" i="37"/>
  <c r="S9" i="59"/>
  <c r="B8" i="59"/>
  <c r="B7" i="59"/>
  <c r="B6" i="59"/>
  <c r="F12" i="59"/>
  <c r="F11" i="59"/>
  <c r="F10" i="59"/>
  <c r="F9" i="59"/>
  <c r="V13" i="59"/>
  <c r="H69" i="39"/>
  <c r="I67" i="39"/>
  <c r="E6" i="59"/>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D110" i="57"/>
  <c r="H126" i="57"/>
  <c r="C107" i="57"/>
  <c r="I104" i="57"/>
  <c r="D111" i="57"/>
  <c r="C108" i="57"/>
  <c r="I105" i="57"/>
  <c r="F64" i="40"/>
  <c r="G62" i="40"/>
  <c r="AA10" i="39"/>
  <c r="S10" i="39"/>
  <c r="S10" i="40"/>
  <c r="AA10" i="40"/>
  <c r="AB10" i="40"/>
  <c r="U10" i="40"/>
  <c r="Q50" i="15"/>
  <c r="B34" i="1"/>
  <c r="F41" i="15"/>
  <c r="F70" i="15"/>
  <c r="Q58" i="15"/>
  <c r="Q71" i="15"/>
  <c r="W10" i="40"/>
  <c r="AC10" i="40"/>
  <c r="W10" i="39"/>
  <c r="AC10" i="39"/>
  <c r="U10" i="39"/>
  <c r="AB10" i="39"/>
  <c r="E42" i="35"/>
  <c r="F42" i="35"/>
  <c r="E43" i="35"/>
  <c r="F43" i="35"/>
  <c r="AA7" i="36"/>
  <c r="R36" i="36"/>
  <c r="S7" i="36"/>
  <c r="E53" i="33"/>
  <c r="F53" i="33"/>
  <c r="E52" i="33"/>
  <c r="F52" i="33"/>
  <c r="I53" i="33"/>
  <c r="J53" i="33"/>
  <c r="I40" i="36"/>
  <c r="J40" i="36"/>
  <c r="H58" i="21"/>
  <c r="G59" i="34"/>
  <c r="C38" i="35"/>
  <c r="C39" i="35"/>
  <c r="C48" i="33"/>
  <c r="C49" i="33"/>
  <c r="B2" i="33"/>
  <c r="B3" i="33"/>
  <c r="E39" i="43"/>
  <c r="E38" i="43"/>
  <c r="G38" i="43"/>
  <c r="I38" i="43"/>
  <c r="C43" i="11"/>
  <c r="C23" i="11"/>
  <c r="C44" i="11"/>
  <c r="D41" i="11"/>
  <c r="C25" i="11"/>
  <c r="C42" i="11"/>
  <c r="C26" i="11"/>
  <c r="D22" i="11"/>
  <c r="C24" i="11"/>
  <c r="C61" i="15"/>
  <c r="C67" i="15"/>
  <c r="C38" i="15"/>
  <c r="C20" i="59"/>
  <c r="T21" i="59"/>
  <c r="D21" i="59"/>
  <c r="C26" i="12"/>
  <c r="D25" i="12"/>
  <c r="C32" i="12"/>
  <c r="C24" i="15"/>
  <c r="C29" i="15"/>
  <c r="J14" i="15"/>
  <c r="G41" i="36"/>
  <c r="H41" i="36"/>
  <c r="I69" i="39"/>
  <c r="J67" i="39"/>
  <c r="V9" i="59"/>
  <c r="F8" i="59"/>
  <c r="F7" i="59"/>
  <c r="F6" i="59"/>
  <c r="F5" i="59"/>
  <c r="V5" i="59"/>
  <c r="E5" i="59"/>
  <c r="U5" i="59"/>
  <c r="B5" i="59"/>
  <c r="S5" i="59"/>
  <c r="E33" i="43"/>
  <c r="G36" i="43"/>
  <c r="I36" i="43"/>
  <c r="E35" i="43"/>
  <c r="E34" i="43"/>
  <c r="G37" i="43"/>
  <c r="I37" i="43"/>
  <c r="I112" i="57"/>
  <c r="D47" i="57"/>
  <c r="N50" i="57"/>
  <c r="D116" i="57"/>
  <c r="D117" i="57"/>
  <c r="I113" i="57"/>
  <c r="D130" i="57"/>
  <c r="D10" i="52"/>
  <c r="D121" i="57"/>
  <c r="I117" i="57"/>
  <c r="G64" i="40"/>
  <c r="H62" i="40"/>
  <c r="J29" i="15"/>
  <c r="B3" i="35"/>
  <c r="B2" i="35"/>
  <c r="H59" i="34"/>
  <c r="R37" i="36"/>
  <c r="E36" i="36"/>
  <c r="I58" i="21"/>
  <c r="C41" i="11"/>
  <c r="C49" i="11"/>
  <c r="C51" i="11"/>
  <c r="C22" i="11"/>
  <c r="C31" i="11"/>
  <c r="C19" i="59"/>
  <c r="D20" i="59"/>
  <c r="J69" i="39"/>
  <c r="K67" i="39"/>
  <c r="C27" i="43"/>
  <c r="C26" i="43"/>
  <c r="B2" i="43"/>
  <c r="B3" i="43"/>
  <c r="D129" i="57"/>
  <c r="N51" i="57"/>
  <c r="D61" i="57"/>
  <c r="N57" i="57"/>
  <c r="D55" i="57"/>
  <c r="D50" i="57"/>
  <c r="N54" i="57"/>
  <c r="D57" i="57"/>
  <c r="N55" i="57"/>
  <c r="C80" i="57"/>
  <c r="C75" i="57"/>
  <c r="C95" i="57"/>
  <c r="C88" i="57"/>
  <c r="C66" i="57"/>
  <c r="C65" i="57"/>
  <c r="C69" i="57"/>
  <c r="C70" i="57"/>
  <c r="D56" i="57"/>
  <c r="D54" i="57"/>
  <c r="C74" i="57"/>
  <c r="C87" i="57"/>
  <c r="I62" i="40"/>
  <c r="H64" i="40"/>
  <c r="J58" i="21"/>
  <c r="K58" i="21"/>
  <c r="L58" i="21"/>
  <c r="M58" i="21"/>
  <c r="N58" i="21"/>
  <c r="O58" i="21"/>
  <c r="J7" i="21"/>
  <c r="F7" i="21"/>
  <c r="E40" i="36"/>
  <c r="F40" i="36"/>
  <c r="E41" i="36"/>
  <c r="F41" i="36"/>
  <c r="I41" i="36"/>
  <c r="J41" i="36"/>
  <c r="I59" i="34"/>
  <c r="H7" i="21"/>
  <c r="C36" i="36"/>
  <c r="C37" i="36"/>
  <c r="B2" i="36"/>
  <c r="B3" i="36"/>
  <c r="J60" i="15"/>
  <c r="J61" i="15"/>
  <c r="J19" i="15"/>
  <c r="J17" i="15"/>
  <c r="C33" i="15"/>
  <c r="C31" i="15"/>
  <c r="C58" i="15"/>
  <c r="C62" i="15"/>
  <c r="C13" i="15"/>
  <c r="J34" i="15"/>
  <c r="Q47" i="15"/>
  <c r="C52" i="11"/>
  <c r="C36" i="15"/>
  <c r="J13" i="15"/>
  <c r="J23" i="15"/>
  <c r="J22" i="15"/>
  <c r="B2" i="12"/>
  <c r="B3" i="12"/>
  <c r="C18" i="59"/>
  <c r="D19" i="59"/>
  <c r="K69" i="39"/>
  <c r="L67" i="39"/>
  <c r="C81" i="57"/>
  <c r="C82" i="57"/>
  <c r="E82" i="57"/>
  <c r="E83" i="57"/>
  <c r="C65" i="15"/>
  <c r="C97" i="57"/>
  <c r="C99" i="57"/>
  <c r="D60" i="57"/>
  <c r="D58" i="57"/>
  <c r="N56" i="57"/>
  <c r="O59" i="57"/>
  <c r="M70" i="57"/>
  <c r="N70" i="57"/>
  <c r="M69" i="57"/>
  <c r="N69" i="57"/>
  <c r="M68" i="57"/>
  <c r="N68" i="57"/>
  <c r="M67" i="57"/>
  <c r="N67" i="57"/>
  <c r="M65" i="57"/>
  <c r="N65" i="57"/>
  <c r="M66" i="57"/>
  <c r="N66" i="57"/>
  <c r="J62" i="40"/>
  <c r="I64" i="40"/>
  <c r="AB7" i="21"/>
  <c r="T48" i="21"/>
  <c r="G48" i="21"/>
  <c r="U7" i="21"/>
  <c r="AC7" i="21"/>
  <c r="V48" i="21"/>
  <c r="I48" i="21"/>
  <c r="W7" i="21"/>
  <c r="J59" i="34"/>
  <c r="S7" i="21"/>
  <c r="AA7" i="21"/>
  <c r="R48" i="21"/>
  <c r="Q46" i="15"/>
  <c r="C60" i="15"/>
  <c r="C57" i="15"/>
  <c r="C66" i="15"/>
  <c r="C37" i="15"/>
  <c r="C30" i="15"/>
  <c r="C39" i="15"/>
  <c r="Q68" i="15"/>
  <c r="J16" i="15"/>
  <c r="J25" i="15"/>
  <c r="C56" i="11"/>
  <c r="C57" i="11"/>
  <c r="B2" i="11"/>
  <c r="B3" i="11"/>
  <c r="C19" i="9"/>
  <c r="C20" i="9"/>
  <c r="D18" i="59"/>
  <c r="C17" i="59"/>
  <c r="C102" i="9"/>
  <c r="C101" i="9"/>
  <c r="C83" i="57"/>
  <c r="C98" i="57"/>
  <c r="E98" i="57"/>
  <c r="E99" i="57"/>
  <c r="M67" i="39"/>
  <c r="L69" i="39"/>
  <c r="N71" i="57"/>
  <c r="O71" i="57"/>
  <c r="O61" i="57"/>
  <c r="O60" i="57"/>
  <c r="Q59" i="57"/>
  <c r="J64" i="40"/>
  <c r="K62" i="40"/>
  <c r="G53" i="21"/>
  <c r="H53" i="21"/>
  <c r="G52" i="21"/>
  <c r="H52" i="21"/>
  <c r="K59" i="34"/>
  <c r="R49" i="21"/>
  <c r="E48" i="21"/>
  <c r="I52" i="21"/>
  <c r="J52" i="21"/>
  <c r="I53" i="21"/>
  <c r="J53" i="21"/>
  <c r="C59" i="15"/>
  <c r="C68" i="15"/>
  <c r="C69" i="15"/>
  <c r="C72" i="15"/>
  <c r="C40" i="15"/>
  <c r="L52" i="15"/>
  <c r="J38" i="15"/>
  <c r="J39" i="15"/>
  <c r="Q67" i="15"/>
  <c r="Q66" i="15"/>
  <c r="D17" i="59"/>
  <c r="C16" i="59"/>
  <c r="T17" i="59"/>
  <c r="M69" i="39"/>
  <c r="N67" i="39"/>
  <c r="O63" i="57"/>
  <c r="O62" i="57"/>
  <c r="L62" i="40"/>
  <c r="K64" i="40"/>
  <c r="E52" i="21"/>
  <c r="F52" i="21"/>
  <c r="E53" i="21"/>
  <c r="F53" i="21"/>
  <c r="C48" i="21"/>
  <c r="C49" i="21"/>
  <c r="B2" i="21"/>
  <c r="B3" i="21"/>
  <c r="L59" i="34"/>
  <c r="C47" i="15"/>
  <c r="J41" i="15"/>
  <c r="J42" i="15"/>
  <c r="Q54" i="15"/>
  <c r="C43" i="15"/>
  <c r="Q65" i="15"/>
  <c r="Q45" i="15"/>
  <c r="Q51" i="15"/>
  <c r="Q63" i="15"/>
  <c r="D16" i="59"/>
  <c r="C15" i="59"/>
  <c r="N69" i="39"/>
  <c r="O67" i="39"/>
  <c r="O69" i="39"/>
  <c r="D35" i="9"/>
  <c r="D34" i="9"/>
  <c r="L64" i="40"/>
  <c r="M62" i="40"/>
  <c r="M59" i="34"/>
  <c r="N59" i="34"/>
  <c r="O59" i="34"/>
  <c r="H7" i="34"/>
  <c r="L58" i="15"/>
  <c r="L61" i="15"/>
  <c r="D15" i="59"/>
  <c r="C14" i="59"/>
  <c r="H7" i="39"/>
  <c r="J7" i="39"/>
  <c r="F7" i="39"/>
  <c r="Q64" i="15"/>
  <c r="Q73" i="15"/>
  <c r="L47" i="15"/>
  <c r="F7" i="34"/>
  <c r="S7" i="34"/>
  <c r="J7" i="34"/>
  <c r="W7" i="34"/>
  <c r="M64" i="40"/>
  <c r="N62" i="40"/>
  <c r="AB7" i="34"/>
  <c r="T49" i="34"/>
  <c r="G49" i="34"/>
  <c r="U7" i="34"/>
  <c r="Q55" i="15"/>
  <c r="Q60" i="15"/>
  <c r="D55" i="9"/>
  <c r="N53" i="9"/>
  <c r="D56" i="9"/>
  <c r="N54" i="9"/>
  <c r="D59" i="9"/>
  <c r="N55" i="9"/>
  <c r="D14" i="59"/>
  <c r="C13" i="59"/>
  <c r="AA7" i="39"/>
  <c r="R47" i="39"/>
  <c r="S7" i="39"/>
  <c r="AC7" i="39"/>
  <c r="V47" i="39"/>
  <c r="I47" i="39"/>
  <c r="I51" i="39"/>
  <c r="J51" i="39"/>
  <c r="W7" i="39"/>
  <c r="U7" i="39"/>
  <c r="AB7" i="39"/>
  <c r="T47" i="39"/>
  <c r="G47" i="39"/>
  <c r="G51" i="39"/>
  <c r="H51" i="39"/>
  <c r="AA7" i="34"/>
  <c r="R49" i="34"/>
  <c r="E49" i="34"/>
  <c r="B2" i="15"/>
  <c r="B3" i="15"/>
  <c r="AC7" i="34"/>
  <c r="V49" i="34"/>
  <c r="I49" i="34"/>
  <c r="G54" i="34"/>
  <c r="H54" i="34"/>
  <c r="O62" i="40"/>
  <c r="O64" i="40"/>
  <c r="N64" i="40"/>
  <c r="G53" i="34"/>
  <c r="H53" i="34"/>
  <c r="D20" i="9"/>
  <c r="D19" i="9"/>
  <c r="D13" i="59"/>
  <c r="T13" i="59"/>
  <c r="C12" i="59"/>
  <c r="D102" i="9"/>
  <c r="G20" i="9"/>
  <c r="D101" i="9"/>
  <c r="D22" i="9"/>
  <c r="G19" i="9"/>
  <c r="E53" i="34"/>
  <c r="F53" i="34"/>
  <c r="E54" i="34"/>
  <c r="F54" i="34"/>
  <c r="G52" i="39"/>
  <c r="H52" i="39"/>
  <c r="R50" i="34"/>
  <c r="C49" i="34"/>
  <c r="R48" i="39"/>
  <c r="E47" i="39"/>
  <c r="I53" i="34"/>
  <c r="J53" i="34"/>
  <c r="I54" i="34"/>
  <c r="J54" i="34"/>
  <c r="H7" i="40"/>
  <c r="J7" i="40"/>
  <c r="F7" i="40"/>
  <c r="C11" i="59"/>
  <c r="D12" i="59"/>
  <c r="C50" i="34"/>
  <c r="B2" i="34"/>
  <c r="B3" i="34"/>
  <c r="C32" i="9"/>
  <c r="C35" i="9"/>
  <c r="C34" i="9"/>
  <c r="I52" i="39"/>
  <c r="J52" i="39"/>
  <c r="E51" i="39"/>
  <c r="F51" i="39"/>
  <c r="E52" i="39"/>
  <c r="F52" i="39"/>
  <c r="C47" i="39"/>
  <c r="C48" i="39"/>
  <c r="AC7" i="40"/>
  <c r="V42" i="40"/>
  <c r="I42" i="40"/>
  <c r="I46" i="40"/>
  <c r="J46" i="40"/>
  <c r="W7" i="40"/>
  <c r="S7" i="40"/>
  <c r="AA7" i="40"/>
  <c r="R42" i="40"/>
  <c r="R43" i="40"/>
  <c r="AB7" i="40"/>
  <c r="T42" i="40"/>
  <c r="G42" i="40"/>
  <c r="G46" i="40"/>
  <c r="H46" i="40"/>
  <c r="U7" i="40"/>
  <c r="C10" i="59"/>
  <c r="D11" i="59"/>
  <c r="B56" i="39"/>
  <c r="F56" i="39"/>
  <c r="F65" i="39"/>
  <c r="B2" i="39"/>
  <c r="B3" i="39"/>
  <c r="B61" i="39"/>
  <c r="F61" i="39"/>
  <c r="B57" i="39"/>
  <c r="F57" i="39"/>
  <c r="B62" i="39"/>
  <c r="F62" i="39"/>
  <c r="B63" i="39"/>
  <c r="F63" i="39"/>
  <c r="B60" i="39"/>
  <c r="F60" i="39"/>
  <c r="B58" i="39"/>
  <c r="F58" i="39"/>
  <c r="B64" i="39"/>
  <c r="F64" i="39"/>
  <c r="B59" i="39"/>
  <c r="F59" i="39"/>
  <c r="G47" i="40"/>
  <c r="H47" i="40"/>
  <c r="E42" i="40"/>
  <c r="D10" i="59"/>
  <c r="C9" i="59"/>
  <c r="I47" i="40"/>
  <c r="J47" i="40"/>
  <c r="E47" i="40"/>
  <c r="F47" i="40"/>
  <c r="E46" i="40"/>
  <c r="F46" i="40"/>
  <c r="C43" i="40"/>
  <c r="C42" i="40"/>
  <c r="T9" i="59"/>
  <c r="D9" i="59"/>
  <c r="C8" i="59"/>
  <c r="B57" i="40"/>
  <c r="F57" i="40"/>
  <c r="B54" i="40"/>
  <c r="F54" i="40"/>
  <c r="B56" i="40"/>
  <c r="F56" i="40"/>
  <c r="B53" i="40"/>
  <c r="F53" i="40"/>
  <c r="B58" i="40"/>
  <c r="F58" i="40"/>
  <c r="B52" i="40"/>
  <c r="F52" i="40"/>
  <c r="B55" i="40"/>
  <c r="F55" i="40"/>
  <c r="B51" i="40"/>
  <c r="F51" i="40"/>
  <c r="F60" i="40"/>
  <c r="B2" i="40"/>
  <c r="B3" i="40"/>
  <c r="B59" i="40"/>
  <c r="F59" i="40"/>
  <c r="H4" i="52"/>
  <c r="I4" i="52"/>
  <c r="D4" i="52"/>
  <c r="B37" i="60"/>
  <c r="D17" i="50"/>
  <c r="D36" i="50"/>
  <c r="D37" i="50"/>
  <c r="F4" i="52"/>
  <c r="B40" i="60"/>
  <c r="D38" i="50"/>
  <c r="B62" i="60"/>
  <c r="D9" i="52"/>
  <c r="G4" i="52"/>
  <c r="B41" i="60"/>
  <c r="D23" i="50"/>
  <c r="B34" i="60"/>
  <c r="D15" i="50"/>
  <c r="B29" i="60"/>
  <c r="D8" i="52"/>
  <c r="D5" i="52"/>
  <c r="B39" i="60"/>
  <c r="D44" i="50"/>
  <c r="E4" i="52"/>
  <c r="B38" i="60"/>
  <c r="D30" i="50"/>
  <c r="D9" i="50"/>
  <c r="B21" i="60"/>
  <c r="H5" i="52"/>
  <c r="D28" i="50"/>
  <c r="D29" i="50"/>
  <c r="F5" i="52"/>
  <c r="B42" i="60"/>
  <c r="D7" i="50"/>
  <c r="B19" i="60"/>
  <c r="C7" i="59"/>
  <c r="D8" i="59"/>
  <c r="D8" i="50"/>
  <c r="B22" i="60"/>
  <c r="D16" i="50"/>
  <c r="B30" i="60"/>
  <c r="D7" i="59"/>
  <c r="C6" i="59"/>
  <c r="G121" i="9"/>
  <c r="F121" i="9"/>
  <c r="F122" i="9"/>
  <c r="E121" i="9"/>
  <c r="D121" i="9"/>
  <c r="D122" i="9"/>
  <c r="I121" i="9"/>
  <c r="H121" i="9"/>
  <c r="D106" i="9"/>
  <c r="D112" i="9"/>
  <c r="D6" i="59"/>
  <c r="C5" i="59"/>
  <c r="I102" i="9"/>
  <c r="D14" i="62"/>
  <c r="H122" i="9"/>
  <c r="C103" i="9"/>
  <c r="I103" i="9"/>
  <c r="D107" i="9"/>
  <c r="D113" i="9"/>
  <c r="C104" i="9"/>
  <c r="D117" i="9"/>
  <c r="I115" i="9"/>
  <c r="I111" i="9"/>
  <c r="D126" i="9"/>
  <c r="D5" i="59"/>
  <c r="M20" i="43"/>
  <c r="T5" i="59"/>
  <c r="F14" i="62"/>
  <c r="E14" i="62"/>
  <c r="B5" i="62"/>
  <c r="N48" i="9"/>
  <c r="D45" i="9"/>
  <c r="I110" i="9"/>
  <c r="N49" i="9"/>
  <c r="D125" i="9"/>
  <c r="G14" i="62"/>
  <c r="B6" i="62"/>
  <c r="D5" i="62"/>
  <c r="C5" i="62"/>
  <c r="C64" i="9"/>
  <c r="C63" i="9"/>
  <c r="C67" i="9"/>
  <c r="C68" i="9"/>
  <c r="D54" i="9"/>
  <c r="C72" i="9"/>
  <c r="D53" i="9"/>
  <c r="D48" i="9"/>
  <c r="N52" i="9"/>
  <c r="O57" i="9"/>
  <c r="C78" i="9"/>
  <c r="C73" i="9"/>
  <c r="C93" i="9"/>
  <c r="C86" i="9"/>
  <c r="C85" i="9"/>
  <c r="D52" i="9"/>
  <c r="C95" i="9"/>
  <c r="C79" i="9"/>
  <c r="Q57" i="9"/>
  <c r="O58" i="9"/>
  <c r="D6" i="62"/>
  <c r="C6" i="62"/>
  <c r="M63" i="9"/>
  <c r="N63" i="9"/>
  <c r="M68" i="9"/>
  <c r="N68" i="9"/>
  <c r="M66" i="9"/>
  <c r="N66" i="9"/>
  <c r="M64" i="9"/>
  <c r="N64" i="9"/>
  <c r="M67" i="9"/>
  <c r="N67" i="9"/>
  <c r="O59" i="9"/>
  <c r="M65" i="9"/>
  <c r="N65" i="9"/>
  <c r="N69" i="9"/>
  <c r="O69" i="9"/>
  <c r="O61" i="9"/>
  <c r="O60" i="9"/>
  <c r="C80" i="9"/>
  <c r="E80" i="9"/>
  <c r="E81" i="9"/>
  <c r="C96" i="9"/>
  <c r="E96" i="9"/>
  <c r="E97" i="9"/>
  <c r="C97" i="9"/>
  <c r="D58" i="9"/>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<sst xmlns="http://schemas.openxmlformats.org/spreadsheetml/2006/main" count="6907" uniqueCount="3049">
  <si>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</si>
  <si>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</si>
  <si>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</si>
  <si>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</si>
  <si>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</si>
  <si>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</si>
  <si>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</si>
  <si>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</si>
  <si>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</si>
  <si>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</si>
  <si>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</si>
  <si>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</si>
  <si>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</si>
  <si>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</si>
  <si>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</si>
  <si>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</si>
  <si>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</si>
  <si>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</si>
  <si>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</si>
  <si>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</si>
  <si>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</si>
  <si>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</si>
  <si>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</si>
  <si>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</si>
  <si>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</si>
  <si>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</si>
  <si>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</si>
  <si>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</si>
  <si>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</si>
  <si>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</si>
  <si>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</si>
  <si>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</si>
  <si>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</si>
  <si>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</si>
  <si>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</si>
  <si>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</si>
  <si>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</si>
  <si>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</si>
  <si>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</si>
  <si>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</si>
  <si>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</si>
  <si>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</si>
  <si>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</si>
  <si>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</si>
  <si>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</si>
  <si>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</si>
  <si>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</si>
  <si>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</si>
  <si>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</si>
  <si>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</si>
  <si>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</si>
  <si>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</si>
  <si>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</si>
  <si>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</si>
  <si>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</si>
  <si>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</si>
  <si>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</si>
  <si>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</si>
  <si>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</si>
  <si>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</si>
  <si>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</si>
  <si>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</si>
  <si>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</si>
  <si>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</si>
  <si>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</si>
  <si>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</si>
  <si>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</si>
  <si>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</si>
  <si>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</si>
  <si>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</si>
  <si>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</si>
  <si>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</si>
  <si>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</si>
  <si>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</si>
  <si>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</si>
  <si>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</si>
  <si>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</si>
  <si>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</si>
  <si>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</si>
  <si>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</si>
  <si>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</si>
  <si>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</si>
  <si>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</si>
  <si>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</si>
  <si>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</si>
  <si>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</si>
  <si>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</si>
  <si>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</si>
  <si>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</si>
  <si>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</si>
  <si>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</si>
  <si>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</si>
  <si>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</si>
  <si>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</si>
  <si>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</si>
  <si>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</si>
  <si>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</si>
  <si>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</si>
  <si>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</si>
  <si>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</si>
  <si>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</si>
  <si>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</si>
  <si>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</si>
  <si>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</si>
  <si>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</si>
  <si>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</si>
  <si>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</si>
  <si>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</si>
  <si>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</si>
  <si>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</si>
  <si>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</si>
  <si>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</si>
  <si>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</si>
  <si>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</si>
  <si>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</si>
  <si>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</si>
  <si>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</si>
  <si>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</si>
  <si>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</si>
  <si>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</si>
  <si>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</si>
  <si>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</si>
  <si>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</si>
  <si>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</si>
  <si>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</si>
  <si>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</si>
  <si>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</si>
  <si>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</si>
  <si>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</si>
  <si>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</si>
  <si>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</si>
  <si>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</si>
  <si>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</si>
  <si>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</si>
  <si>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</si>
  <si>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</si>
  <si>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</si>
  <si>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</si>
  <si>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</si>
  <si>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</si>
  <si>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</si>
  <si>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</si>
  <si>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</si>
  <si>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</si>
  <si>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</si>
  <si>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</si>
  <si>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</si>
  <si>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</si>
  <si>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</si>
  <si>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</si>
  <si>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</si>
  <si>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</si>
  <si>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</si>
  <si>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</si>
  <si>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</si>
  <si>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</si>
  <si>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</si>
  <si>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</si>
  <si>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</si>
  <si>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</si>
  <si>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</si>
  <si>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</si>
  <si>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</si>
  <si>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</si>
  <si>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</si>
  <si>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</si>
  <si>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</si>
  <si>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</si>
  <si>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</si>
  <si>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</si>
  <si>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</si>
  <si>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</si>
  <si>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</si>
  <si>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</si>
  <si>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</si>
  <si>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</si>
  <si>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</si>
  <si>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</si>
  <si>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</si>
  <si>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</si>
  <si>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</si>
  <si>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</si>
  <si>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</si>
  <si>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</si>
  <si>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</si>
  <si>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</si>
  <si>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</si>
  <si>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</si>
  <si>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</si>
  <si>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</si>
  <si>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</si>
  <si>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</si>
  <si>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</si>
  <si>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</si>
  <si>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</si>
  <si>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</si>
  <si>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</si>
  <si>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</si>
  <si>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</si>
  <si>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</si>
  <si>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</si>
  <si>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</si>
  <si>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</si>
  <si>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</si>
  <si>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</si>
  <si>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</si>
  <si>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</si>
  <si>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</si>
  <si>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</si>
  <si>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</si>
  <si>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</si>
  <si>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</si>
  <si>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</si>
  <si>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</si>
  <si>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</si>
  <si>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</si>
  <si>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</si>
  <si>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</si>
  <si>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</si>
  <si>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</si>
  <si>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</si>
  <si>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</si>
  <si>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</si>
  <si>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</si>
  <si>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</si>
  <si>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</si>
  <si>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</si>
  <si>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</si>
  <si>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</si>
  <si>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</si>
  <si>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</si>
  <si>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</si>
  <si>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</si>
  <si>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</si>
  <si>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</si>
  <si>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</si>
  <si>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</si>
  <si>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</si>
  <si>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</si>
  <si>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</si>
  <si>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</si>
  <si>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</si>
  <si>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</si>
  <si>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</si>
  <si>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</si>
  <si>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</si>
  <si>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</si>
  <si>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</si>
  <si>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</si>
  <si>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</si>
  <si>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</si>
  <si>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</si>
  <si>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</si>
  <si>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</si>
  <si>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</si>
  <si>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</si>
  <si>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</si>
  <si>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</si>
  <si>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</si>
  <si>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</si>
  <si>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</si>
  <si>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</si>
  <si>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</si>
  <si>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</si>
  <si>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</si>
  <si>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</si>
  <si>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</si>
  <si>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</si>
  <si>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</si>
  <si>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</si>
  <si>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</si>
  <si>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</si>
  <si>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</si>
  <si>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</si>
  <si>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</si>
  <si>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</si>
  <si>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</si>
  <si>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</si>
  <si>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</si>
  <si>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</si>
  <si>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</si>
  <si>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</si>
  <si>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</si>
  <si>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</si>
  <si>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</si>
  <si>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</si>
  <si>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</si>
  <si>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</si>
  <si>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</si>
  <si>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</si>
  <si>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</si>
  <si>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</si>
  <si>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</si>
  <si>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</si>
  <si>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</si>
  <si>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</si>
  <si>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</si>
  <si>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</si>
  <si>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</si>
  <si>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</si>
  <si>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</si>
  <si>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</si>
  <si>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</si>
  <si>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</si>
  <si>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</si>
  <si>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</si>
  <si>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</si>
  <si>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</si>
  <si>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</si>
  <si>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</si>
  <si>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</si>
  <si>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</si>
  <si>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</si>
  <si>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</si>
  <si>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</si>
  <si>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</si>
  <si>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</si>
  <si>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</si>
  <si>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</si>
  <si>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</si>
  <si>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</si>
  <si>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</si>
  <si>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</si>
  <si>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</si>
  <si>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</si>
  <si>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</si>
  <si>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</si>
  <si>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</si>
  <si>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</si>
  <si>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</si>
  <si>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</si>
  <si>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</si>
  <si>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</si>
  <si>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</si>
  <si>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</si>
  <si>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</si>
  <si>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</si>
  <si>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</si>
  <si>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</si>
  <si>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</si>
  <si>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</si>
  <si>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</si>
  <si>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</si>
  <si>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</si>
  <si>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</si>
  <si>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</si>
  <si>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</si>
  <si>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</si>
  <si>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</si>
  <si>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</si>
  <si>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</si>
  <si>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</si>
  <si>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</si>
  <si>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</si>
  <si>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</si>
  <si>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</si>
  <si>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</si>
  <si>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</si>
  <si>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</si>
  <si>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</si>
  <si>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</si>
  <si>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</si>
  <si>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</si>
  <si>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</si>
  <si>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</si>
  <si>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</si>
  <si>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</si>
  <si>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</si>
  <si>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</si>
  <si>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</si>
  <si>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</si>
  <si>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</si>
  <si>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</si>
  <si>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</si>
  <si>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</si>
  <si>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</si>
  <si>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</si>
  <si>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</si>
  <si>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</si>
  <si>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</si>
  <si>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</si>
  <si>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</si>
  <si>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</si>
  <si>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</si>
  <si>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</si>
  <si>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</si>
  <si>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</si>
  <si>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</si>
  <si>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</si>
  <si>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</si>
  <si>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</si>
  <si>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</si>
  <si>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</si>
  <si>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</si>
  <si>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</si>
  <si>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</si>
  <si>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</si>
  <si>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</si>
  <si>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</si>
  <si>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</si>
  <si>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</si>
  <si>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</si>
  <si>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</si>
  <si>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</si>
  <si>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</si>
  <si>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</si>
  <si>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</si>
  <si>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</si>
  <si>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</si>
  <si>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</si>
  <si>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</si>
  <si>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</si>
  <si>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</si>
  <si>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</si>
  <si>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</si>
  <si>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</si>
  <si>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</si>
  <si>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</si>
  <si>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</si>
  <si>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</si>
  <si>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</si>
  <si>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</si>
  <si>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</si>
  <si>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</si>
  <si>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</si>
  <si>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</si>
  <si>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</si>
  <si>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</si>
  <si>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</si>
  <si>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</si>
  <si>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</si>
  <si>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</si>
  <si>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</si>
  <si>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</si>
  <si>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</si>
  <si>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</si>
  <si>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</si>
  <si>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</si>
  <si>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</si>
  <si>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</si>
  <si>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</si>
  <si>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</si>
  <si>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</si>
  <si>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</si>
  <si>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</si>
  <si>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</si>
  <si>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</si>
  <si>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</si>
  <si>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</si>
  <si>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</si>
  <si>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</si>
  <si>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</si>
  <si>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</si>
  <si>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</si>
  <si>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</si>
  <si>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</si>
  <si>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</si>
  <si>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</si>
  <si>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</si>
  <si>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</si>
  <si>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</si>
  <si>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</si>
  <si>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</si>
  <si>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</si>
  <si>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</si>
  <si>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</si>
  <si>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</si>
  <si>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</si>
  <si>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</si>
  <si>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</si>
  <si>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</si>
  <si>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</si>
  <si>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</si>
  <si>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</si>
  <si>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</si>
  <si>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</si>
  <si>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</si>
  <si>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</si>
  <si>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</si>
  <si>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</si>
  <si>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</si>
  <si>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</si>
  <si>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</si>
  <si>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</si>
  <si>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</si>
  <si>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</si>
  <si>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</si>
  <si>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</si>
  <si>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</si>
  <si>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</si>
  <si>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</si>
  <si>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</si>
  <si>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</si>
  <si>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</si>
  <si>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</si>
  <si>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</si>
  <si>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</si>
  <si>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</si>
  <si>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</si>
  <si>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</si>
  <si>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</si>
  <si>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</si>
  <si>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</si>
  <si>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</si>
  <si>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</si>
  <si>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</si>
  <si>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</si>
  <si>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</si>
  <si>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</si>
  <si>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</si>
  <si>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</si>
  <si>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</si>
  <si>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</si>
  <si>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</si>
  <si>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</si>
  <si>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</si>
  <si>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</si>
  <si>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</si>
  <si>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</si>
  <si>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</si>
  <si>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</si>
  <si>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</si>
  <si>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</si>
  <si>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</si>
  <si>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</si>
  <si>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</si>
  <si>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</si>
  <si>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</si>
  <si>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</si>
  <si>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</si>
  <si>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</si>
  <si>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</si>
  <si>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</si>
  <si>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</si>
  <si>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</si>
  <si>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</si>
  <si>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</si>
  <si>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</si>
  <si>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</si>
  <si>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</si>
  <si>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</si>
  <si>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</si>
  <si>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</si>
  <si>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</si>
  <si>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</si>
  <si>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</si>
  <si>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</si>
  <si>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</si>
  <si>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</si>
  <si>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</si>
  <si>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</si>
  <si>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</si>
  <si>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</si>
  <si>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</si>
  <si>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</si>
  <si>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</si>
  <si>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</si>
  <si>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</si>
  <si>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</si>
  <si>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</si>
  <si>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</si>
  <si>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</si>
  <si>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</si>
  <si>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</si>
  <si>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</si>
  <si>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</si>
  <si>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</si>
  <si>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</si>
  <si>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</si>
  <si>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</si>
  <si>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</si>
  <si>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</si>
  <si>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</si>
  <si>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</si>
  <si>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</si>
  <si>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</si>
  <si>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</si>
  <si>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</si>
  <si>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</si>
  <si>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</si>
  <si>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</si>
  <si>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</si>
  <si>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</si>
  <si>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</si>
  <si>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</si>
  <si>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</si>
  <si>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</si>
  <si>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</si>
  <si>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</si>
  <si>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</si>
  <si>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</si>
  <si>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</si>
  <si>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</si>
  <si>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</si>
  <si>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</si>
  <si>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</si>
  <si>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</si>
  <si>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</si>
  <si>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</si>
  <si>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</si>
  <si>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</si>
  <si>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</si>
  <si>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</si>
  <si>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</si>
  <si>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</si>
  <si>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</si>
  <si>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</si>
  <si>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</si>
  <si>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</si>
  <si>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</si>
  <si>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</si>
  <si>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</si>
  <si>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</si>
  <si>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</si>
  <si>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</si>
  <si>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</si>
  <si>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</si>
  <si>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</si>
  <si>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</si>
  <si>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</si>
  <si>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</si>
  <si>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</si>
  <si>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</si>
  <si>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</si>
  <si>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</si>
  <si>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</si>
  <si>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</si>
  <si>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</si>
  <si>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</si>
  <si>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</si>
  <si>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</si>
  <si>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</si>
  <si>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</si>
  <si>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</si>
  <si>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</si>
  <si>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</si>
  <si>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</si>
  <si>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</si>
  <si>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</si>
  <si>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</si>
  <si>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</si>
  <si>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</si>
  <si>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</si>
  <si>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</si>
  <si>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</si>
  <si>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</si>
  <si>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</si>
  <si>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</si>
  <si>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</si>
  <si>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</si>
  <si>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</si>
  <si>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</si>
  <si>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</si>
  <si>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</si>
  <si>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</si>
  <si>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</si>
  <si>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</si>
  <si>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</si>
  <si>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</si>
  <si>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</si>
  <si>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</si>
  <si>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</si>
  <si>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</si>
  <si>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</si>
  <si>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</si>
  <si>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</si>
  <si>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</si>
  <si>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</si>
  <si>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</si>
  <si>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</si>
  <si>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</si>
  <si>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</si>
  <si>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</si>
  <si>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</si>
  <si>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</si>
  <si>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</si>
  <si>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</si>
  <si>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</si>
  <si>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</si>
  <si>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</si>
  <si>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</si>
  <si>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</si>
  <si>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</si>
  <si>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</si>
  <si>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</si>
  <si>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</si>
  <si>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</si>
  <si>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</si>
  <si>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</si>
  <si>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</si>
  <si>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</si>
  <si>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</si>
  <si>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</si>
  <si>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</si>
  <si>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</si>
  <si>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</si>
  <si>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</si>
  <si>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</si>
  <si>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</si>
  <si>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</si>
  <si>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</si>
  <si>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</si>
  <si>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</si>
  <si>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</si>
  <si>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</si>
  <si>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</si>
  <si>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</si>
  <si>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</si>
  <si>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</si>
  <si>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</si>
  <si>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</si>
  <si>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</si>
  <si>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</si>
  <si>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</si>
  <si>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</si>
  <si>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</si>
  <si>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</si>
  <si>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</si>
  <si>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</si>
  <si>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</si>
  <si>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</si>
  <si>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</si>
  <si>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</si>
  <si>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</si>
  <si>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</si>
  <si>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</si>
  <si>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</si>
  <si>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</si>
  <si>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</si>
  <si>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</si>
  <si>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</si>
  <si>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</si>
  <si>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</si>
  <si>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</si>
  <si>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</si>
  <si>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</si>
  <si>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</si>
  <si>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</si>
  <si>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</si>
  <si>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</si>
  <si>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</si>
  <si>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</si>
  <si>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</si>
  <si>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</si>
  <si>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</si>
  <si>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</si>
  <si>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</si>
  <si>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</si>
  <si>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</si>
  <si>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</si>
  <si>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</si>
  <si>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</si>
  <si>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</si>
  <si>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</si>
  <si>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</si>
  <si>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</si>
  <si>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</si>
  <si>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</si>
  <si>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</si>
  <si>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</si>
  <si>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</si>
  <si>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</si>
  <si>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</si>
  <si>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</si>
  <si>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</si>
  <si>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</si>
  <si>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</si>
  <si>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</si>
  <si>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</si>
  <si>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</si>
  <si>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</si>
  <si>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</si>
  <si>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</si>
  <si>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</si>
  <si>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</si>
  <si>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</si>
  <si>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</si>
  <si>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</si>
  <si>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</si>
  <si>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</si>
  <si>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</si>
  <si>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</si>
  <si>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</si>
  <si>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</si>
  <si>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</si>
  <si>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</si>
  <si>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</si>
  <si>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</si>
  <si>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</si>
  <si>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</si>
  <si>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</si>
  <si>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</si>
  <si>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</si>
  <si>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</si>
  <si>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</si>
  <si>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</si>
  <si>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</si>
  <si>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</si>
  <si>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</si>
  <si>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</si>
  <si>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</si>
  <si>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</si>
  <si>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</si>
  <si>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</si>
  <si>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</si>
  <si>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</si>
  <si>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</si>
  <si>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</si>
  <si>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</si>
  <si>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</si>
  <si>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</si>
  <si>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</si>
  <si>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</si>
  <si>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</si>
  <si>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</si>
  <si>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</si>
  <si>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</si>
  <si>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</si>
  <si>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</si>
  <si>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</si>
  <si>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</si>
  <si>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</si>
  <si>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</si>
  <si>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</si>
  <si>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</si>
  <si>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</si>
  <si>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</si>
  <si>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</si>
  <si>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</si>
  <si>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</si>
  <si>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</si>
  <si>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</si>
  <si>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</si>
  <si>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</si>
  <si>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</si>
  <si>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</si>
  <si>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</si>
  <si>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</si>
  <si>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</si>
  <si>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</si>
  <si>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</si>
  <si>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</si>
  <si>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</si>
  <si>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</si>
  <si>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</si>
  <si>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</si>
  <si>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</si>
  <si>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</si>
  <si>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</si>
  <si>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</si>
  <si>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</si>
  <si>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</si>
  <si>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</si>
  <si>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</si>
  <si>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</si>
  <si>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</si>
  <si>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</si>
  <si>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</si>
  <si>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</si>
  <si>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</si>
  <si>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</si>
  <si>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</si>
  <si>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</si>
  <si>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</si>
  <si>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</si>
  <si>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</si>
  <si>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</si>
  <si>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</si>
  <si>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</si>
  <si>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</si>
  <si>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</si>
  <si>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</si>
  <si>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</si>
  <si>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</si>
  <si>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</si>
  <si>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</si>
  <si>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</si>
  <si>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</si>
  <si>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</si>
  <si>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</si>
  <si>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</si>
  <si>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</si>
  <si>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</si>
  <si>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</si>
  <si>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</si>
  <si>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</si>
  <si>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</si>
  <si>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</si>
  <si>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</si>
  <si>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</si>
  <si>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</si>
  <si>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</si>
  <si>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</si>
  <si>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</si>
  <si>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</si>
  <si>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</si>
  <si>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</si>
  <si>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</si>
  <si>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</si>
  <si>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</si>
  <si>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</si>
  <si>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</si>
  <si>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</si>
  <si>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</si>
  <si>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</si>
  <si>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</si>
  <si>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</si>
  <si>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</si>
  <si>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</si>
  <si>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</si>
  <si>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</si>
  <si>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</si>
  <si>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</si>
  <si>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</si>
  <si>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</si>
  <si>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</si>
  <si>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</si>
  <si>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</si>
  <si>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</si>
  <si>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</si>
  <si>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</si>
  <si>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</si>
  <si>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</si>
  <si>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</si>
  <si>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</si>
  <si>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</si>
  <si>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</si>
  <si>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</si>
  <si>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</si>
  <si>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</si>
  <si>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</si>
  <si>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</si>
  <si>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</si>
  <si>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</si>
  <si>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</si>
  <si>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</si>
  <si>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</si>
  <si>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</si>
  <si>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</si>
  <si>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</si>
  <si>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</si>
  <si>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</si>
  <si>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</si>
  <si>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</si>
  <si>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</si>
  <si>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</si>
  <si>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</si>
  <si>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</si>
  <si>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</si>
  <si>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</si>
  <si>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</si>
  <si>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</si>
  <si>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</si>
  <si>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</si>
  <si>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</si>
  <si>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</si>
  <si>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</si>
  <si>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</si>
  <si>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</si>
  <si>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</si>
  <si>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</si>
  <si>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</si>
  <si>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</si>
  <si>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</si>
  <si>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</si>
  <si>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</si>
  <si>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</si>
  <si>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</si>
  <si>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</si>
  <si>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</si>
  <si>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</si>
  <si>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</si>
  <si>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</si>
  <si>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</si>
  <si>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</si>
  <si>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</si>
  <si>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</si>
  <si>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</si>
  <si>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</si>
  <si>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</si>
  <si>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</si>
  <si>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</si>
  <si>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</si>
  <si>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</si>
  <si>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</si>
  <si>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</si>
  <si>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</si>
  <si>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</si>
  <si>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</si>
  <si>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</si>
  <si>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</si>
  <si>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</si>
  <si>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</si>
  <si>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</si>
  <si>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</si>
  <si>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</si>
  <si>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</si>
  <si>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</si>
  <si>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</si>
  <si>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</si>
  <si>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</si>
  <si>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</si>
  <si>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</si>
  <si>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</si>
  <si>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</si>
  <si>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</si>
  <si>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</si>
  <si>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</si>
  <si>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</si>
  <si>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</si>
  <si>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</si>
  <si>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</si>
  <si>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</si>
  <si>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</si>
  <si>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</si>
  <si>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</si>
  <si>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</si>
  <si>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</si>
  <si>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</si>
  <si>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</si>
  <si>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</si>
  <si>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</si>
  <si>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</si>
  <si>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</si>
  <si>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</si>
  <si>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</si>
  <si>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</si>
  <si>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</si>
  <si>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</si>
  <si>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</si>
  <si>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</si>
  <si>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</si>
  <si>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</si>
  <si>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</si>
  <si>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</si>
  <si>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</si>
  <si>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</si>
  <si>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</si>
  <si>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</si>
  <si>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</si>
  <si>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</si>
  <si>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</si>
  <si>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</si>
  <si>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</si>
  <si>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</si>
  <si>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</si>
  <si>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</si>
  <si>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</si>
  <si>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</si>
  <si>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</si>
  <si>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</si>
  <si>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</si>
  <si>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</si>
  <si>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</si>
  <si>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</si>
  <si>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</si>
  <si>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</si>
  <si>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</si>
  <si>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</si>
  <si>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</si>
  <si>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</si>
  <si>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</si>
  <si>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</si>
  <si>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</si>
  <si>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</si>
  <si>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</si>
  <si>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</si>
  <si>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</si>
  <si>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</si>
  <si>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</si>
  <si>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</si>
  <si>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</si>
  <si>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</si>
  <si>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</si>
  <si>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</si>
  <si>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</si>
  <si>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</si>
  <si>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</si>
  <si>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</si>
  <si>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</si>
  <si>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</si>
  <si>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</si>
  <si>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</si>
  <si>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</si>
  <si>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</si>
  <si>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</si>
  <si>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</si>
  <si>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</si>
  <si>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</si>
  <si>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</si>
  <si>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</si>
  <si>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</si>
  <si>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</si>
  <si>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</si>
  <si>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</si>
  <si>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</si>
  <si>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</si>
  <si>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</si>
  <si>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</si>
  <si>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</si>
  <si>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</si>
  <si>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</si>
  <si>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</si>
  <si>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</si>
  <si>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</si>
  <si>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</si>
  <si>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</si>
  <si>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</si>
  <si>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</si>
  <si>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</si>
  <si>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</si>
  <si>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</si>
  <si>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</si>
  <si>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</si>
  <si>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</si>
  <si>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</si>
  <si>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</si>
  <si>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</si>
  <si>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</si>
  <si>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</si>
  <si>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</si>
  <si>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</si>
  <si>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</si>
  <si>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</si>
  <si>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</si>
  <si>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</si>
  <si>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</si>
  <si>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</si>
  <si>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</si>
  <si>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</si>
  <si>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</si>
  <si>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</si>
  <si>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</si>
  <si>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</si>
  <si>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</si>
  <si>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</si>
  <si>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</si>
  <si>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</si>
  <si>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</si>
  <si>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</si>
  <si>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</si>
  <si>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</si>
  <si>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</si>
  <si>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</si>
  <si>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</si>
  <si>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</si>
  <si>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</si>
  <si>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</si>
  <si>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</si>
  <si>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</si>
  <si>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</si>
  <si>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</si>
  <si>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</si>
  <si>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</si>
  <si>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</si>
  <si>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</si>
  <si>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</si>
  <si>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</si>
  <si>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</si>
  <si>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</si>
  <si>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</si>
  <si>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</si>
  <si>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</si>
  <si>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</si>
  <si>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</si>
  <si>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</si>
  <si>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</si>
  <si>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</si>
  <si>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</si>
  <si>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</si>
  <si>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</si>
  <si>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</si>
  <si>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</si>
  <si>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</si>
  <si>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</si>
  <si>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</si>
  <si>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</si>
  <si>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</si>
  <si>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</si>
  <si>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</si>
  <si>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</si>
  <si>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</si>
  <si>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</si>
  <si>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</si>
  <si>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</si>
  <si>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</si>
  <si>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</si>
  <si>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</si>
  <si>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</si>
  <si>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</si>
  <si>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</si>
  <si>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</si>
  <si>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</si>
  <si>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</si>
  <si>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</si>
  <si>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</si>
  <si>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</si>
  <si>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</si>
  <si>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</si>
  <si>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</si>
  <si>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</si>
  <si>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</si>
  <si>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</si>
  <si>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</si>
  <si>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</si>
  <si>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</si>
  <si>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</si>
  <si>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</si>
  <si>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</si>
  <si>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</si>
  <si>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</si>
  <si>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</si>
  <si>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</si>
  <si>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</si>
  <si>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</si>
  <si>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</si>
  <si>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</si>
  <si>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</si>
  <si>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</si>
  <si>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</si>
  <si>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</si>
  <si>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</si>
  <si>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</si>
  <si>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</si>
  <si>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</si>
  <si>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</si>
  <si>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</si>
  <si>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</si>
  <si>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</si>
  <si>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</si>
  <si>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</si>
  <si>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</si>
  <si>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</si>
  <si>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</si>
  <si>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</si>
  <si>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</si>
  <si>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</si>
  <si>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</si>
  <si>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</si>
  <si>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</si>
  <si>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</si>
  <si>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</si>
  <si>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</si>
  <si>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</si>
  <si>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</si>
  <si>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</si>
  <si>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</si>
  <si>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</si>
  <si>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</si>
  <si>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</si>
  <si>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</si>
  <si>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</si>
  <si>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</si>
  <si>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</si>
  <si>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</si>
  <si>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</si>
  <si>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</si>
  <si>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</si>
  <si>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</si>
  <si>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</si>
  <si>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</si>
  <si>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</si>
  <si>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</si>
  <si>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</si>
  <si>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</si>
  <si>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</si>
  <si>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</si>
  <si>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</si>
  <si>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</si>
  <si>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</si>
  <si>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</si>
  <si>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</si>
  <si>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</si>
  <si>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</si>
  <si>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</si>
  <si>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</si>
  <si>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</si>
  <si>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</si>
  <si>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</si>
  <si>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</si>
  <si>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</si>
  <si>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</si>
  <si>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</si>
  <si>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</si>
  <si>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</si>
  <si>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</si>
  <si>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</si>
  <si>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</si>
  <si>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</si>
  <si>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</si>
  <si>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</si>
  <si>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</si>
  <si>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</si>
  <si>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</si>
  <si>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</si>
  <si>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</si>
  <si>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</si>
  <si>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</si>
  <si>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</si>
  <si>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</si>
  <si>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</si>
  <si>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</si>
  <si>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</si>
  <si>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</si>
  <si>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</si>
  <si>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</si>
  <si>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</si>
  <si>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</si>
  <si>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</si>
  <si>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</si>
  <si>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</si>
  <si>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</si>
  <si>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</si>
  <si>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</si>
  <si>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</si>
  <si>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</si>
  <si>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</si>
  <si>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</si>
  <si>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</si>
  <si>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</si>
  <si>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</si>
  <si>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</si>
  <si>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</si>
  <si>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</si>
  <si>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</si>
  <si>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</si>
  <si>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</si>
  <si>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</si>
  <si>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</si>
  <si>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</si>
  <si>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</si>
  <si>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</si>
  <si>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</si>
  <si>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</si>
  <si>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</si>
  <si>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</si>
  <si>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</si>
  <si>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</si>
  <si>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</si>
  <si>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</si>
  <si>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</si>
  <si>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</si>
  <si>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</si>
  <si>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</si>
  <si>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</si>
  <si>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</si>
  <si>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</si>
  <si>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</si>
  <si>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</si>
  <si>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</si>
  <si>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</si>
  <si>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</si>
  <si>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</si>
  <si>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</si>
  <si>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</si>
  <si>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</si>
  <si>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</si>
  <si>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</si>
  <si>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</si>
  <si>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</si>
  <si>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</si>
  <si>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</si>
  <si>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</si>
  <si>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</si>
  <si>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</si>
  <si>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</si>
  <si>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</si>
  <si>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</si>
  <si>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</si>
  <si>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</si>
  <si>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</si>
  <si>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</si>
  <si>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</si>
  <si>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</si>
  <si>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</si>
  <si>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</si>
  <si>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</si>
  <si>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</si>
  <si>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</si>
  <si>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</si>
  <si>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</si>
  <si>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</si>
  <si>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</si>
  <si>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</si>
  <si>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</si>
  <si>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</si>
  <si>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</si>
  <si>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</si>
  <si>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</si>
  <si>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</si>
  <si>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</si>
  <si>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</si>
  <si>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</si>
  <si>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</si>
  <si>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</si>
  <si>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</si>
  <si>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</si>
  <si>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</si>
  <si>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</si>
  <si>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</si>
  <si>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</si>
  <si>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</si>
  <si>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</si>
  <si>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</si>
  <si>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</si>
  <si>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</si>
  <si>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</si>
  <si>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</si>
  <si>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</si>
  <si>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</si>
  <si>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</si>
  <si>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</si>
  <si>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</si>
  <si>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</si>
  <si>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</si>
  <si>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</si>
  <si>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</si>
  <si>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</si>
  <si>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</si>
  <si>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</si>
  <si>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</si>
  <si>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</si>
  <si>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</si>
  <si>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</si>
  <si>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</si>
  <si>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</si>
  <si>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</si>
  <si>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</si>
  <si>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</si>
  <si>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</si>
  <si>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</si>
  <si>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</si>
  <si>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</si>
  <si>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</si>
  <si>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</si>
  <si>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</si>
  <si>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</si>
  <si>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</si>
  <si>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</si>
  <si>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</si>
  <si>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</si>
  <si>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</si>
  <si>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</si>
  <si>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</si>
  <si>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</si>
  <si>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</si>
  <si>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</si>
  <si>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</si>
  <si>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</si>
  <si>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</si>
  <si>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</si>
  <si>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</si>
  <si>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</si>
  <si>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</si>
  <si>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</si>
  <si>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</si>
  <si>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</si>
  <si>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</si>
  <si>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</si>
  <si>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</si>
  <si>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</si>
  <si>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</si>
  <si>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</si>
  <si>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</si>
  <si>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</si>
  <si>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</si>
  <si>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</si>
  <si>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</si>
  <si>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</si>
  <si>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</si>
  <si>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</si>
  <si>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</si>
  <si>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</si>
  <si>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</si>
  <si>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</si>
  <si>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</si>
  <si>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</si>
  <si>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</si>
  <si>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</si>
  <si>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</si>
  <si>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</si>
  <si>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</si>
  <si>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</si>
  <si>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</si>
  <si>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</si>
  <si>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</si>
  <si>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</si>
  <si>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</si>
  <si>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</si>
  <si>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</si>
  <si>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</si>
  <si>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</si>
  <si>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</si>
  <si>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</si>
  <si>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</si>
  <si>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</si>
  <si>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</si>
  <si>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</si>
  <si>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</si>
  <si>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</si>
  <si>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</si>
  <si>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</si>
  <si>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</si>
  <si>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</si>
  <si>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</si>
  <si>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</si>
  <si>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</si>
  <si>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</si>
  <si>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</si>
  <si>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</si>
  <si>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</si>
  <si>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</si>
  <si>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</si>
  <si>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</si>
  <si>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</si>
  <si>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</si>
  <si>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</si>
  <si>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</si>
  <si>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</si>
  <si>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</si>
  <si>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</si>
  <si>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</si>
  <si>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</si>
  <si>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</si>
  <si>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</si>
  <si>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</si>
  <si>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</si>
  <si>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</si>
  <si>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</si>
  <si>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</si>
  <si>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</si>
  <si>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</si>
  <si>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</si>
  <si>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</si>
  <si>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</si>
  <si>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</si>
  <si>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</si>
  <si>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</si>
  <si>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</si>
  <si>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</si>
  <si>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</si>
  <si>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</si>
  <si>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</si>
  <si>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</si>
  <si>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</si>
  <si>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</si>
  <si>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</si>
  <si>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</si>
  <si>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</si>
  <si>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</si>
  <si>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</si>
  <si>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</si>
  <si>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</si>
  <si>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</si>
  <si>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</si>
  <si>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</si>
  <si>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</si>
  <si>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</si>
  <si>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</si>
  <si>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</si>
  <si>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</si>
  <si>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</si>
  <si>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</si>
  <si>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</si>
  <si>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</si>
  <si>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</si>
  <si>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</si>
  <si>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</si>
  <si>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</si>
  <si>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</si>
  <si>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</si>
  <si>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</si>
  <si>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</si>
  <si>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</si>
  <si>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</si>
  <si>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</si>
  <si>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</si>
  <si>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</si>
  <si>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</si>
  <si>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</si>
  <si>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</si>
  <si>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</si>
  <si>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</si>
  <si>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</si>
  <si>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</si>
  <si>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</si>
  <si>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</si>
  <si>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</si>
  <si>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</si>
  <si>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</si>
  <si>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</si>
  <si>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</si>
  <si>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</si>
  <si>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</si>
  <si>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</si>
  <si>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</si>
  <si>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</si>
  <si>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</si>
  <si>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</si>
  <si>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</si>
  <si>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</si>
  <si>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</si>
  <si>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</si>
  <si>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</si>
  <si>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</si>
  <si>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</si>
  <si>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</si>
  <si>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</si>
  <si>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</si>
  <si>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</si>
  <si>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</si>
  <si>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</si>
  <si>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</si>
  <si>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</si>
  <si>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</si>
  <si>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</si>
  <si>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</si>
  <si>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</si>
  <si>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</si>
  <si>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</si>
  <si>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</si>
  <si>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</si>
  <si>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</si>
  <si>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</si>
  <si>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</si>
  <si>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</si>
  <si>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</si>
  <si>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</si>
  <si>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</si>
  <si>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</si>
  <si>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</si>
  <si>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</si>
  <si>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</si>
  <si>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</si>
  <si>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</si>
  <si>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</si>
  <si>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</si>
  <si>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</si>
  <si>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</si>
  <si>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</si>
  <si>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</si>
  <si>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</si>
  <si>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</si>
  <si>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</si>
  <si>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</si>
  <si>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</si>
  <si>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</si>
  <si>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</si>
  <si>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</si>
  <si>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</si>
  <si>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</si>
  <si>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</si>
  <si>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</si>
  <si>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</si>
  <si>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</si>
  <si>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</si>
  <si>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</si>
  <si>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</si>
  <si>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</si>
  <si>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</si>
  <si>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</si>
  <si>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</si>
  <si>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</si>
  <si>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</si>
  <si>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</si>
  <si>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</si>
  <si>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</si>
  <si>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</si>
  <si>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</si>
  <si>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</si>
  <si>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</si>
  <si>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</si>
  <si>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</si>
  <si>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</si>
  <si>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</si>
  <si>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</si>
  <si>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</si>
  <si>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</si>
  <si>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</si>
  <si>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</si>
  <si>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</si>
  <si>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</si>
  <si>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</si>
  <si>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</si>
  <si>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</si>
  <si>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</si>
  <si>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</si>
  <si>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</si>
  <si>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</si>
  <si>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</si>
  <si>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</si>
  <si>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</si>
  <si>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</si>
  <si>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</si>
  <si>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</si>
  <si>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</si>
  <si>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</si>
  <si>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</si>
  <si>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</si>
  <si>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</si>
  <si>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</si>
  <si>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</si>
  <si>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</si>
  <si>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</si>
  <si>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</si>
  <si>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</si>
  <si>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</si>
  <si>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</si>
  <si>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</si>
  <si>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</si>
  <si>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</si>
  <si>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</si>
  <si>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</si>
  <si>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</si>
  <si>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</si>
  <si>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</si>
  <si>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</si>
  <si>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</si>
  <si>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</si>
  <si>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</si>
  <si>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</si>
  <si>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</si>
  <si>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</si>
  <si>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</si>
  <si>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</si>
  <si>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</si>
  <si>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</si>
  <si>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</si>
  <si>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</si>
  <si>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</si>
  <si>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</si>
  <si>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</si>
  <si>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</si>
  <si>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</si>
  <si>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</si>
  <si>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</si>
  <si>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</si>
  <si>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</si>
  <si>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</si>
  <si>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</si>
  <si>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</si>
  <si>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</si>
  <si>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</si>
  <si>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</si>
  <si>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</si>
  <si>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</si>
  <si>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</si>
  <si>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</si>
  <si>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</si>
  <si>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</si>
  <si>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</si>
  <si>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</si>
  <si>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</si>
  <si>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</si>
  <si>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</si>
  <si>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</si>
  <si>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</si>
  <si>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</si>
  <si>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</si>
  <si>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</si>
  <si>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</si>
  <si>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</si>
  <si>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</si>
  <si>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</si>
  <si>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</si>
  <si>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</si>
  <si>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</si>
  <si>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</si>
  <si>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</si>
  <si>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</si>
  <si>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</si>
  <si>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</si>
  <si>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</si>
  <si>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</si>
  <si>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</si>
  <si>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</si>
  <si>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</si>
  <si>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</si>
  <si>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</si>
  <si>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</si>
  <si>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</si>
  <si>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</si>
  <si>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</si>
  <si>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</si>
  <si>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</si>
  <si>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</si>
  <si>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</si>
  <si>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</si>
  <si>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</si>
  <si>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</si>
  <si>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</si>
  <si>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</si>
  <si>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</si>
  <si>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</si>
  <si>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</si>
  <si>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</si>
  <si>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</si>
  <si>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</si>
  <si>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</si>
  <si>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</si>
  <si>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</si>
  <si>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</si>
  <si>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</si>
  <si>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</si>
  <si>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</si>
  <si>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</si>
  <si>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</si>
  <si>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</si>
  <si>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</si>
  <si>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</si>
  <si>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</si>
  <si>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</si>
  <si>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</si>
  <si>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</si>
  <si>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</si>
  <si>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</si>
  <si>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</si>
  <si>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</si>
  <si>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</si>
  <si>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</si>
  <si>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</si>
  <si>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</si>
  <si>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</si>
  <si>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</si>
  <si>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</si>
  <si>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</si>
  <si>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</si>
  <si>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</si>
  <si>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</si>
  <si>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</si>
  <si>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</si>
  <si>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</si>
  <si>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</si>
  <si>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</si>
  <si>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</si>
  <si>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</si>
  <si>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</si>
  <si>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</si>
  <si>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</si>
  <si>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</si>
  <si>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</si>
  <si>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</si>
  <si>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</si>
  <si>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</si>
  <si>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</si>
  <si>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</si>
  <si>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</si>
  <si>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</si>
  <si>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</si>
  <si>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</si>
  <si>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</si>
  <si>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</si>
  <si>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</si>
  <si>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</si>
  <si>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</si>
  <si>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</si>
  <si>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</si>
  <si>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</si>
  <si>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</si>
  <si>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</si>
  <si>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</si>
  <si>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</si>
  <si>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</si>
  <si>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</si>
  <si>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</si>
  <si>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</si>
  <si>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</si>
  <si>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</si>
  <si>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</si>
  <si>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</si>
  <si>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</si>
  <si>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</si>
  <si>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</si>
  <si>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</si>
  <si>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</si>
  <si>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</si>
  <si>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</si>
  <si>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</si>
  <si>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</si>
  <si>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</si>
  <si>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</si>
  <si>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</si>
  <si>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</si>
  <si>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</si>
  <si>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</si>
  <si>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</si>
  <si>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</si>
  <si>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</si>
  <si>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</si>
  <si>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</si>
  <si>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</si>
  <si>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</si>
  <si>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</si>
  <si>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</si>
  <si>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</si>
  <si>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</si>
  <si>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</si>
  <si>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</si>
  <si>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</si>
  <si>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</si>
  <si>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</si>
  <si>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</si>
  <si>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</si>
  <si>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</si>
  <si>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</si>
  <si>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</si>
  <si>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</si>
  <si>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</si>
  <si>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</si>
  <si>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</si>
  <si>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</si>
  <si>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</si>
  <si>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</si>
  <si>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</si>
  <si>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</si>
  <si>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</si>
  <si>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</si>
  <si>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</si>
  <si>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</si>
  <si>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</si>
  <si>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</si>
  <si>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</si>
  <si>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</si>
  <si>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</si>
  <si>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</si>
  <si>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</si>
  <si>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</si>
  <si>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</si>
  <si>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</si>
  <si>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</si>
  <si>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</si>
  <si>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</si>
  <si>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</si>
  <si>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</si>
  <si>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</si>
  <si>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</si>
  <si>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</si>
  <si>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</si>
  <si>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</si>
  <si>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</si>
  <si>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</si>
  <si>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</si>
  <si>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</si>
  <si>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</si>
  <si>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</si>
  <si>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</si>
  <si>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</si>
  <si>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</si>
  <si>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</si>
  <si>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</si>
  <si>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</si>
  <si>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</si>
  <si>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</si>
  <si>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</si>
  <si>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</si>
  <si>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</si>
  <si>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</si>
  <si>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</si>
  <si>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</si>
  <si>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</si>
  <si>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</si>
  <si>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</si>
  <si>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</si>
  <si>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</si>
  <si>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</si>
  <si>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</si>
  <si>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</si>
  <si>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</si>
  <si>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</si>
  <si>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</si>
  <si>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</si>
  <si>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</si>
  <si>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</si>
  <si>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</si>
  <si>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</si>
  <si>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</si>
  <si>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</si>
  <si>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</si>
  <si>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</si>
  <si>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</si>
  <si>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</si>
  <si>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</si>
  <si>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</si>
  <si>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</si>
  <si>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</si>
  <si>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</si>
  <si>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</si>
  <si>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</si>
  <si>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</si>
  <si>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</si>
  <si>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</si>
  <si>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</si>
  <si>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</si>
  <si>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</si>
  <si>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</si>
  <si>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</si>
  <si>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</si>
  <si>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</si>
  <si>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</si>
  <si>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</si>
  <si>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</si>
  <si>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</si>
  <si>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</si>
  <si>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</si>
  <si>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</si>
  <si>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</si>
  <si>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</si>
  <si>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</si>
  <si>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</si>
  <si>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</si>
  <si>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</si>
  <si>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</si>
  <si>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</si>
  <si>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</si>
  <si>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</si>
  <si>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</si>
  <si>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</si>
  <si>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</si>
  <si>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</si>
  <si>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</si>
  <si>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</si>
  <si>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</si>
  <si>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</si>
  <si>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</si>
  <si>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</si>
  <si>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</si>
  <si>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</si>
  <si>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</si>
  <si>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</si>
  <si>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</si>
  <si>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</si>
  <si>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</si>
  <si>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</si>
  <si>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</si>
  <si>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</si>
  <si>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</si>
  <si>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</si>
  <si>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</si>
  <si>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</si>
  <si>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</si>
  <si>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</si>
  <si>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</si>
  <si>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</si>
  <si>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</si>
  <si>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</si>
  <si>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</si>
  <si>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</si>
  <si>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</si>
  <si>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</si>
  <si>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</si>
  <si>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</si>
  <si>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</si>
  <si>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</si>
  <si>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</si>
  <si>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</si>
  <si>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</si>
  <si>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</si>
  <si>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</si>
  <si>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</si>
  <si>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</si>
  <si>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</si>
  <si>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</si>
  <si>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</si>
  <si>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</si>
  <si>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</si>
  <si>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</si>
  <si>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</si>
  <si>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</si>
  <si>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</si>
  <si>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</si>
  <si>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</si>
  <si>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</si>
  <si>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</si>
  <si>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</si>
  <si>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</si>
  <si>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</si>
  <si>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</si>
  <si>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</si>
  <si>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</si>
  <si>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</si>
  <si>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</si>
  <si>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</si>
  <si>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</si>
  <si>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</si>
  <si>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</si>
  <si>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</si>
  <si>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</si>
  <si>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</si>
  <si>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</si>
  <si>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</si>
  <si>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</si>
  <si>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</si>
  <si>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</si>
  <si>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</si>
  <si>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</si>
  <si>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</si>
  <si>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</si>
  <si>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</si>
  <si>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</si>
  <si>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</si>
  <si>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</si>
  <si>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</si>
  <si>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</si>
  <si>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</si>
  <si>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</si>
  <si>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</si>
  <si>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</si>
  <si>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</si>
  <si>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</si>
  <si>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</si>
  <si>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</si>
  <si>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</si>
  <si>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</si>
  <si>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</si>
  <si>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</si>
  <si>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</si>
  <si>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</si>
  <si>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</si>
  <si>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</si>
  <si>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</si>
  <si>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</si>
  <si>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</si>
  <si>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</si>
  <si>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</si>
  <si>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</si>
  <si>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</si>
  <si>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</si>
  <si>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</si>
  <si>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</si>
  <si>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</si>
  <si>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</si>
  <si>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</si>
  <si>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</si>
  <si>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</si>
  <si>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</si>
  <si>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</si>
  <si>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</si>
  <si>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</si>
  <si>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</si>
  <si>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</si>
  <si>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</si>
  <si>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</si>
  <si>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</si>
  <si>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</si>
  <si>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</si>
  <si>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</si>
  <si>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</si>
  <si>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</si>
  <si>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</si>
  <si>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</si>
  <si>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</si>
  <si>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</si>
  <si>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</si>
  <si>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</si>
  <si>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</si>
  <si>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</si>
  <si>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</si>
  <si>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</si>
  <si>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</si>
  <si>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</si>
  <si>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</si>
  <si>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</si>
  <si>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</si>
  <si>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</si>
  <si>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</si>
  <si>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</si>
  <si>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</si>
  <si>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</si>
  <si>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</si>
  <si>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</si>
  <si>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</si>
  <si>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</si>
  <si>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</si>
  <si>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</si>
  <si>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</si>
  <si>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</si>
  <si>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</si>
  <si>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</si>
  <si>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</si>
  <si>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</si>
  <si>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</si>
  <si>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</si>
  <si>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</si>
  <si>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</si>
  <si>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</si>
  <si>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</si>
  <si>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</si>
  <si>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</si>
  <si>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</si>
  <si>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</si>
  <si>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</si>
  <si>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</si>
  <si>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</si>
  <si>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</si>
  <si>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</si>
  <si>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</si>
  <si>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</si>
  <si>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</si>
  <si>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</si>
  <si>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</si>
  <si>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</si>
  <si>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</si>
  <si>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</si>
  <si>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</si>
  <si>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</si>
  <si>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</si>
  <si>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</si>
  <si>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</si>
  <si>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</si>
  <si>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</si>
  <si>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</si>
  <si>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</si>
  <si>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</si>
  <si>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</si>
  <si>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</si>
  <si>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</si>
  <si>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</si>
  <si>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</si>
  <si>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</si>
  <si>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</si>
  <si>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</si>
  <si>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</si>
  <si>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</si>
  <si>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</si>
  <si>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</si>
  <si>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</si>
  <si>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</si>
  <si>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</si>
  <si>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</si>
  <si>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</si>
  <si>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</si>
  <si>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</si>
  <si>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</si>
  <si>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</si>
  <si>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</si>
  <si>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</si>
  <si>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</si>
  <si>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</si>
  <si>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</si>
  <si>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</si>
  <si>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</si>
  <si>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</si>
  <si>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</si>
  <si>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</si>
  <si>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</si>
  <si>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</si>
  <si>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</si>
  <si>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</si>
  <si>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</si>
  <si>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</si>
  <si>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</si>
  <si>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</si>
  <si>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</si>
  <si>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</si>
  <si>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</si>
  <si>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</si>
  <si>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</si>
  <si>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</si>
  <si>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</si>
  <si>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</si>
  <si>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</si>
  <si>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</si>
  <si>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</si>
  <si>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</si>
  <si>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</si>
  <si>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</si>
  <si>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</si>
  <si>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</si>
  <si>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</si>
  <si>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</si>
  <si>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</si>
  <si>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</si>
  <si>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</si>
  <si>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</si>
  <si>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</si>
  <si>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</si>
  <si>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</si>
  <si>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</si>
  <si>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</si>
  <si>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</si>
  <si>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</si>
  <si>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</si>
  <si>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</si>
  <si>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</si>
  <si>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</si>
  <si>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</si>
  <si>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</si>
  <si>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</si>
  <si>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</si>
  <si>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</si>
  <si>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</si>
  <si>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</si>
  <si>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</si>
  <si>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</si>
  <si>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</si>
  <si>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</si>
  <si>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</si>
  <si>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</si>
  <si>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</si>
  <si>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</si>
  <si>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</si>
  <si>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</si>
  <si>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</si>
  <si>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</si>
  <si>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</si>
  <si>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</si>
  <si>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</si>
  <si>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</si>
  <si>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</si>
  <si>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</si>
  <si>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</si>
  <si>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</si>
  <si>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</si>
  <si>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</si>
  <si>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</si>
  <si>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</si>
  <si>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</si>
  <si>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</si>
  <si>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</si>
  <si>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</si>
  <si>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</si>
  <si>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</si>
  <si>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</si>
  <si>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</si>
  <si>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</si>
  <si>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</si>
  <si>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</si>
  <si>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</si>
  <si>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</si>
  <si>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</si>
  <si>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</si>
  <si>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</si>
  <si>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</si>
  <si>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</si>
  <si>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</si>
  <si>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</si>
  <si>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</si>
  <si>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</si>
  <si>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</si>
  <si>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</si>
  <si>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</si>
  <si>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</si>
  <si>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</si>
  <si>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</si>
  <si>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</si>
  <si>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</si>
  <si>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</si>
  <si>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</si>
  <si>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</si>
  <si>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</si>
  <si>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</si>
  <si>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</si>
  <si>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</si>
  <si>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</si>
  <si>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</si>
  <si>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</si>
  <si>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</si>
  <si>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</si>
  <si>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</si>
  <si>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</si>
  <si>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</si>
  <si>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</si>
  <si>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</si>
  <si>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</si>
  <si>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</si>
  <si>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</si>
  <si>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</si>
  <si>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</si>
  <si>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</si>
  <si>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</si>
  <si>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</si>
  <si>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</si>
  <si>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</si>
  <si>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</si>
  <si>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</si>
  <si>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</si>
  <si>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</si>
  <si>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</si>
  <si>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</si>
  <si>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</si>
  <si>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</si>
  <si>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</si>
  <si>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</si>
  <si>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</si>
  <si>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</si>
  <si>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</si>
  <si>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</si>
  <si>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</si>
  <si>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</si>
  <si>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</si>
  <si>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</si>
  <si>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</si>
  <si>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</si>
  <si>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</si>
  <si>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</si>
  <si>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</si>
  <si>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</si>
  <si>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</si>
  <si>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</si>
  <si>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</si>
  <si>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</si>
  <si>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</si>
  <si>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</si>
  <si>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</si>
  <si>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</si>
  <si>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</si>
  <si>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</si>
  <si>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</si>
  <si>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</si>
  <si>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</si>
  <si>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</si>
  <si>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</si>
  <si>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</si>
  <si>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</si>
  <si>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</si>
  <si>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</si>
  <si>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</si>
  <si>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</si>
  <si>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</si>
  <si>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</si>
  <si>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</si>
  <si>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</si>
  <si>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</si>
  <si>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</si>
  <si>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</si>
  <si>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</si>
  <si>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</si>
  <si>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</si>
  <si>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</si>
  <si>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</si>
  <si>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</si>
  <si>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</si>
  <si>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</si>
  <si>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</si>
  <si>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</si>
  <si>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</si>
  <si>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</si>
  <si>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</si>
  <si>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</si>
  <si>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</si>
  <si>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</si>
  <si>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</si>
  <si>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</si>
  <si>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</si>
  <si>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</si>
  <si>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</si>
  <si>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</si>
  <si>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</si>
  <si>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</si>
  <si>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</si>
  <si>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</si>
  <si>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</si>
  <si>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</si>
  <si>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</si>
  <si>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</si>
  <si>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</si>
  <si>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</si>
  <si>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</si>
  <si>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</si>
  <si>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</si>
  <si>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</si>
  <si>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</si>
  <si>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</si>
  <si>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</si>
  <si>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</si>
  <si>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</si>
  <si>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</si>
  <si>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</si>
  <si>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</si>
  <si>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</si>
  <si>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</si>
  <si>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</si>
  <si>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</si>
  <si>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</si>
  <si>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</si>
  <si>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</si>
  <si>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</si>
  <si>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</si>
  <si>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</si>
  <si>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</si>
  <si>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</si>
  <si>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</si>
  <si>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</si>
  <si>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</si>
  <si>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</si>
  <si>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</si>
  <si>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</si>
  <si>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</si>
  <si>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</si>
  <si>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</si>
  <si>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</si>
  <si>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</si>
  <si>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</si>
  <si>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</si>
  <si>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</si>
  <si>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</si>
  <si>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</si>
  <si>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</si>
  <si>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</si>
  <si>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</si>
  <si>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</si>
  <si>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</si>
  <si>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</si>
  <si>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</si>
  <si>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</si>
  <si>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</si>
  <si>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</si>
  <si>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</si>
  <si>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</si>
  <si>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</si>
  <si>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</si>
  <si>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</si>
  <si>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</si>
  <si>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</si>
  <si>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</si>
  <si>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</si>
  <si>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</si>
  <si>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</si>
  <si>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</si>
  <si>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</si>
  <si>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</si>
  <si>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</si>
  <si>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</si>
  <si>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</si>
  <si>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</si>
  <si>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</si>
  <si>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</si>
  <si>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</si>
  <si>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</si>
  <si>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</si>
  <si>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</si>
  <si>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</si>
  <si>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</si>
  <si>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</si>
  <si>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</si>
  <si>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</si>
  <si>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</si>
  <si>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</si>
  <si>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</si>
  <si>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</si>
  <si>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</si>
  <si>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</si>
  <si>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</si>
  <si>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</si>
  <si>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</si>
  <si>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</si>
  <si>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</si>
  <si>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</si>
  <si>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</si>
  <si>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</si>
  <si>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</si>
  <si>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</si>
  <si>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</si>
  <si>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</si>
  <si>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</si>
  <si>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</si>
  <si>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</si>
  <si>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</si>
  <si>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</si>
  <si>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</si>
  <si>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</si>
  <si>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</si>
  <si>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</si>
  <si>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</si>
  <si>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</si>
  <si>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</si>
  <si>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</si>
  <si>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</si>
  <si>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</si>
  <si>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</si>
  <si>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</si>
  <si>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</si>
  <si>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</si>
  <si>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</si>
  <si>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</si>
  <si>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</si>
  <si>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</si>
  <si>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</si>
  <si>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</si>
  <si>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</si>
  <si>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</si>
  <si>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</si>
  <si>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</si>
  <si>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</si>
  <si>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</si>
  <si>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</si>
  <si>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</si>
  <si>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</si>
  <si>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</si>
  <si>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</si>
  <si>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</si>
  <si>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</si>
  <si>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</si>
  <si>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</si>
  <si>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</si>
  <si>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</si>
  <si>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</si>
  <si>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</si>
  <si>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</si>
  <si>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</si>
  <si>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</si>
  <si>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</si>
  <si>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</si>
  <si>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</si>
  <si>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</si>
  <si>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</si>
  <si>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</si>
  <si>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</si>
  <si>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</si>
  <si>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</si>
  <si>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</si>
  <si>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</si>
  <si>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</si>
  <si>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</si>
  <si>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</si>
  <si>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</si>
  <si>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</si>
  <si>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</si>
  <si>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</si>
  <si>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</si>
  <si>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</si>
  <si>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</si>
  <si>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</si>
  <si>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</si>
  <si>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</si>
  <si>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</si>
  <si>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</si>
  <si>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</si>
  <si>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</si>
  <si>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</si>
  <si>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</si>
  <si>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</si>
  <si>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</si>
  <si>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</si>
  <si>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</si>
  <si>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</si>
  <si>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</si>
  <si>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</si>
  <si>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</si>
  <si>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</si>
  <si>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</si>
  <si>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</si>
  <si>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</si>
  <si>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</si>
  <si>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</si>
  <si>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</si>
  <si>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</si>
  <si>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</si>
  <si>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</si>
  <si>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</si>
  <si>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</si>
  <si>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</si>
  <si>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</si>
  <si>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</si>
  <si>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</si>
  <si>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</si>
  <si>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</si>
  <si>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</si>
  <si>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</si>
  <si>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</si>
  <si>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</si>
  <si>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</si>
  <si>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</si>
  <si>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</si>
  <si>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</si>
  <si>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</si>
  <si>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</si>
  <si>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</si>
  <si>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</si>
  <si>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</si>
  <si>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</si>
  <si>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</si>
  <si>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</si>
  <si>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</si>
  <si>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</si>
  <si>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</si>
  <si>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</si>
  <si>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</si>
  <si>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</si>
  <si>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</si>
  <si>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</si>
  <si>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</si>
  <si>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</si>
  <si>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</si>
  <si>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</si>
  <si>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</si>
  <si>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</si>
  <si>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</si>
  <si>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</si>
  <si>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</si>
  <si>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</si>
  <si>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</si>
  <si>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</si>
  <si>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</si>
  <si>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</si>
  <si>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</si>
  <si>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</si>
  <si>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</si>
  <si>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</si>
  <si>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</si>
  <si>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</si>
  <si>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</si>
  <si>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</si>
  <si>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</si>
  <si>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</si>
  <si>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</si>
  <si>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</si>
  <si>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</si>
  <si>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</si>
  <si>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</si>
  <si>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</si>
  <si>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</si>
  <si>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</si>
  <si>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</si>
  <si>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</si>
  <si>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</si>
  <si>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</si>
  <si>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</si>
  <si>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</si>
  <si>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</si>
  <si>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</si>
  <si>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</si>
  <si>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</si>
  <si>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</si>
  <si>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</si>
  <si>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</si>
  <si>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</si>
  <si>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</si>
  <si>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</si>
  <si>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</si>
  <si>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</si>
  <si>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</si>
  <si>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</si>
  <si>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</si>
  <si>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</si>
  <si>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</si>
  <si>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</si>
  <si>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</si>
  <si>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</si>
  <si>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</si>
  <si>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</si>
  <si>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</si>
  <si>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</si>
  <si>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</si>
  <si>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</si>
  <si>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</si>
  <si>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</si>
  <si>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</si>
  <si>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</si>
  <si>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</si>
  <si>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</si>
  <si>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</si>
  <si>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</si>
  <si>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</si>
  <si>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</si>
  <si>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</si>
  <si>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</si>
  <si>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</si>
  <si>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</si>
  <si>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</si>
  <si>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</si>
  <si>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</si>
  <si>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</si>
  <si>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</si>
  <si>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</si>
  <si>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</si>
  <si>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</si>
  <si>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</si>
  <si>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</si>
  <si>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</si>
  <si>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</si>
  <si>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</si>
  <si>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</si>
  <si>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</si>
  <si>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</si>
  <si>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</si>
  <si>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</si>
  <si>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</si>
  <si>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</si>
  <si>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</si>
  <si>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</si>
  <si>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</si>
  <si>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</si>
  <si>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</si>
  <si>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</si>
  <si>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</si>
  <si>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</si>
  <si>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</si>
  <si>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</si>
  <si>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</si>
  <si>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</si>
  <si>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</si>
  <si>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</si>
  <si>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</si>
  <si>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</si>
  <si>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</si>
  <si>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</si>
  <si>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</si>
  <si>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</si>
  <si>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</si>
  <si>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</si>
  <si>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</si>
  <si>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</si>
  <si>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</si>
  <si>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</si>
  <si>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</si>
  <si>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</si>
  <si>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</si>
  <si>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</si>
  <si>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</si>
  <si>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</si>
  <si>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</si>
  <si>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</si>
  <si>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</si>
  <si>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</si>
  <si>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</si>
  <si>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</si>
  <si>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</si>
  <si>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</si>
  <si>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</si>
  <si>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</si>
  <si>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</si>
  <si>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</si>
  <si>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</si>
  <si>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</si>
  <si>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</si>
  <si>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</si>
  <si>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</si>
  <si>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</si>
  <si>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</si>
  <si>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</si>
  <si>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</si>
  <si>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</si>
  <si>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</si>
  <si>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</si>
  <si>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</si>
  <si>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</si>
  <si>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</si>
  <si>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</si>
  <si>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</si>
  <si>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</si>
  <si>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</si>
  <si>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</si>
  <si>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</si>
  <si>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</si>
  <si>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</si>
  <si>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</si>
  <si>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</si>
  <si>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</si>
  <si>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</si>
  <si>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</si>
  <si>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</si>
  <si>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</si>
  <si>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</si>
  <si>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</si>
  <si>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</si>
  <si>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</si>
  <si>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</si>
  <si>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</si>
  <si>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</si>
  <si>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</si>
  <si>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</si>
  <si>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</si>
  <si>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</si>
  <si>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</si>
  <si>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</si>
  <si>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</si>
  <si>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</si>
  <si>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</si>
  <si>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</si>
  <si>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</si>
  <si>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</si>
  <si>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</si>
  <si>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</si>
  <si>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</si>
  <si>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</si>
  <si>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</si>
  <si>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</si>
  <si>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</si>
  <si>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</si>
  <si>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</si>
  <si>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</si>
  <si>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</si>
  <si>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</si>
  <si>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</si>
  <si>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</si>
  <si>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</si>
  <si>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</si>
  <si>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</si>
  <si>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</si>
  <si>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</si>
  <si>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</si>
  <si>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</si>
  <si>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</si>
  <si>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</si>
  <si>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</si>
  <si>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</si>
  <si>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</si>
  <si>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</si>
  <si>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</si>
  <si>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</si>
  <si>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</si>
  <si>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</si>
  <si>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</si>
  <si>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</si>
  <si>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</si>
  <si>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</si>
  <si>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</si>
  <si>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</si>
  <si>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</si>
  <si>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</si>
  <si>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</si>
  <si>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</si>
  <si>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</si>
  <si>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</si>
  <si>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</si>
  <si>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</si>
  <si>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</si>
  <si>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</si>
  <si>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</si>
  <si>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</si>
  <si>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</si>
  <si>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</si>
  <si>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</si>
  <si>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</si>
  <si>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</si>
  <si>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</si>
  <si>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</si>
  <si>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</si>
  <si>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</si>
  <si>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</si>
  <si>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</si>
  <si>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</si>
  <si>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</si>
  <si>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</si>
  <si>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</si>
  <si>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</si>
  <si>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</si>
  <si>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</si>
  <si>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</si>
  <si>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</si>
  <si>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</si>
  <si>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</si>
  <si>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</si>
  <si>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</si>
  <si>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</si>
  <si>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</si>
  <si>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</si>
  <si>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</si>
  <si>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</si>
  <si>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</si>
  <si>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</si>
  <si>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</si>
  <si>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</si>
  <si>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</si>
  <si>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</si>
  <si>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</si>
  <si>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</si>
  <si>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</si>
  <si>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</si>
  <si>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</si>
  <si>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</si>
  <si>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</si>
  <si>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</si>
  <si>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</si>
  <si>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</si>
  <si>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</si>
  <si>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</si>
  <si>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</si>
  <si>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</si>
  <si>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</si>
  <si>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</si>
  <si>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</si>
  <si>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</si>
  <si>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</si>
  <si>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</si>
  <si>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</si>
  <si>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</si>
  <si>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</si>
  <si>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</si>
  <si>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</si>
  <si>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</si>
  <si>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</si>
  <si>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</si>
  <si>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</si>
  <si>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</si>
  <si>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</si>
  <si>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</si>
  <si>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</si>
  <si>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</si>
  <si>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</si>
  <si>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</si>
  <si>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</si>
  <si>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</si>
  <si>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</si>
  <si>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</si>
  <si>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</si>
  <si>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</si>
  <si>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</si>
  <si>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</si>
  <si>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</si>
  <si>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</si>
  <si>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</si>
  <si>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</si>
  <si>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</si>
  <si>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</si>
  <si>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</si>
  <si>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</si>
  <si>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</si>
  <si>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</si>
  <si>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</si>
  <si>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</si>
  <si>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</si>
  <si>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</si>
  <si>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</si>
  <si>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</si>
  <si>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</si>
  <si>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</si>
  <si>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</si>
  <si>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</si>
  <si>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</si>
  <si>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</si>
  <si>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</si>
  <si>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</si>
  <si>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</si>
  <si>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</si>
  <si>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</si>
  <si>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</si>
  <si>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</si>
  <si>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</si>
  <si>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</si>
  <si>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</si>
  <si>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</si>
  <si>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</si>
  <si>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</si>
  <si>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楼面单价</t>
  </si>
  <si>
    <t>商业</t>
  </si>
  <si>
    <t>无租约</t>
  </si>
  <si>
    <t>利息：取LPR加浮动点数</t>
  </si>
  <si>
    <t>钢混</t>
  </si>
  <si>
    <t>非生产用房</t>
  </si>
  <si>
    <t>是</t>
  </si>
  <si>
    <t>未包含在土地购买价格中</t>
  </si>
  <si>
    <t>已包含在土地取得成本中</t>
  </si>
  <si>
    <t>成本法</t>
  </si>
  <si>
    <t>收益法</t>
  </si>
  <si>
    <t>元</t>
  </si>
  <si>
    <t>自然人</t>
  </si>
  <si>
    <t>临街1层</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</si>
</sst>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6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56" fillId="0" borderId="1" xfId="0" applyFont="1" applyBorder="1" applyAlignment="1">
      <alignment horizontal="center" vertical="center" wrapText="1"/>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40" fillId="0" borderId="0" xfId="0" applyFont="1" applyAlignment="1">
      <alignment horizontal="center" vertical="center"/>
    </xf>
    <xf numFmtId="0" fontId="56" fillId="0" borderId="32"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129" fillId="0" borderId="0" xfId="0" applyFont="1" applyAlignment="1">
      <alignment horizontal="left" vertical="center" wrapText="1"/>
    </xf>
    <xf numFmtId="0" fontId="132"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4"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42" fillId="5" borderId="26"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2" fillId="5" borderId="7"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7" fillId="5" borderId="2"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19" xfId="0" applyFont="1" applyFill="1" applyBorder="1" applyAlignment="1">
      <alignment horizontal="left" vertical="center" wrapText="1"/>
    </xf>
    <xf numFmtId="0" fontId="47" fillId="5" borderId="3" xfId="0"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0" fontId="47" fillId="5" borderId="51"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39" fillId="5" borderId="1"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222" fillId="5" borderId="0" xfId="0" applyFont="1" applyFill="1" applyAlignment="1">
      <alignment horizontal="center" vertical="center"/>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0" fontId="108" fillId="8" borderId="1" xfId="0" applyFont="1" applyFill="1" applyBorder="1" applyAlignment="1">
      <alignment horizontal="left" vertical="center" wrapText="1"/>
    </xf>
    <xf numFmtId="182" fontId="42" fillId="5" borderId="3" xfId="0" applyNumberFormat="1" applyFont="1" applyFill="1" applyBorder="1" applyAlignment="1">
      <alignment horizontal="left" vertical="center" shrinkToFit="1"/>
    </xf>
    <xf numFmtId="0" fontId="42" fillId="5" borderId="19"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196" fillId="8" borderId="2" xfId="0" applyFont="1" applyFill="1" applyBorder="1" applyAlignment="1">
      <alignment horizontal="left" vertical="center"/>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10" fontId="75" fillId="5" borderId="1" xfId="0" applyNumberFormat="1" applyFont="1" applyFill="1" applyBorder="1" applyAlignment="1">
      <alignment horizontal="left" vertical="center" wrapText="1"/>
    </xf>
    <xf numFmtId="0" fontId="196" fillId="8" borderId="3" xfId="0" applyFont="1" applyFill="1" applyBorder="1" applyAlignment="1">
      <alignment horizontal="left" vertical="center"/>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80" xfId="0"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101" fillId="5" borderId="0" xfId="0" applyFont="1" applyFill="1" applyAlignment="1">
      <alignment horizontal="left" vertical="center"/>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101" fillId="8" borderId="1"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2" xfId="0" applyFont="1" applyFill="1" applyBorder="1" applyAlignment="1">
      <alignment horizontal="left" vertical="center"/>
    </xf>
    <xf numFmtId="0" fontId="42" fillId="8" borderId="51" xfId="0" applyFont="1" applyFill="1" applyBorder="1" applyAlignment="1">
      <alignment horizontal="left" vertical="center"/>
    </xf>
    <xf numFmtId="0" fontId="102" fillId="8" borderId="1" xfId="0" applyFont="1" applyFill="1" applyBorder="1" applyAlignment="1">
      <alignment horizontal="left" vertical="center" wrapText="1"/>
    </xf>
    <xf numFmtId="0" fontId="134" fillId="8" borderId="1" xfId="0" applyFont="1" applyFill="1" applyBorder="1" applyAlignment="1">
      <alignment horizontal="left" vertical="center" wrapText="1"/>
    </xf>
    <xf numFmtId="0" fontId="42" fillId="8" borderId="3" xfId="0" applyFont="1" applyFill="1" applyBorder="1" applyAlignment="1">
      <alignment horizontal="left" vertical="center"/>
    </xf>
    <xf numFmtId="0" fontId="225" fillId="5" borderId="0" xfId="0" applyFont="1" applyFill="1" applyAlignment="1">
      <alignment horizontal="center" vertical="center"/>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34" fillId="0" borderId="1" xfId="0" applyFont="1" applyBorder="1" applyAlignment="1">
      <alignment horizontal="left" vertical="center" wrapText="1"/>
    </xf>
    <xf numFmtId="192" fontId="134" fillId="8" borderId="1" xfId="0" applyNumberFormat="1" applyFont="1" applyFill="1" applyBorder="1" applyAlignment="1">
      <alignment horizontal="left" vertical="center" wrapText="1"/>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1"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46" fillId="5" borderId="1"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7" xfId="0" applyFont="1" applyFill="1" applyBorder="1" applyAlignment="1">
      <alignment horizontal="left" vertical="center" wrapText="1"/>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176"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46" fillId="5" borderId="18" xfId="0" applyFont="1" applyFill="1" applyBorder="1" applyAlignment="1">
      <alignment horizontal="left" vertical="center" textRotation="255" wrapText="1"/>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8"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08" fillId="5" borderId="1" xfId="0" applyFont="1" applyFill="1" applyBorder="1" applyAlignment="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21320</xdr:rowOff>
    </xdr:from>
    <xdr:to>
      <xdr:col>11</xdr:col>
      <xdr:colOff>152400</xdr:colOff>
      <xdr:row>28</xdr:row>
      <xdr:rowOff>122933</xdr:rowOff>
    </xdr:to>
    <xdr:pic>
      <xdr:nvPicPr>
        <xdr:cNvPr id="3" name="图片 2">
          <a:extLst>
            <a:ext uri="{FF2B5EF4-FFF2-40B4-BE49-F238E27FC236}">
              <a16:creationId xmlns:a16="http://schemas.microsoft.com/office/drawing/2014/main" id="{86C05B38-42AD-B4D9-A587-82DAA258799C}"/>
            </a:ext>
          </a:extLst>
        </xdr:cNvPr>
        <xdr:cNvPicPr>
          <a:picLocks noChangeAspect="1"/>
        </xdr:cNvPicPr>
      </xdr:nvPicPr>
      <xdr:blipFill>
        <a:blip xmlns:r="http://schemas.openxmlformats.org/officeDocument/2006/relationships" r:embed="rId1"/>
        <a:stretch>
          <a:fillRect/>
        </a:stretch>
      </xdr:blipFill>
      <xdr:spPr>
        <a:xfrm>
          <a:off x="0" y="21320"/>
          <a:ext cx="6972300" cy="52222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2522;&#20934;&#22320;&#20215;&#20462;&#27491;&#27861;-&#23578;&#37117;so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27174</v>
          </cell>
          <cell r="D33">
            <v>165.59</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089" customWidth="1"/>
    <col min="2" max="2" width="94.88671875" style="1076" customWidth="1"/>
    <col min="3" max="16384" width="9" style="1083"/>
  </cols>
  <sheetData>
    <row r="1" spans="1:2" s="1081" customFormat="1" ht="16.2" thickBot="1">
      <c r="A1" s="1079" t="s">
        <v>856</v>
      </c>
      <c r="B1" s="1080" t="s">
        <v>918</v>
      </c>
    </row>
    <row r="2" spans="1:2" ht="16.2" thickTop="1">
      <c r="A2" s="1082" t="s">
        <v>857</v>
      </c>
      <c r="B2" s="1068" t="str">
        <f>'预评函-封皮'!B9</f>
        <v>北京市房地产抵押价值预评估</v>
      </c>
    </row>
    <row r="3" spans="1:2">
      <c r="A3" s="1084" t="s">
        <v>858</v>
      </c>
      <c r="B3" s="1069" t="str">
        <f>'预评函-封皮'!B12</f>
        <v>xx</v>
      </c>
    </row>
    <row r="4" spans="1:2">
      <c r="A4" s="1084" t="s">
        <v>859</v>
      </c>
      <c r="B4" s="1069" t="str">
        <f>'预评函-封皮'!B18</f>
        <v>（注册号:0）、（注册号:0)</v>
      </c>
    </row>
    <row r="5" spans="1:2" s="1081" customFormat="1" ht="16.2" thickBot="1">
      <c r="A5" s="1085" t="s">
        <v>860</v>
      </c>
      <c r="B5" s="1070" t="str">
        <f>'预评函-封皮'!B21</f>
        <v>康正预评字号</v>
      </c>
    </row>
    <row r="6" spans="1:2" ht="16.2" thickTop="1">
      <c r="A6" s="1084" t="s">
        <v>861</v>
      </c>
      <c r="B6" s="1068" t="str">
        <f>'预评函-1'!A4</f>
        <v>受您的委托，我公司对北京市房地产进行了预评估。</v>
      </c>
    </row>
    <row r="7" spans="1:2">
      <c r="A7" s="1084" t="s">
        <v>862</v>
      </c>
      <c r="B7" s="1071" t="str">
        <f>'预评函-1'!A6</f>
        <v>估价对象为北京市房地产，为XX所有。根据《》[]，估价对象建筑面积为165.59平方米。根据《》[]，估价对象（分摊）出让国有建设用地使用权面积为平方米。估价对象用途为。</v>
      </c>
    </row>
    <row r="8" spans="1:2">
      <c r="A8" s="1084" t="s">
        <v>863</v>
      </c>
      <c r="B8" s="107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084" t="s">
        <v>864</v>
      </c>
      <c r="B9" s="1071" t="str">
        <f>'预评函-1'!A10</f>
        <v>2022年12月6日</v>
      </c>
    </row>
    <row r="10" spans="1:2">
      <c r="A10" s="1084" t="s">
        <v>865</v>
      </c>
      <c r="B10" s="1071" t="str">
        <f>'预评函-1'!A13</f>
        <v>本次估价的“房地产价值”是指在正常市场情况下，在价值时点2022年12月6日，估价对象规划用途为，假定未设立法定优先受偿款下的房地产市场价值。</v>
      </c>
    </row>
    <row r="11" spans="1:2">
      <c r="A11" s="1084" t="s">
        <v>866</v>
      </c>
      <c r="B11" s="1071"/>
    </row>
    <row r="12" spans="1:2">
      <c r="A12" s="1084" t="s">
        <v>867</v>
      </c>
      <c r="B12" s="1071" t="str">
        <f>'预评函-1'!A14</f>
        <v>本次估价的“房地产抵押价值”是指估价对象在价值时点的“房地产价值”扣减估价师于价值时点所知悉的法定优先受偿款后的余额。</v>
      </c>
    </row>
    <row r="13" spans="1:2">
      <c r="A13" s="1084" t="s">
        <v>868</v>
      </c>
      <c r="B13" s="10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4" t="s">
        <v>869</v>
      </c>
      <c r="B14" s="10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1" customFormat="1" ht="16.2" thickBot="1">
      <c r="A15" s="1085" t="s">
        <v>870</v>
      </c>
      <c r="B15" s="1072" t="str">
        <f>'预评函-1'!A18</f>
        <v>本次评估采用的主估价方法为基准地价系数修正法和基准地价系数修正法。</v>
      </c>
    </row>
    <row r="16" spans="1:2" ht="16.2" thickTop="1">
      <c r="A16" s="1082" t="s">
        <v>871</v>
      </c>
      <c r="B16" s="10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4" t="s">
        <v>872</v>
      </c>
      <c r="B17" s="1071" t="str">
        <f>'预评函-2（1）'!B6</f>
        <v>北京市房地产</v>
      </c>
    </row>
    <row r="18" spans="1:2">
      <c r="A18" s="1084" t="s">
        <v>873</v>
      </c>
      <c r="B18" s="1071">
        <f>'预评函-2（1）'!C6</f>
        <v>165.59</v>
      </c>
    </row>
    <row r="19" spans="1:2">
      <c r="A19" s="1084" t="s">
        <v>874</v>
      </c>
      <c r="B19" s="1071">
        <f>'预评函-2（1）'!D7</f>
        <v>0</v>
      </c>
    </row>
    <row r="20" spans="1:2">
      <c r="A20" s="1084" t="s">
        <v>912</v>
      </c>
      <c r="B20" s="1071" t="str">
        <f>'预评函-2（1）'!C7</f>
        <v>总价（元）</v>
      </c>
    </row>
    <row r="21" spans="1:2">
      <c r="A21" s="1084" t="s">
        <v>875</v>
      </c>
      <c r="B21" s="1071" t="e">
        <f>'预评函-2（1）'!D9</f>
        <v>#DIV/0!</v>
      </c>
    </row>
    <row r="22" spans="1:2">
      <c r="A22" s="1084" t="s">
        <v>876</v>
      </c>
      <c r="B22" s="1071" t="str">
        <f>'预评函-2（1）'!D8</f>
        <v>零元整</v>
      </c>
    </row>
    <row r="23" spans="1:2">
      <c r="A23" s="1084" t="s">
        <v>913</v>
      </c>
      <c r="B23" s="1071">
        <f>'预评函-2（1）'!D10</f>
        <v>0</v>
      </c>
    </row>
    <row r="24" spans="1:2">
      <c r="A24" s="1084" t="s">
        <v>914</v>
      </c>
      <c r="B24" s="1071" t="str">
        <f>'预评函-2（1）'!C10</f>
        <v>总额（元）</v>
      </c>
    </row>
    <row r="25" spans="1:2">
      <c r="A25" s="1084" t="s">
        <v>877</v>
      </c>
      <c r="B25" s="1071" t="str">
        <f>'预评函-2（1）'!D11</f>
        <v>零元整</v>
      </c>
    </row>
    <row r="26" spans="1:2">
      <c r="A26" s="1084" t="s">
        <v>878</v>
      </c>
      <c r="B26" s="1071">
        <f>'预评函-2（1）'!D12</f>
        <v>0</v>
      </c>
    </row>
    <row r="27" spans="1:2">
      <c r="A27" s="1084" t="s">
        <v>879</v>
      </c>
      <c r="B27" s="1071">
        <f>'预评函-2（1）'!D13</f>
        <v>0</v>
      </c>
    </row>
    <row r="28" spans="1:2">
      <c r="A28" s="1084" t="s">
        <v>880</v>
      </c>
      <c r="B28" s="1071">
        <f>'预评函-2（1）'!D14</f>
        <v>0</v>
      </c>
    </row>
    <row r="29" spans="1:2">
      <c r="A29" s="1084" t="s">
        <v>881</v>
      </c>
      <c r="B29" s="1071">
        <f>'预评函-2（1）'!D15</f>
        <v>0</v>
      </c>
    </row>
    <row r="30" spans="1:2">
      <c r="A30" s="1084" t="s">
        <v>882</v>
      </c>
      <c r="B30" s="1071" t="str">
        <f>'预评函-2（1）'!D16</f>
        <v>零元整</v>
      </c>
    </row>
    <row r="31" spans="1:2">
      <c r="A31" s="1084" t="s">
        <v>883</v>
      </c>
      <c r="B31" s="1071" t="str">
        <f>'预评函-2（1）'!D18</f>
        <v>——</v>
      </c>
    </row>
    <row r="32" spans="1:2">
      <c r="A32" s="1084" t="s">
        <v>884</v>
      </c>
      <c r="B32" s="1071" t="e">
        <f>'预评函-2（1）'!D19</f>
        <v>#VALUE!</v>
      </c>
    </row>
    <row r="33" spans="1:2">
      <c r="A33" s="1084" t="s">
        <v>885</v>
      </c>
      <c r="B33" s="1071" t="str">
        <f>'预评函-2（1）'!D21</f>
        <v>——</v>
      </c>
    </row>
    <row r="34" spans="1:2">
      <c r="A34" s="1084" t="s">
        <v>886</v>
      </c>
      <c r="B34" s="1071" t="str">
        <f>'预评函-2（1）'!D23</f>
        <v>——</v>
      </c>
    </row>
    <row r="35" spans="1:2">
      <c r="A35" s="1084" t="s">
        <v>887</v>
      </c>
      <c r="B35" s="1071" t="e">
        <f>'预评函-2（1）'!D22</f>
        <v>#VALUE!</v>
      </c>
    </row>
    <row r="36" spans="1:2">
      <c r="A36" s="1084" t="s">
        <v>888</v>
      </c>
      <c r="B36" s="1071">
        <f>'预评函-2（2）'!C4</f>
        <v>0</v>
      </c>
    </row>
    <row r="37" spans="1:2">
      <c r="A37" s="1084" t="s">
        <v>889</v>
      </c>
      <c r="B37" s="1071">
        <f>'预评函-2（2）'!D4</f>
        <v>0</v>
      </c>
    </row>
    <row r="38" spans="1:2">
      <c r="A38" s="1084" t="s">
        <v>890</v>
      </c>
      <c r="B38" s="1071" t="e">
        <f>'预评函-2（2）'!E4</f>
        <v>#DIV/0!</v>
      </c>
    </row>
    <row r="39" spans="1:2">
      <c r="A39" s="1084" t="s">
        <v>891</v>
      </c>
      <c r="B39" s="1071" t="str">
        <f>'预评函-2（2）'!D5</f>
        <v>零元整</v>
      </c>
    </row>
    <row r="40" spans="1:2">
      <c r="A40" s="1084" t="s">
        <v>892</v>
      </c>
      <c r="B40" s="1071">
        <f>'预评函-2（2）'!F4</f>
        <v>0</v>
      </c>
    </row>
    <row r="41" spans="1:2">
      <c r="A41" s="1084" t="s">
        <v>893</v>
      </c>
      <c r="B41" s="1071" t="e">
        <f>'预评函-2（2）'!G4</f>
        <v>#DIV/0!</v>
      </c>
    </row>
    <row r="42" spans="1:2" s="1081" customFormat="1" ht="16.2" thickBot="1">
      <c r="A42" s="1085" t="s">
        <v>894</v>
      </c>
      <c r="B42" s="1073" t="str">
        <f>'预评函-2（2）'!F5</f>
        <v>零元整</v>
      </c>
    </row>
    <row r="43" spans="1:2" ht="16.2" thickTop="1">
      <c r="A43" s="1082" t="s">
        <v>895</v>
      </c>
      <c r="B43" s="1074" t="str">
        <f>'预评函-3'!A13</f>
        <v>2.本《评估意见函》仅供金融机构进行内部审核使用，不做其他目的之用。</v>
      </c>
    </row>
    <row r="44" spans="1:2">
      <c r="A44" s="1084" t="s">
        <v>896</v>
      </c>
      <c r="B44" s="1071" t="str">
        <f>'预评函-3'!A14</f>
        <v>3.抵押双方在办理抵押登记手续时，应使用本公司出具的正式《不动产估价报告书》，特提醒报告使用者注意。</v>
      </c>
    </row>
    <row r="45" spans="1:2">
      <c r="A45" s="1084" t="s">
        <v>897</v>
      </c>
      <c r="B45" s="1071" t="str">
        <f>'预评函-3'!A15</f>
        <v>4.本次评估估价师所知悉的法定优先受偿款情况说明如下：</v>
      </c>
    </row>
    <row r="46" spans="1:2">
      <c r="A46" s="1084" t="s">
        <v>898</v>
      </c>
      <c r="B46" s="107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084" t="s">
        <v>899</v>
      </c>
      <c r="B47" s="10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4" t="s">
        <v>910</v>
      </c>
      <c r="B48" s="1071" t="str">
        <f>'预评函-3'!A18</f>
        <v>本次评估不存在估价师所知悉的法定优先受偿款。</v>
      </c>
    </row>
    <row r="49" spans="1:2">
      <c r="A49" s="1084" t="s">
        <v>900</v>
      </c>
      <c r="B49" s="10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4" t="s">
        <v>901</v>
      </c>
      <c r="B50" s="1071" t="str">
        <f>'预评函-3'!A20</f>
        <v>6.其他需特殊说明事项：（没有时删除此项；注意修改序号）</v>
      </c>
    </row>
    <row r="51" spans="1:2" s="1081" customFormat="1" ht="16.2" thickBot="1">
      <c r="A51" s="1085" t="s">
        <v>902</v>
      </c>
      <c r="B51" s="1078">
        <f>'预评函-3'!D29</f>
        <v>42551</v>
      </c>
    </row>
    <row r="52" spans="1:2" ht="16.2" thickTop="1">
      <c r="A52" s="1082" t="s">
        <v>903</v>
      </c>
      <c r="B52" s="1077">
        <f>'预评函-3'!A4</f>
        <v>0</v>
      </c>
    </row>
    <row r="53" spans="1:2">
      <c r="A53" s="1084" t="s">
        <v>904</v>
      </c>
      <c r="B53" s="1071">
        <f>'预评函-3'!B4</f>
        <v>0</v>
      </c>
    </row>
    <row r="54" spans="1:2">
      <c r="A54" s="1084" t="s">
        <v>905</v>
      </c>
      <c r="B54" s="1075">
        <f>'预评函-3'!A5</f>
        <v>0</v>
      </c>
    </row>
    <row r="55" spans="1:2" s="1081" customFormat="1" ht="16.2" thickBot="1">
      <c r="A55" s="1085" t="s">
        <v>906</v>
      </c>
      <c r="B55" s="1073">
        <f>'预评函-3'!B5</f>
        <v>0</v>
      </c>
    </row>
    <row r="56" spans="1:2" ht="16.2" thickTop="1">
      <c r="A56" s="1086" t="s">
        <v>915</v>
      </c>
      <c r="B56" s="1071" t="str">
        <f>'预评函-2（1）'!B15</f>
        <v>3.房地产抵押价值</v>
      </c>
    </row>
    <row r="57" spans="1:2">
      <c r="A57" s="1086" t="s">
        <v>916</v>
      </c>
      <c r="B57" s="1071" t="str">
        <f>'预评函-2（1）'!B18</f>
        <v>——</v>
      </c>
    </row>
    <row r="58" spans="1:2" s="1081" customFormat="1" ht="16.2" thickBot="1">
      <c r="A58" s="1087" t="s">
        <v>917</v>
      </c>
      <c r="B58" s="1072" t="str">
        <f>'预评函-2（1）'!B21</f>
        <v>——</v>
      </c>
    </row>
    <row r="59" spans="1:2" ht="16.2" thickTop="1">
      <c r="A59" s="1088" t="s">
        <v>919</v>
      </c>
      <c r="B59" s="1069" t="str">
        <f>'预评函-2（1）'!B45</f>
        <v>单位：元、元/平方米（单位：人民币）</v>
      </c>
    </row>
    <row r="60" spans="1:2">
      <c r="A60" s="1086" t="s">
        <v>920</v>
      </c>
      <c r="B60" s="1071" t="str">
        <f>'预评函-2（2）'!D2</f>
        <v>出让国有建设用地使用权价值</v>
      </c>
    </row>
    <row r="61" spans="1:2">
      <c r="A61" s="1086" t="s">
        <v>921</v>
      </c>
      <c r="B61" s="1071" t="str">
        <f>'预评函-2（2）'!A14</f>
        <v>单位：平方米、元、元/平方米（币种：人民币）</v>
      </c>
    </row>
    <row r="62" spans="1:2" ht="31.2">
      <c r="A62" s="1086" t="s">
        <v>1004</v>
      </c>
      <c r="B62" s="1071" t="e">
        <f>'预评函-2（1）'!D38</f>
        <v>#DIV/0!</v>
      </c>
    </row>
    <row r="63" spans="1:2" ht="31.2">
      <c r="A63" s="1086" t="s">
        <v>1005</v>
      </c>
      <c r="B63" s="1071" t="str">
        <f>'预评函-2（1）'!D41</f>
        <v>——</v>
      </c>
    </row>
    <row r="64" spans="1:2">
      <c r="A64" s="1086" t="s">
        <v>929</v>
      </c>
      <c r="B64" s="1071" t="str">
        <f>'预评函-2（2）'!A6</f>
        <v>估价师所知悉的法定优先受偿款</v>
      </c>
    </row>
    <row r="65" spans="1:2">
      <c r="A65" s="1086" t="s">
        <v>930</v>
      </c>
      <c r="B65" s="1071" t="str">
        <f>'预评函-2（2）'!A8</f>
        <v>房地产抵押价值</v>
      </c>
    </row>
    <row r="66" spans="1:2">
      <c r="A66" s="1086" t="s">
        <v>931</v>
      </c>
      <c r="B66" s="1071" t="str">
        <f>'预评函-2（2）'!A10</f>
        <v/>
      </c>
    </row>
    <row r="67" spans="1:2" s="1081" customFormat="1" ht="16.2" thickBot="1">
      <c r="A67" s="1087" t="s">
        <v>932</v>
      </c>
      <c r="B67" s="1072" t="str">
        <f>'预评函-2（2）'!A12</f>
        <v/>
      </c>
    </row>
    <row r="68" spans="1:2" ht="16.2" thickTop="1">
      <c r="A68" s="1089" t="s">
        <v>933</v>
      </c>
      <c r="B68" s="1076" t="str">
        <f>'预评函-3'!A9</f>
        <v>XX</v>
      </c>
    </row>
    <row r="69" spans="1:2">
      <c r="A69" s="1084" t="s">
        <v>1003</v>
      </c>
    </row>
    <row r="70" spans="1:2">
      <c r="A70" s="108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3.2"/>
  <cols>
    <col min="1" max="1" width="18.6640625" style="750" customWidth="1"/>
    <col min="2" max="2" width="15" style="750" customWidth="1"/>
    <col min="3" max="3" width="14.109375" style="750" customWidth="1"/>
    <col min="4" max="4" width="12.44140625" style="750" customWidth="1"/>
    <col min="5" max="5" width="13.88671875" style="750" customWidth="1"/>
    <col min="6" max="6" width="15" style="750" customWidth="1"/>
    <col min="7" max="7" width="14.88671875" style="750" customWidth="1"/>
    <col min="8" max="8" width="4.21875" style="2615" customWidth="1"/>
    <col min="9" max="10" width="10" style="2615" customWidth="1"/>
    <col min="11" max="13" width="10" style="2616" customWidth="1"/>
    <col min="14" max="15" width="10" style="2615" customWidth="1"/>
    <col min="16" max="17" width="10" style="2615"/>
    <col min="18" max="18" width="10" style="2615" customWidth="1"/>
    <col min="19" max="66" width="10" style="2615"/>
    <col min="67" max="16384" width="10" style="750"/>
  </cols>
  <sheetData>
    <row r="1" spans="1:17" ht="13.8" thickBot="1">
      <c r="A1" s="2329" t="s">
        <v>1288</v>
      </c>
      <c r="B1" s="2330" t="str">
        <f>IF(B6="北京市","北京市",C6)&amp;IF(E12="房屋所有权证",B29,E29)&amp;D5&amp;"预评估"</f>
        <v>北京市房地产抵押价值预评估</v>
      </c>
      <c r="C1" s="746"/>
      <c r="D1" s="746"/>
      <c r="E1" s="746"/>
      <c r="F1" s="1279" t="s">
        <v>1289</v>
      </c>
      <c r="G1" s="1065"/>
      <c r="I1" s="1313" t="str">
        <f>IF(B6="北京市","北京市",C6)&amp;IF(E12="房屋所有权证",B29,E29)&amp;"房地产"</f>
        <v>北京市房地产</v>
      </c>
      <c r="J1" s="724"/>
      <c r="K1" s="2625"/>
      <c r="L1" s="2625"/>
      <c r="M1" s="2625"/>
      <c r="N1" s="724"/>
      <c r="O1" s="724"/>
      <c r="P1" s="724"/>
      <c r="Q1" s="724"/>
    </row>
    <row r="2" spans="1:17" ht="13.8" thickTop="1">
      <c r="A2" s="1280" t="s">
        <v>1290</v>
      </c>
      <c r="B2" s="2331"/>
      <c r="C2" s="2603" t="s">
        <v>1291</v>
      </c>
      <c r="D2" s="2331">
        <v>44901</v>
      </c>
      <c r="E2" s="747"/>
      <c r="F2" s="747"/>
      <c r="G2" s="1066"/>
      <c r="H2" s="28"/>
    </row>
    <row r="3" spans="1:17" ht="13.8" thickBot="1">
      <c r="A3" s="2332" t="s">
        <v>1292</v>
      </c>
      <c r="B3" s="2333"/>
      <c r="C3" s="2334">
        <f>SUMIF(注册房地产估价师,B3,估价师及机构信息!B3:B16)</f>
        <v>0</v>
      </c>
      <c r="D3" s="2333"/>
      <c r="E3" s="1370">
        <f>SUMIF(注册房地产估价师,D3,估价师及机构信息!B3:B16)</f>
        <v>0</v>
      </c>
      <c r="F3" s="748"/>
      <c r="G3" s="1067"/>
      <c r="H3" s="28"/>
    </row>
    <row r="4" spans="1:17" ht="13.5" customHeight="1" thickTop="1">
      <c r="A4" s="1280" t="s">
        <v>1293</v>
      </c>
      <c r="B4" s="1281" t="s">
        <v>2479</v>
      </c>
      <c r="C4" s="2604" t="s">
        <v>1294</v>
      </c>
      <c r="D4" s="1282" t="s">
        <v>3031</v>
      </c>
      <c r="E4" s="747"/>
      <c r="F4" s="747"/>
      <c r="G4" s="1066"/>
    </row>
    <row r="5" spans="1:17" ht="24">
      <c r="A5" s="1283" t="s">
        <v>1295</v>
      </c>
      <c r="B5" s="1284" t="s">
        <v>2480</v>
      </c>
      <c r="C5" s="2605" t="s">
        <v>1296</v>
      </c>
      <c r="D5" s="1285" t="s">
        <v>3032</v>
      </c>
      <c r="E5" s="2606" t="s">
        <v>1297</v>
      </c>
      <c r="F5" s="1285" t="s">
        <v>3032</v>
      </c>
      <c r="G5" s="1286"/>
      <c r="I5" s="1313" t="str">
        <f>IF(C16="否","截至估价时点，估价对象抵押权未见登记。","截至价值时点，估价对象已设定抵押。")</f>
        <v>截至价值时点，估价对象已设定抵押。</v>
      </c>
      <c r="J5" s="724"/>
      <c r="K5" s="2625"/>
      <c r="L5" s="2625"/>
      <c r="M5" s="2625"/>
      <c r="N5" s="724"/>
      <c r="O5" s="724"/>
      <c r="P5" s="724"/>
      <c r="Q5" s="724"/>
    </row>
    <row r="6" spans="1:17">
      <c r="A6" s="2607" t="s">
        <v>1298</v>
      </c>
      <c r="B6" s="2335" t="s">
        <v>3033</v>
      </c>
      <c r="C6" s="2336" t="s">
        <v>2481</v>
      </c>
      <c r="D6" s="2337" t="s">
        <v>1299</v>
      </c>
      <c r="E6" s="724"/>
      <c r="F6" s="724"/>
      <c r="G6" s="753"/>
      <c r="I6" s="724" t="str">
        <f>IF(COUNTIF(B5,"*上海银行*"),"上海银行","")</f>
        <v/>
      </c>
      <c r="J6" s="724"/>
      <c r="K6" s="2625"/>
      <c r="L6" s="2625"/>
      <c r="M6" s="2625"/>
      <c r="N6" s="724"/>
      <c r="O6" s="724"/>
      <c r="P6" s="724"/>
      <c r="Q6" s="724"/>
    </row>
    <row r="7" spans="1:17" ht="13.8" thickBot="1">
      <c r="A7" s="2608" t="s">
        <v>1300</v>
      </c>
      <c r="B7" s="2338" t="s">
        <v>3047</v>
      </c>
      <c r="C7" s="1369" t="str">
        <f>IF(B7="自然人","姓名","名称")</f>
        <v>姓名</v>
      </c>
      <c r="D7" s="1290" t="s">
        <v>2480</v>
      </c>
      <c r="E7" s="748"/>
      <c r="F7" s="748"/>
      <c r="G7" s="1067"/>
    </row>
    <row r="8" spans="1:17" ht="13.8" thickTop="1">
      <c r="A8" s="3121" t="s">
        <v>1301</v>
      </c>
      <c r="B8" s="1291" t="s">
        <v>1302</v>
      </c>
      <c r="C8" s="3133"/>
      <c r="D8" s="3134"/>
      <c r="E8" s="2339" t="s">
        <v>1303</v>
      </c>
      <c r="F8" s="2340" t="s">
        <v>1304</v>
      </c>
      <c r="G8" s="2341" t="str">
        <f>C6</f>
        <v>XX</v>
      </c>
    </row>
    <row r="9" spans="1:17" ht="26.4">
      <c r="A9" s="3121"/>
      <c r="B9" s="255" t="s">
        <v>1305</v>
      </c>
      <c r="C9" s="1284"/>
      <c r="D9" s="1292" t="s">
        <v>3034</v>
      </c>
      <c r="E9" s="2609" t="s">
        <v>1306</v>
      </c>
      <c r="F9" s="2342"/>
      <c r="G9" s="2343"/>
    </row>
    <row r="10" spans="1:17" ht="13.8" thickBot="1">
      <c r="A10" s="3121"/>
      <c r="B10" s="255" t="s">
        <v>1307</v>
      </c>
      <c r="C10" s="3135"/>
      <c r="D10" s="3136"/>
      <c r="E10" s="2610" t="s">
        <v>1308</v>
      </c>
      <c r="F10" s="2344"/>
      <c r="G10" s="2345"/>
    </row>
    <row r="11" spans="1:17" ht="13.8" thickBot="1">
      <c r="A11" s="3121"/>
      <c r="B11" s="1294" t="s">
        <v>1309</v>
      </c>
      <c r="C11" s="3137"/>
      <c r="D11" s="3138"/>
      <c r="E11" s="724"/>
      <c r="F11" s="724"/>
      <c r="G11" s="753"/>
    </row>
    <row r="12" spans="1:17" ht="13.8" thickBot="1">
      <c r="A12" s="3124" t="s">
        <v>2587</v>
      </c>
      <c r="B12" s="2611" t="s">
        <v>1310</v>
      </c>
      <c r="C12" s="732">
        <v>165.59</v>
      </c>
      <c r="D12" s="1295" t="s">
        <v>1311</v>
      </c>
      <c r="E12" s="1296"/>
      <c r="F12" s="1297"/>
      <c r="G12" s="753"/>
    </row>
    <row r="13" spans="1:17" ht="21" customHeight="1" thickBot="1">
      <c r="A13" s="3125"/>
      <c r="B13" s="2612" t="s">
        <v>1312</v>
      </c>
      <c r="C13" s="733"/>
      <c r="D13" s="1298" t="s">
        <v>1313</v>
      </c>
      <c r="E13" s="1299"/>
      <c r="F13" s="724"/>
      <c r="G13" s="753"/>
      <c r="I13" s="3110" t="s">
        <v>1314</v>
      </c>
      <c r="J13" s="1313" t="str">
        <f>"根据估价对象"&amp;IF(B19="——",B18&amp;C18,B18&amp;C18&amp;"、"&amp;B19&amp;C19)&amp;"，"&amp;IF(C16="是","截至价值时点，估价对象已设定抵押。","截至价值时点，估价对象抵押权未见登记。")</f>
        <v>根据估价对象、，截至价值时点，估价对象抵押权未见登记。</v>
      </c>
      <c r="K13" s="2625"/>
      <c r="L13" s="2625"/>
      <c r="M13" s="2625"/>
      <c r="N13" s="724"/>
      <c r="O13" s="724"/>
      <c r="P13" s="724"/>
      <c r="Q13" s="724"/>
    </row>
    <row r="14" spans="1:17" ht="13.8" thickBot="1">
      <c r="A14" s="2346"/>
      <c r="B14" s="1295" t="s">
        <v>2588</v>
      </c>
      <c r="C14" s="2347"/>
      <c r="D14" s="724"/>
      <c r="E14" s="724"/>
      <c r="F14" s="724"/>
      <c r="G14" s="753"/>
      <c r="I14" s="3110"/>
      <c r="J14" s="13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25"/>
      <c r="L14" s="2625"/>
      <c r="M14" s="2625"/>
      <c r="N14" s="724"/>
      <c r="O14" s="724"/>
      <c r="P14" s="724"/>
      <c r="Q14" s="724"/>
    </row>
    <row r="15" spans="1:17" ht="13.8" thickBot="1">
      <c r="A15" s="2348"/>
      <c r="B15" s="2613" t="s">
        <v>1315</v>
      </c>
      <c r="C15" s="749"/>
      <c r="D15" s="748"/>
      <c r="E15" s="748"/>
      <c r="F15" s="748"/>
      <c r="G15" s="1067"/>
      <c r="I15" s="3110"/>
      <c r="J15" s="13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5"/>
      <c r="L15" s="2625"/>
      <c r="M15" s="2625"/>
      <c r="N15" s="724"/>
      <c r="O15" s="724"/>
      <c r="P15" s="724"/>
      <c r="Q15" s="724"/>
    </row>
    <row r="16" spans="1:17" ht="25.2" thickTop="1" thickBot="1">
      <c r="A16" s="2346" t="s">
        <v>1316</v>
      </c>
      <c r="B16" s="1300" t="s">
        <v>1317</v>
      </c>
      <c r="C16" s="2349"/>
      <c r="D16" s="1293" t="s">
        <v>1318</v>
      </c>
      <c r="E16" s="2350"/>
      <c r="F16" s="1301" t="str">
        <f>IF(AND(C16="是",E16="否"),"是否提供他项权证或相关说明","")</f>
        <v/>
      </c>
      <c r="G16" s="2350"/>
      <c r="J16" s="28"/>
    </row>
    <row r="17" spans="1:66" ht="13.5" customHeight="1">
      <c r="A17" s="1307" t="s">
        <v>1319</v>
      </c>
      <c r="B17" s="3139" t="s">
        <v>1320</v>
      </c>
      <c r="C17" s="3140"/>
      <c r="D17" s="3141" t="s">
        <v>1321</v>
      </c>
      <c r="E17" s="3142"/>
      <c r="F17" s="1302" t="s">
        <v>1322</v>
      </c>
      <c r="G17" s="1303"/>
      <c r="J17" s="28"/>
    </row>
    <row r="18" spans="1:66" ht="24">
      <c r="A18" s="1307"/>
      <c r="B18" s="2351"/>
      <c r="C18" s="1286"/>
      <c r="D18" s="1304" t="s">
        <v>1323</v>
      </c>
      <c r="E18" s="1305"/>
      <c r="F18" s="1306"/>
      <c r="G18" s="1186"/>
      <c r="H18" s="28"/>
      <c r="J18" s="28"/>
    </row>
    <row r="19" spans="1:66" ht="21.75" customHeight="1" thickBot="1">
      <c r="A19" s="1307"/>
      <c r="B19" s="2352"/>
      <c r="C19" s="1299"/>
      <c r="D19" s="1307"/>
      <c r="E19" s="724"/>
      <c r="F19" s="724"/>
      <c r="G19" s="1186"/>
    </row>
    <row r="20" spans="1:66">
      <c r="A20" s="1303" t="s">
        <v>1324</v>
      </c>
      <c r="B20" s="2353" t="s">
        <v>1325</v>
      </c>
      <c r="C20" s="2354"/>
      <c r="D20" s="2355" t="s">
        <v>1325</v>
      </c>
      <c r="E20" s="2354"/>
      <c r="F20" s="724"/>
      <c r="G20" s="1186"/>
    </row>
    <row r="21" spans="1:66">
      <c r="A21" s="1186"/>
      <c r="B21" s="2356" t="s">
        <v>1326</v>
      </c>
      <c r="C21" s="2598"/>
      <c r="D21" s="1307" t="s">
        <v>1326</v>
      </c>
      <c r="E21" s="722"/>
      <c r="F21" s="724"/>
      <c r="G21" s="1186"/>
    </row>
    <row r="22" spans="1:66">
      <c r="A22" s="1186"/>
      <c r="B22" s="724" t="s">
        <v>1327</v>
      </c>
      <c r="C22" s="1284"/>
      <c r="D22" s="724" t="s">
        <v>1327</v>
      </c>
      <c r="E22" s="722"/>
      <c r="F22" s="724"/>
      <c r="G22" s="1186"/>
    </row>
    <row r="23" spans="1:66" ht="16.2" thickBot="1">
      <c r="A23" s="1187"/>
      <c r="B23" s="752" t="s">
        <v>1328</v>
      </c>
      <c r="C23" s="733"/>
      <c r="D23" s="752" t="s">
        <v>1329</v>
      </c>
      <c r="E23" s="726"/>
      <c r="F23" s="752"/>
      <c r="G23" s="1187"/>
      <c r="K23" s="2617"/>
      <c r="L23" s="2617"/>
      <c r="M23" s="2617"/>
      <c r="N23" s="2617"/>
      <c r="O23" s="2617"/>
      <c r="P23" s="2617"/>
    </row>
    <row r="24" spans="1:66" s="2614" customFormat="1" ht="18" customHeight="1" thickBot="1">
      <c r="A24" s="3120" t="s">
        <v>2586</v>
      </c>
      <c r="B24" s="3120"/>
      <c r="C24" s="3120"/>
      <c r="D24" s="3120"/>
      <c r="E24" s="3120"/>
      <c r="F24" s="3120"/>
      <c r="G24" s="3120"/>
      <c r="H24" s="2618"/>
      <c r="I24" s="2618"/>
      <c r="J24" s="2618"/>
      <c r="K24" s="2619"/>
      <c r="L24" s="2619"/>
      <c r="M24" s="2619"/>
      <c r="N24" s="2619"/>
      <c r="O24" s="2619"/>
      <c r="P24" s="2619"/>
      <c r="Q24" s="2620"/>
      <c r="R24" s="2620"/>
      <c r="S24" s="2620"/>
      <c r="T24" s="2620"/>
      <c r="U24" s="2620"/>
      <c r="V24" s="2620"/>
      <c r="W24" s="2620"/>
      <c r="X24" s="2620"/>
      <c r="Y24" s="2620"/>
      <c r="Z24" s="2620"/>
      <c r="AA24" s="2620"/>
      <c r="AB24" s="2620"/>
      <c r="AC24" s="2620"/>
      <c r="AD24" s="2620"/>
      <c r="AE24" s="2620"/>
      <c r="AF24" s="2620"/>
      <c r="AG24" s="2620"/>
      <c r="AH24" s="2620"/>
      <c r="AI24" s="2620"/>
      <c r="AJ24" s="2620"/>
      <c r="AK24" s="2620"/>
      <c r="AL24" s="2620"/>
      <c r="AM24" s="2620"/>
      <c r="AN24" s="2620"/>
      <c r="AO24" s="2620"/>
      <c r="AP24" s="2620"/>
      <c r="AQ24" s="2620"/>
      <c r="AR24" s="2620"/>
      <c r="AS24" s="2620"/>
      <c r="AT24" s="2620"/>
      <c r="AU24" s="2620"/>
      <c r="AV24" s="2620"/>
      <c r="AW24" s="2620"/>
      <c r="AX24" s="2620"/>
      <c r="AY24" s="2620"/>
      <c r="AZ24" s="2620"/>
      <c r="BA24" s="2620"/>
      <c r="BB24" s="2620"/>
      <c r="BC24" s="2620"/>
      <c r="BD24" s="2620"/>
      <c r="BE24" s="2620"/>
      <c r="BF24" s="2620"/>
      <c r="BG24" s="2620"/>
      <c r="BH24" s="2620"/>
      <c r="BI24" s="2620"/>
      <c r="BJ24" s="2620"/>
      <c r="BK24" s="2620"/>
      <c r="BL24" s="2620"/>
      <c r="BM24" s="2620"/>
      <c r="BN24" s="2620"/>
    </row>
    <row r="25" spans="1:66" ht="14.4" thickTop="1" thickBot="1">
      <c r="A25" s="751" t="s">
        <v>1330</v>
      </c>
      <c r="B25" s="724"/>
      <c r="C25" s="724"/>
      <c r="D25" s="724"/>
      <c r="E25" s="724"/>
      <c r="F25" s="724"/>
      <c r="G25" s="1187"/>
      <c r="K25" s="2615"/>
    </row>
    <row r="26" spans="1:66" s="758" customFormat="1" ht="13.8" thickBot="1">
      <c r="A26" s="2357"/>
      <c r="B26" s="731" t="s">
        <v>1331</v>
      </c>
      <c r="C26" s="2357"/>
      <c r="D26" s="731"/>
      <c r="E26" s="2358" t="s">
        <v>1332</v>
      </c>
      <c r="F26" s="2357"/>
      <c r="G26" s="2359" t="s">
        <v>1333</v>
      </c>
      <c r="H26" s="2621"/>
      <c r="I26" s="2621"/>
      <c r="J26" s="2621"/>
      <c r="K26" s="2621"/>
      <c r="L26" s="2622"/>
      <c r="M26" s="2622"/>
      <c r="N26" s="2621"/>
      <c r="O26" s="2621"/>
      <c r="P26" s="2621"/>
      <c r="Q26" s="2621"/>
      <c r="R26" s="2621"/>
      <c r="S26" s="2621"/>
      <c r="T26" s="2621"/>
      <c r="U26" s="2621"/>
      <c r="V26" s="2621"/>
      <c r="W26" s="2621"/>
      <c r="X26" s="2621"/>
      <c r="Y26" s="2621"/>
      <c r="Z26" s="2621"/>
      <c r="AA26" s="2621"/>
      <c r="AB26" s="2621"/>
      <c r="AC26" s="2621"/>
      <c r="AD26" s="2621"/>
      <c r="AE26" s="2621"/>
      <c r="AF26" s="2621"/>
      <c r="AG26" s="2621"/>
      <c r="AH26" s="2621"/>
      <c r="AI26" s="2621"/>
      <c r="AJ26" s="2621"/>
      <c r="AK26" s="2621"/>
      <c r="AL26" s="2621"/>
      <c r="AM26" s="2621"/>
      <c r="AN26" s="2621"/>
      <c r="AO26" s="2621"/>
      <c r="AP26" s="2621"/>
      <c r="AQ26" s="2621"/>
      <c r="AR26" s="2621"/>
      <c r="AS26" s="2621"/>
      <c r="AT26" s="2621"/>
      <c r="AU26" s="2621"/>
      <c r="AV26" s="2621"/>
      <c r="AW26" s="2621"/>
      <c r="AX26" s="2621"/>
      <c r="AY26" s="2621"/>
      <c r="AZ26" s="2621"/>
      <c r="BA26" s="2621"/>
      <c r="BB26" s="2621"/>
      <c r="BC26" s="2621"/>
      <c r="BD26" s="2621"/>
      <c r="BE26" s="2621"/>
      <c r="BF26" s="2621"/>
      <c r="BG26" s="2621"/>
      <c r="BH26" s="2621"/>
      <c r="BI26" s="2621"/>
      <c r="BJ26" s="2621"/>
      <c r="BK26" s="2621"/>
      <c r="BL26" s="2621"/>
      <c r="BM26" s="2621"/>
      <c r="BN26" s="2621"/>
    </row>
    <row r="27" spans="1:66" s="758" customFormat="1" ht="13.8" thickBot="1">
      <c r="A27" s="2357"/>
      <c r="B27" s="2360"/>
      <c r="C27" s="2357"/>
      <c r="D27" s="731"/>
      <c r="E27" s="2360"/>
      <c r="F27" s="2357"/>
      <c r="G27" s="2361"/>
      <c r="H27" s="2621"/>
      <c r="I27" s="2621"/>
      <c r="J27" s="2621"/>
      <c r="K27" s="2621"/>
      <c r="L27" s="2622"/>
      <c r="M27" s="2622"/>
      <c r="N27" s="2621"/>
      <c r="O27" s="2621"/>
      <c r="P27" s="2621"/>
      <c r="Q27" s="2621"/>
      <c r="R27" s="2621"/>
      <c r="S27" s="2621"/>
      <c r="T27" s="2621"/>
      <c r="U27" s="2621"/>
      <c r="V27" s="2621"/>
      <c r="W27" s="2621"/>
      <c r="X27" s="2621"/>
      <c r="Y27" s="2621"/>
      <c r="Z27" s="2621"/>
      <c r="AA27" s="2621"/>
      <c r="AB27" s="2621"/>
      <c r="AC27" s="2621"/>
      <c r="AD27" s="2621"/>
      <c r="AE27" s="2621"/>
      <c r="AF27" s="2621"/>
      <c r="AG27" s="2621"/>
      <c r="AH27" s="2621"/>
      <c r="AI27" s="2621"/>
      <c r="AJ27" s="2621"/>
      <c r="AK27" s="2621"/>
      <c r="AL27" s="2621"/>
      <c r="AM27" s="2621"/>
      <c r="AN27" s="2621"/>
      <c r="AO27" s="2621"/>
      <c r="AP27" s="2621"/>
      <c r="AQ27" s="2621"/>
      <c r="AR27" s="2621"/>
      <c r="AS27" s="2621"/>
      <c r="AT27" s="2621"/>
      <c r="AU27" s="2621"/>
      <c r="AV27" s="2621"/>
      <c r="AW27" s="2621"/>
      <c r="AX27" s="2621"/>
      <c r="AY27" s="2621"/>
      <c r="AZ27" s="2621"/>
      <c r="BA27" s="2621"/>
      <c r="BB27" s="2621"/>
      <c r="BC27" s="2621"/>
      <c r="BD27" s="2621"/>
      <c r="BE27" s="2621"/>
      <c r="BF27" s="2621"/>
      <c r="BG27" s="2621"/>
      <c r="BH27" s="2621"/>
      <c r="BI27" s="2621"/>
      <c r="BJ27" s="2621"/>
      <c r="BK27" s="2621"/>
      <c r="BL27" s="2621"/>
      <c r="BM27" s="2621"/>
      <c r="BN27" s="2621"/>
    </row>
    <row r="28" spans="1:66">
      <c r="A28" s="727" t="s">
        <v>1334</v>
      </c>
      <c r="B28" s="725"/>
      <c r="C28" s="3127" t="s">
        <v>1334</v>
      </c>
      <c r="D28" s="3128"/>
      <c r="E28" s="725"/>
      <c r="F28" s="727" t="s">
        <v>1334</v>
      </c>
      <c r="G28" s="725"/>
      <c r="K28" s="2615"/>
    </row>
    <row r="29" spans="1:66">
      <c r="A29" s="728" t="s">
        <v>1335</v>
      </c>
      <c r="B29" s="722"/>
      <c r="C29" s="3129" t="s">
        <v>1336</v>
      </c>
      <c r="D29" s="3130"/>
      <c r="E29" s="722"/>
      <c r="F29" s="728" t="s">
        <v>1336</v>
      </c>
      <c r="G29" s="722"/>
      <c r="K29" s="2615"/>
    </row>
    <row r="30" spans="1:66">
      <c r="A30" s="728" t="s">
        <v>1337</v>
      </c>
      <c r="B30" s="722"/>
      <c r="C30" s="3129" t="s">
        <v>1337</v>
      </c>
      <c r="D30" s="3130"/>
      <c r="E30" s="722"/>
      <c r="F30" s="728" t="s">
        <v>1338</v>
      </c>
      <c r="G30" s="722"/>
      <c r="K30" s="2615"/>
    </row>
    <row r="31" spans="1:66">
      <c r="A31" s="728" t="s">
        <v>1339</v>
      </c>
      <c r="B31" s="722"/>
      <c r="C31" s="3117" t="s">
        <v>1340</v>
      </c>
      <c r="D31" s="724"/>
      <c r="E31" s="2362" t="str">
        <f>E32&amp;" "&amp;E33&amp;" "&amp;E34&amp;" "&amp;E35</f>
        <v xml:space="preserve">   </v>
      </c>
      <c r="F31" s="728" t="s">
        <v>1341</v>
      </c>
      <c r="G31" s="722"/>
    </row>
    <row r="32" spans="1:66">
      <c r="A32" s="728" t="s">
        <v>1342</v>
      </c>
      <c r="B32" s="722"/>
      <c r="C32" s="3118"/>
      <c r="D32" s="255" t="s">
        <v>1343</v>
      </c>
      <c r="E32" s="722"/>
      <c r="F32" s="728" t="s">
        <v>1344</v>
      </c>
      <c r="G32" s="722"/>
    </row>
    <row r="33" spans="1:7" ht="24.6" thickBot="1">
      <c r="A33" s="729" t="s">
        <v>1345</v>
      </c>
      <c r="B33" s="726"/>
      <c r="C33" s="3118"/>
      <c r="D33" s="255" t="s">
        <v>1346</v>
      </c>
      <c r="E33" s="722"/>
      <c r="F33" s="728" t="s">
        <v>1347</v>
      </c>
      <c r="G33" s="722"/>
    </row>
    <row r="34" spans="1:7">
      <c r="A34" s="727" t="s">
        <v>1348</v>
      </c>
      <c r="B34" s="725"/>
      <c r="C34" s="3118"/>
      <c r="D34" s="255" t="s">
        <v>1349</v>
      </c>
      <c r="E34" s="722"/>
      <c r="F34" s="728" t="s">
        <v>1350</v>
      </c>
      <c r="G34" s="722"/>
    </row>
    <row r="35" spans="1:7" ht="13.8" thickBot="1">
      <c r="A35" s="728" t="s">
        <v>1351</v>
      </c>
      <c r="B35" s="722"/>
      <c r="C35" s="3119"/>
      <c r="D35" s="255" t="s">
        <v>1352</v>
      </c>
      <c r="E35" s="722"/>
      <c r="F35" s="729" t="s">
        <v>1353</v>
      </c>
      <c r="G35" s="2363"/>
    </row>
    <row r="36" spans="1:7">
      <c r="A36" s="728" t="s">
        <v>1310</v>
      </c>
      <c r="B36" s="722"/>
      <c r="C36" s="3129" t="s">
        <v>1354</v>
      </c>
      <c r="D36" s="3130"/>
      <c r="E36" s="722"/>
      <c r="F36" s="2364" t="s">
        <v>1355</v>
      </c>
      <c r="G36" s="725"/>
    </row>
    <row r="37" spans="1:7" ht="24.6" thickBot="1">
      <c r="A37" s="728" t="s">
        <v>1356</v>
      </c>
      <c r="B37" s="722"/>
      <c r="C37" s="3131" t="s">
        <v>1357</v>
      </c>
      <c r="D37" s="3132"/>
      <c r="E37" s="726"/>
      <c r="F37" s="1314" t="s">
        <v>1358</v>
      </c>
      <c r="G37" s="722"/>
    </row>
    <row r="38" spans="1:7" ht="13.8" thickBot="1">
      <c r="A38" s="728" t="s">
        <v>1359</v>
      </c>
      <c r="B38" s="722"/>
      <c r="C38" s="3115" t="s">
        <v>1360</v>
      </c>
      <c r="D38" s="1295" t="s">
        <v>1344</v>
      </c>
      <c r="E38" s="725"/>
      <c r="F38" s="729" t="s">
        <v>1361</v>
      </c>
      <c r="G38" s="726"/>
    </row>
    <row r="39" spans="1:7">
      <c r="A39" s="728" t="s">
        <v>1362</v>
      </c>
      <c r="B39" s="722"/>
      <c r="C39" s="3122"/>
      <c r="D39" s="255" t="s">
        <v>1351</v>
      </c>
      <c r="E39" s="722"/>
      <c r="F39" s="727" t="s">
        <v>1363</v>
      </c>
      <c r="G39" s="725"/>
    </row>
    <row r="40" spans="1:7">
      <c r="A40" s="728" t="s">
        <v>1364</v>
      </c>
      <c r="B40" s="722"/>
      <c r="C40" s="3122" t="s">
        <v>1365</v>
      </c>
      <c r="D40" s="255" t="s">
        <v>1310</v>
      </c>
      <c r="E40" s="722"/>
      <c r="F40" s="728" t="s">
        <v>1366</v>
      </c>
      <c r="G40" s="722"/>
    </row>
    <row r="41" spans="1:7" ht="24.75" customHeight="1" thickBot="1">
      <c r="A41" s="729" t="s">
        <v>1367</v>
      </c>
      <c r="B41" s="726"/>
      <c r="C41" s="3123"/>
      <c r="D41" s="1298" t="s">
        <v>1312</v>
      </c>
      <c r="E41" s="726"/>
      <c r="F41" s="729" t="s">
        <v>1368</v>
      </c>
      <c r="G41" s="726"/>
    </row>
    <row r="42" spans="1:7" ht="24">
      <c r="A42" s="730" t="s">
        <v>1369</v>
      </c>
      <c r="B42" s="2365"/>
      <c r="C42" s="3111" t="s">
        <v>1369</v>
      </c>
      <c r="D42" s="3112"/>
      <c r="E42" s="2365"/>
      <c r="F42" s="727" t="s">
        <v>1370</v>
      </c>
      <c r="G42" s="2365"/>
    </row>
    <row r="43" spans="1:7">
      <c r="A43" s="744" t="s">
        <v>1371</v>
      </c>
      <c r="B43" s="2366"/>
      <c r="C43" s="1307"/>
      <c r="D43" s="2356"/>
      <c r="E43" s="2366"/>
      <c r="F43" s="744"/>
      <c r="G43" s="2366"/>
    </row>
    <row r="44" spans="1:7">
      <c r="A44" s="744" t="s">
        <v>1325</v>
      </c>
      <c r="B44" s="745"/>
      <c r="C44" s="1307"/>
      <c r="D44" s="1365" t="s">
        <v>1325</v>
      </c>
      <c r="E44" s="745"/>
      <c r="F44" s="744" t="s">
        <v>1325</v>
      </c>
      <c r="G44" s="745"/>
    </row>
    <row r="45" spans="1:7">
      <c r="A45" s="744" t="s">
        <v>1326</v>
      </c>
      <c r="B45" s="745"/>
      <c r="C45" s="1307"/>
      <c r="D45" s="2356" t="s">
        <v>1326</v>
      </c>
      <c r="E45" s="745"/>
      <c r="F45" s="744" t="s">
        <v>1326</v>
      </c>
      <c r="G45" s="745"/>
    </row>
    <row r="46" spans="1:7">
      <c r="A46" s="744" t="s">
        <v>1327</v>
      </c>
      <c r="B46" s="745"/>
      <c r="C46" s="1307"/>
      <c r="D46" s="2356" t="s">
        <v>1327</v>
      </c>
      <c r="E46" s="745"/>
      <c r="F46" s="744" t="s">
        <v>1327</v>
      </c>
      <c r="G46" s="745"/>
    </row>
    <row r="47" spans="1:7">
      <c r="A47" s="744" t="s">
        <v>1328</v>
      </c>
      <c r="B47" s="745"/>
      <c r="C47" s="1307"/>
      <c r="D47" s="2356" t="s">
        <v>1328</v>
      </c>
      <c r="E47" s="745"/>
      <c r="F47" s="744" t="s">
        <v>1328</v>
      </c>
      <c r="G47" s="745"/>
    </row>
    <row r="48" spans="1:7">
      <c r="A48" s="744"/>
      <c r="B48" s="745"/>
      <c r="C48" s="1307"/>
      <c r="D48" s="2356"/>
      <c r="E48" s="745"/>
      <c r="F48" s="744"/>
      <c r="G48" s="745"/>
    </row>
    <row r="49" spans="1:66" ht="13.8" thickBot="1">
      <c r="A49" s="729" t="s">
        <v>1372</v>
      </c>
      <c r="B49" s="726"/>
      <c r="C49" s="3113" t="s">
        <v>1372</v>
      </c>
      <c r="D49" s="3114"/>
      <c r="E49" s="743"/>
      <c r="F49" s="729" t="s">
        <v>1373</v>
      </c>
      <c r="G49" s="726"/>
    </row>
    <row r="50" spans="1:66">
      <c r="A50" s="728" t="s">
        <v>1374</v>
      </c>
      <c r="B50" s="742"/>
      <c r="C50" s="3115" t="s">
        <v>1375</v>
      </c>
      <c r="D50" s="3116"/>
      <c r="E50" s="2367"/>
      <c r="F50" s="759"/>
      <c r="G50" s="760"/>
    </row>
    <row r="51" spans="1:66" ht="13.8" thickBot="1">
      <c r="A51" s="728" t="s">
        <v>1376</v>
      </c>
      <c r="B51" s="742"/>
      <c r="C51" s="3123" t="s">
        <v>1377</v>
      </c>
      <c r="D51" s="3126"/>
      <c r="E51" s="726"/>
      <c r="F51" s="724"/>
      <c r="G51" s="753"/>
    </row>
    <row r="52" spans="1:66">
      <c r="A52" s="728" t="s">
        <v>1355</v>
      </c>
      <c r="B52" s="722"/>
      <c r="C52" s="724"/>
      <c r="D52" s="724"/>
      <c r="E52" s="724"/>
      <c r="F52" s="724"/>
      <c r="G52" s="753"/>
    </row>
    <row r="53" spans="1:66" ht="24.6" thickBot="1">
      <c r="A53" s="729" t="s">
        <v>1378</v>
      </c>
      <c r="B53" s="2363"/>
      <c r="C53" s="752"/>
      <c r="D53" s="752"/>
      <c r="E53" s="752"/>
      <c r="F53" s="752"/>
      <c r="G53" s="754"/>
    </row>
    <row r="57" spans="1:66" s="734" customFormat="1">
      <c r="H57" s="28"/>
      <c r="I57" s="28"/>
      <c r="J57" s="28"/>
      <c r="K57" s="2623"/>
      <c r="L57" s="2623"/>
      <c r="M57" s="2623"/>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4" customFormat="1">
      <c r="H58" s="28"/>
      <c r="I58" s="28"/>
      <c r="J58" s="28"/>
      <c r="K58" s="2623"/>
      <c r="L58" s="2623"/>
      <c r="M58" s="2623"/>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4" customFormat="1">
      <c r="H59" s="28"/>
      <c r="I59" s="28"/>
      <c r="J59" s="28"/>
      <c r="K59" s="2623"/>
      <c r="L59" s="2623"/>
      <c r="M59" s="2623"/>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4" customFormat="1">
      <c r="H60" s="28"/>
      <c r="I60" s="28"/>
      <c r="J60" s="28"/>
      <c r="K60" s="2623"/>
      <c r="L60" s="2623"/>
      <c r="M60" s="2623"/>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4" customFormat="1">
      <c r="H61" s="28"/>
      <c r="I61" s="28"/>
      <c r="J61" s="28"/>
      <c r="K61" s="2623"/>
      <c r="L61" s="2623"/>
      <c r="M61" s="2623"/>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4" customFormat="1">
      <c r="H62" s="28"/>
      <c r="I62" s="28"/>
      <c r="J62" s="28"/>
      <c r="K62" s="2623"/>
      <c r="L62" s="2623"/>
      <c r="M62" s="2623"/>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4" customFormat="1">
      <c r="H63" s="28"/>
      <c r="I63" s="28"/>
      <c r="J63" s="28"/>
      <c r="K63" s="2623"/>
      <c r="L63" s="2623"/>
      <c r="M63" s="2623"/>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143" t="s">
        <v>0</v>
      </c>
      <c r="B1" s="3143" t="s">
        <v>2</v>
      </c>
      <c r="C1" s="3143" t="s">
        <v>3</v>
      </c>
      <c r="D1" s="3144" t="s">
        <v>67</v>
      </c>
      <c r="E1" s="3144" t="s">
        <v>68</v>
      </c>
      <c r="F1" s="3144"/>
      <c r="G1" s="3144"/>
      <c r="H1" s="3144"/>
      <c r="I1" s="3144"/>
      <c r="J1" s="3144"/>
      <c r="K1" s="3144"/>
      <c r="L1" s="3144"/>
      <c r="M1" s="3144"/>
    </row>
    <row r="2" spans="1:13" ht="27" customHeight="1">
      <c r="A2" s="3143"/>
      <c r="B2" s="3143"/>
      <c r="C2" s="3143"/>
      <c r="D2" s="3144"/>
      <c r="E2" s="3144" t="s">
        <v>51</v>
      </c>
      <c r="F2" s="3144" t="s">
        <v>52</v>
      </c>
      <c r="G2" s="3144"/>
      <c r="H2" s="3144"/>
      <c r="I2" s="3144"/>
      <c r="J2" s="3144" t="s">
        <v>53</v>
      </c>
      <c r="K2" s="3144"/>
      <c r="L2" s="3144"/>
      <c r="M2" s="3144"/>
    </row>
    <row r="3" spans="1:13" ht="46.8">
      <c r="A3" s="3143"/>
      <c r="B3" s="3143"/>
      <c r="C3" s="3143"/>
      <c r="D3" s="3144"/>
      <c r="E3" s="3144"/>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44" t="s">
        <v>69</v>
      </c>
      <c r="B9" s="3144"/>
      <c r="C9" s="31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7734375" defaultRowHeight="13.2"/>
  <cols>
    <col min="1" max="1" width="20.88671875" style="1339" customWidth="1"/>
    <col min="2" max="2" width="16.77734375" style="2369" customWidth="1"/>
    <col min="3" max="3" width="18.21875" style="2369" customWidth="1"/>
    <col min="4" max="4" width="34.109375" style="2419" customWidth="1"/>
    <col min="5" max="5" width="17.6640625" style="2419" customWidth="1"/>
    <col min="6" max="6" width="15.44140625" style="2368" customWidth="1"/>
    <col min="7" max="8" width="9.109375" style="2419" customWidth="1"/>
    <col min="9" max="9" width="15" style="2369" bestFit="1" customWidth="1"/>
    <col min="10" max="14" width="8.88671875" style="2369" customWidth="1"/>
    <col min="15" max="16" width="12.33203125" style="2369" customWidth="1"/>
    <col min="17" max="17" width="8.6640625" style="2369" customWidth="1"/>
    <col min="18" max="18" width="12.44140625" style="2369" customWidth="1"/>
    <col min="19" max="19" width="8.44140625" style="2369" customWidth="1"/>
    <col min="20" max="21" width="10.88671875" style="2369" customWidth="1"/>
    <col min="22" max="23" width="12.44140625" style="2369" customWidth="1"/>
    <col min="24" max="24" width="12.109375" style="2369" customWidth="1"/>
    <col min="25" max="25" width="7.44140625" style="2369" customWidth="1"/>
    <col min="26" max="26" width="6.33203125" style="2369" customWidth="1"/>
    <col min="27" max="32" width="6.77734375" style="2369" customWidth="1"/>
    <col min="33" max="33" width="6.44140625" style="2369" customWidth="1"/>
    <col min="34" max="36" width="7.21875" style="2369" customWidth="1"/>
    <col min="37" max="41" width="8" style="2369" customWidth="1"/>
    <col min="42" max="16384" width="13.77734375" style="2369"/>
  </cols>
  <sheetData>
    <row r="1" spans="1:41" ht="18" thickBot="1">
      <c r="A1" s="2626" t="s">
        <v>1379</v>
      </c>
      <c r="B1" s="862"/>
      <c r="D1" s="2368"/>
      <c r="E1" s="2368"/>
    </row>
    <row r="2" spans="1:41" s="1520" customFormat="1" ht="15" thickBot="1">
      <c r="A2" s="2627" t="s">
        <v>1380</v>
      </c>
      <c r="B2" s="2628">
        <f>项目基本情况!D2</f>
        <v>44901</v>
      </c>
      <c r="D2" s="3145" t="s">
        <v>1381</v>
      </c>
      <c r="E2" s="2370"/>
      <c r="F2" s="2371"/>
      <c r="G2" s="2672"/>
      <c r="H2" s="2672"/>
    </row>
    <row r="3" spans="1:41" s="1520" customFormat="1" ht="15" customHeight="1" thickBot="1">
      <c r="A3" s="2374" t="s">
        <v>1382</v>
      </c>
      <c r="B3" s="2372" t="s">
        <v>3046</v>
      </c>
      <c r="D3" s="3146"/>
      <c r="E3" s="2373"/>
      <c r="F3" s="2371"/>
      <c r="G3" s="2672"/>
      <c r="H3" s="2672"/>
    </row>
    <row r="4" spans="1:41" s="1520" customFormat="1" ht="15" thickBot="1">
      <c r="A4" s="2376" t="s">
        <v>1383</v>
      </c>
      <c r="B4" s="2372" t="s">
        <v>3035</v>
      </c>
      <c r="D4" s="3146"/>
      <c r="E4" s="2373"/>
      <c r="F4" s="2371"/>
      <c r="G4" s="2672"/>
      <c r="H4" s="2672"/>
    </row>
    <row r="5" spans="1:41" s="1520" customFormat="1" ht="15" thickBot="1">
      <c r="A5" s="2374" t="s">
        <v>1384</v>
      </c>
      <c r="B5" s="2375">
        <f>项目基本情况!C12</f>
        <v>165.59</v>
      </c>
      <c r="D5" s="2629" t="s">
        <v>1385</v>
      </c>
      <c r="E5" s="1277"/>
      <c r="F5" s="2371"/>
      <c r="G5" s="2672"/>
      <c r="H5" s="2672"/>
    </row>
    <row r="6" spans="1:41" s="1520" customFormat="1" ht="15" thickBot="1">
      <c r="A6" s="2376" t="s">
        <v>1386</v>
      </c>
      <c r="B6" s="2377">
        <f>项目基本情况!C13</f>
        <v>0</v>
      </c>
      <c r="D6" s="2629" t="s">
        <v>1387</v>
      </c>
      <c r="E6" s="1277"/>
      <c r="F6" s="2371"/>
      <c r="G6" s="2672"/>
      <c r="H6" s="2672"/>
    </row>
    <row r="7" spans="1:41" s="1520" customFormat="1" ht="14.4" thickBot="1">
      <c r="A7" s="2673"/>
      <c r="D7" s="2674"/>
      <c r="E7" s="2674"/>
      <c r="F7" s="2672"/>
      <c r="G7" s="2672"/>
      <c r="H7" s="2672"/>
    </row>
    <row r="8" spans="1:41" s="1520" customFormat="1" ht="13.8" hidden="1">
      <c r="A8" s="2673"/>
      <c r="D8" s="2674"/>
      <c r="E8" s="2674"/>
      <c r="F8" s="2672"/>
      <c r="G8" s="2672"/>
      <c r="H8" s="2672"/>
    </row>
    <row r="9" spans="1:41" s="1520" customFormat="1" ht="15" hidden="1" thickBot="1">
      <c r="C9" s="2771"/>
      <c r="D9" s="2672"/>
      <c r="E9" s="2672"/>
      <c r="F9" s="2672"/>
      <c r="G9" s="2672"/>
      <c r="H9" s="2672"/>
    </row>
    <row r="10" spans="1:41" s="1520" customFormat="1" ht="15" thickBot="1">
      <c r="A10" s="2630" t="s">
        <v>1388</v>
      </c>
      <c r="B10" s="2379" t="s">
        <v>3036</v>
      </c>
      <c r="D10" s="2627" t="s">
        <v>1389</v>
      </c>
      <c r="E10" s="2631" t="s">
        <v>1390</v>
      </c>
      <c r="F10" s="2772" t="s">
        <v>2596</v>
      </c>
    </row>
    <row r="11" spans="1:41" s="1865" customFormat="1" ht="14.4">
      <c r="A11" s="2632" t="s">
        <v>1391</v>
      </c>
      <c r="B11" s="2381">
        <v>40</v>
      </c>
      <c r="C11" s="1520"/>
      <c r="D11" s="2633" t="s">
        <v>1392</v>
      </c>
      <c r="E11" s="2382"/>
      <c r="F11" s="1181" t="s">
        <v>1393</v>
      </c>
      <c r="G11" s="1520"/>
      <c r="H11" s="1520"/>
      <c r="I11" s="1520"/>
      <c r="J11" s="1520"/>
      <c r="K11" s="1520"/>
      <c r="R11" s="1520"/>
      <c r="S11" s="1520"/>
      <c r="T11" s="1520"/>
      <c r="U11" s="1520"/>
      <c r="V11" s="1520"/>
      <c r="W11" s="1520"/>
      <c r="X11" s="1520"/>
      <c r="Y11" s="1520"/>
      <c r="Z11" s="1520"/>
      <c r="AA11" s="1520"/>
      <c r="AB11" s="1520"/>
      <c r="AC11" s="1520"/>
      <c r="AD11" s="1520"/>
      <c r="AE11" s="1520"/>
      <c r="AF11" s="1520"/>
      <c r="AG11" s="1520"/>
      <c r="AH11" s="1520"/>
      <c r="AI11" s="1520"/>
      <c r="AJ11" s="1520"/>
      <c r="AK11" s="1520"/>
      <c r="AL11" s="1520"/>
      <c r="AM11" s="1520"/>
      <c r="AN11" s="1520"/>
      <c r="AO11" s="1520"/>
    </row>
    <row r="12" spans="1:41" s="1520" customFormat="1" ht="15">
      <c r="A12" s="2634" t="s">
        <v>1394</v>
      </c>
      <c r="B12" s="2383"/>
      <c r="D12" s="2634" t="s">
        <v>1395</v>
      </c>
      <c r="E12" s="2384">
        <v>200</v>
      </c>
      <c r="F12" s="1180"/>
    </row>
    <row r="13" spans="1:41" s="1520" customFormat="1" ht="15" thickBot="1">
      <c r="A13" s="2635" t="s">
        <v>1396</v>
      </c>
      <c r="B13" s="2636">
        <f>IF(B12="",B11-(YEAR($B$2)-B27+B24),ROUNDDOWN(MIN((B12-$B$2)/365,B11),2))</f>
        <v>22</v>
      </c>
      <c r="C13" s="2671"/>
      <c r="D13" s="2637" t="s">
        <v>1397</v>
      </c>
      <c r="E13" s="2385">
        <f>ROUND(E12*B5,0)</f>
        <v>33118</v>
      </c>
      <c r="F13" s="1179" t="s">
        <v>1398</v>
      </c>
    </row>
    <row r="14" spans="1:41" s="1520" customFormat="1" ht="14.4">
      <c r="A14" s="2634" t="s">
        <v>1399</v>
      </c>
      <c r="B14" s="2638">
        <f>IF(ISERROR(ROUND(POWER(1+B15,B11-B13)*(POWER(1+B15,B13)-1)/(POWER(1+B15,B11)-1),3)),0,ROUND(POWER(1+B15,B11-B13)*(POWER(1+B15,B13)-1)/(POWER(1+B15,B11)-1),3))</f>
        <v>0.76700000000000002</v>
      </c>
      <c r="D14" s="2639" t="s">
        <v>1400</v>
      </c>
      <c r="E14" s="2386">
        <v>200</v>
      </c>
      <c r="F14" s="1180"/>
    </row>
    <row r="15" spans="1:41" s="1520" customFormat="1" ht="14.4">
      <c r="A15" s="2634" t="s">
        <v>1401</v>
      </c>
      <c r="B15" s="2387">
        <v>0.05</v>
      </c>
      <c r="C15" s="1330" t="s">
        <v>2597</v>
      </c>
      <c r="D15" s="2634" t="s">
        <v>1402</v>
      </c>
      <c r="E15" s="2640">
        <f>E14-E16</f>
        <v>200</v>
      </c>
      <c r="F15" s="1180"/>
    </row>
    <row r="16" spans="1:41" s="1520" customFormat="1" ht="15" thickBot="1">
      <c r="A16" s="2634" t="s">
        <v>1403</v>
      </c>
      <c r="B16" s="2387">
        <v>5.5E-2</v>
      </c>
      <c r="C16" s="1330" t="s">
        <v>2598</v>
      </c>
      <c r="D16" s="2641" t="s">
        <v>1404</v>
      </c>
      <c r="E16" s="2388"/>
      <c r="F16" s="1179"/>
    </row>
    <row r="17" spans="1:14" s="1520" customFormat="1" ht="15" thickBot="1">
      <c r="A17" s="2641" t="s">
        <v>2595</v>
      </c>
      <c r="B17" s="2770">
        <v>7.4999999999999997E-2</v>
      </c>
      <c r="C17" s="1330" t="s">
        <v>2599</v>
      </c>
      <c r="D17" s="2630" t="s">
        <v>1406</v>
      </c>
      <c r="E17" s="2389">
        <v>4000</v>
      </c>
      <c r="F17" s="862"/>
    </row>
    <row r="18" spans="1:14" s="1520" customFormat="1" ht="15" thickBot="1">
      <c r="A18" s="2642" t="s">
        <v>1405</v>
      </c>
      <c r="B18" s="2774"/>
      <c r="D18" s="2643" t="str">
        <f>IF(B26=0,"建安总额","在建建安")</f>
        <v>建安总额</v>
      </c>
      <c r="E18" s="2644">
        <f>ROUND(B5*E17*IF(B26=0,1,E20),0)</f>
        <v>662360</v>
      </c>
      <c r="F18" s="2390">
        <f>ROUND(E5*E17*IF(B26=0,1,E20),0)</f>
        <v>0</v>
      </c>
    </row>
    <row r="19" spans="1:14" s="1520" customFormat="1" ht="14.4" thickBot="1">
      <c r="A19" s="1180"/>
      <c r="B19" s="1180"/>
      <c r="D19" s="2643" t="str">
        <f>IF(B26=0,"——","续建建安")</f>
        <v>——</v>
      </c>
      <c r="E19" s="2644" t="str">
        <f>IF(B26=0,"——",ROUND(B5*E17*(1-E20),0))</f>
        <v>——</v>
      </c>
      <c r="F19" s="2390" t="str">
        <f>IF(B26=0,"——",ROUND(E5*E17*(1-E20),0))</f>
        <v>——</v>
      </c>
    </row>
    <row r="20" spans="1:14" s="1520" customFormat="1" ht="15" thickBot="1">
      <c r="A20" s="2645" t="s">
        <v>1407</v>
      </c>
      <c r="B20" s="1180"/>
      <c r="D20" s="2647" t="str">
        <f>IF(B26=0,"成新率","工程进度")</f>
        <v>成新率</v>
      </c>
      <c r="E20" s="2392">
        <f>ROUND(1-(2022-B27)/60,2)</f>
        <v>0.73</v>
      </c>
      <c r="F20" s="862"/>
    </row>
    <row r="21" spans="1:14" s="1520" customFormat="1" ht="14.4">
      <c r="A21" s="2646" t="s">
        <v>1408</v>
      </c>
      <c r="B21" s="2391"/>
      <c r="D21" s="2634" t="s">
        <v>1410</v>
      </c>
      <c r="E21" s="2394">
        <v>0.03</v>
      </c>
      <c r="F21" s="2405" t="s">
        <v>2605</v>
      </c>
    </row>
    <row r="22" spans="1:14" s="1520" customFormat="1" ht="14.4">
      <c r="A22" s="2648" t="s">
        <v>1409</v>
      </c>
      <c r="B22" s="2393">
        <v>2</v>
      </c>
      <c r="D22" s="2634" t="s">
        <v>1412</v>
      </c>
      <c r="E22" s="2397">
        <v>0</v>
      </c>
      <c r="F22" s="2405" t="s">
        <v>2603</v>
      </c>
    </row>
    <row r="23" spans="1:14" s="1520" customFormat="1" ht="14.4">
      <c r="A23" s="2649" t="s">
        <v>1411</v>
      </c>
      <c r="B23" s="2396">
        <v>2</v>
      </c>
      <c r="D23" s="2634" t="s">
        <v>1414</v>
      </c>
      <c r="E23" s="2384">
        <v>200</v>
      </c>
      <c r="F23" s="2405"/>
    </row>
    <row r="24" spans="1:14" s="1520" customFormat="1" ht="15" thickBot="1">
      <c r="A24" s="2650" t="s">
        <v>1413</v>
      </c>
      <c r="B24" s="2651">
        <f>B21+B22</f>
        <v>2</v>
      </c>
      <c r="D24" s="2641" t="s">
        <v>1416</v>
      </c>
      <c r="E24" s="2398">
        <v>1.4999999999999999E-2</v>
      </c>
      <c r="F24" s="2405" t="s">
        <v>2606</v>
      </c>
    </row>
    <row r="25" spans="1:14" ht="14.4">
      <c r="A25" s="2652" t="s">
        <v>1415</v>
      </c>
      <c r="B25" s="2653">
        <f>B21+B23</f>
        <v>2</v>
      </c>
      <c r="C25" s="1520"/>
      <c r="D25" s="2633" t="s">
        <v>1418</v>
      </c>
      <c r="E25" s="2394">
        <v>0.03</v>
      </c>
      <c r="F25" s="2405" t="s">
        <v>2604</v>
      </c>
      <c r="I25" s="2419"/>
    </row>
    <row r="26" spans="1:14" ht="15" thickBot="1">
      <c r="A26" s="2650" t="s">
        <v>1417</v>
      </c>
      <c r="B26" s="2654">
        <f>B22-B23</f>
        <v>0</v>
      </c>
      <c r="D26" s="2634" t="s">
        <v>1420</v>
      </c>
      <c r="E26" s="2397">
        <v>0.03</v>
      </c>
      <c r="F26" s="2405" t="s">
        <v>2604</v>
      </c>
      <c r="G26" s="2672"/>
      <c r="H26" s="2672"/>
      <c r="I26" s="1520"/>
      <c r="J26" s="1520"/>
      <c r="K26" s="1520"/>
      <c r="L26" s="1520"/>
      <c r="M26" s="1520"/>
      <c r="N26" s="1520"/>
    </row>
    <row r="27" spans="1:14" ht="15" thickBot="1">
      <c r="A27" s="2655" t="s">
        <v>1419</v>
      </c>
      <c r="B27" s="2399">
        <v>2006</v>
      </c>
      <c r="C27" s="1520"/>
      <c r="D27" s="2820" t="s">
        <v>3038</v>
      </c>
      <c r="E27" s="2656">
        <f ca="1">IF(D27="利息：取LPR",存贷款利率!G1,存贷款利率!G1+F27)</f>
        <v>4.1499999999999995E-2</v>
      </c>
      <c r="F27" s="2821">
        <v>5.0000000000000001E-3</v>
      </c>
      <c r="G27" s="2672"/>
      <c r="H27" s="2672"/>
      <c r="K27" s="1520"/>
      <c r="N27" s="1520"/>
    </row>
    <row r="28" spans="1:14" ht="15" thickBot="1">
      <c r="A28" s="862"/>
      <c r="B28" s="862"/>
      <c r="D28" s="2637" t="s">
        <v>1422</v>
      </c>
      <c r="E28" s="2401">
        <v>0.2</v>
      </c>
      <c r="G28" s="2672"/>
      <c r="H28" s="2672"/>
      <c r="K28" s="1520"/>
      <c r="N28" s="1520"/>
    </row>
    <row r="29" spans="1:14" ht="14.4">
      <c r="A29" s="2657" t="s">
        <v>1421</v>
      </c>
      <c r="B29" s="2400" t="s">
        <v>3037</v>
      </c>
      <c r="D29" s="2639" t="s">
        <v>1423</v>
      </c>
      <c r="E29" s="2658">
        <f>E30+E31</f>
        <v>5.6000000000000001E-2</v>
      </c>
      <c r="F29" s="1179"/>
      <c r="G29" s="2672"/>
      <c r="H29" s="2672"/>
      <c r="K29" s="1520"/>
      <c r="N29" s="1520"/>
    </row>
    <row r="30" spans="1:14" ht="14.4">
      <c r="A30" s="2634" t="str">
        <f>IF(B29="租赁期内按合同租金","合同租金","市场租金")</f>
        <v>市场租金</v>
      </c>
      <c r="B30" s="2402">
        <v>4.8</v>
      </c>
      <c r="D30" s="2641" t="s">
        <v>1425</v>
      </c>
      <c r="E30" s="2403">
        <v>0.05</v>
      </c>
      <c r="F30" s="2660">
        <f>IF(B2&lt;DATE(2016,5,1),0,E30)</f>
        <v>0.05</v>
      </c>
      <c r="G30" s="2672"/>
      <c r="H30" s="2672"/>
      <c r="K30" s="1520"/>
      <c r="N30" s="1520"/>
    </row>
    <row r="31" spans="1:14" ht="14.4">
      <c r="A31" s="2634" t="s">
        <v>1424</v>
      </c>
      <c r="B31" s="2659">
        <f ca="1">存贷款利率!I1</f>
        <v>1.4999999999999999E-2</v>
      </c>
      <c r="D31" s="2641" t="s">
        <v>1427</v>
      </c>
      <c r="E31" s="2661">
        <f>E30*(E32+E33+E34)+E35</f>
        <v>6.000000000000001E-3</v>
      </c>
      <c r="F31" s="1179"/>
      <c r="G31" s="2672"/>
      <c r="H31" s="2672"/>
      <c r="K31" s="1520"/>
      <c r="N31" s="1520"/>
    </row>
    <row r="32" spans="1:14" ht="14.4">
      <c r="A32" s="2634" t="s">
        <v>1426</v>
      </c>
      <c r="B32" s="2387">
        <v>0.03</v>
      </c>
      <c r="D32" s="2641" t="s">
        <v>1429</v>
      </c>
      <c r="E32" s="2404">
        <v>7.0000000000000007E-2</v>
      </c>
      <c r="F32" s="2405" t="s">
        <v>2491</v>
      </c>
      <c r="G32" s="2672"/>
      <c r="H32" s="2672"/>
      <c r="K32" s="1520"/>
      <c r="L32" s="1520"/>
      <c r="M32" s="1520"/>
      <c r="N32" s="1520"/>
    </row>
    <row r="33" spans="1:14" ht="14.4">
      <c r="A33" s="2634" t="s">
        <v>1428</v>
      </c>
      <c r="B33" s="2387">
        <v>0.1</v>
      </c>
      <c r="D33" s="2641" t="s">
        <v>1431</v>
      </c>
      <c r="E33" s="2403">
        <v>0.03</v>
      </c>
      <c r="F33" s="1178" t="s">
        <v>1432</v>
      </c>
      <c r="G33" s="2672"/>
      <c r="H33" s="2672"/>
      <c r="K33" s="1520"/>
      <c r="L33" s="1520"/>
      <c r="M33" s="1520"/>
      <c r="N33" s="1520"/>
    </row>
    <row r="34" spans="1:14" ht="14.4">
      <c r="A34" s="2634" t="s">
        <v>1430</v>
      </c>
      <c r="B34" s="2662">
        <f>收益法!J54</f>
        <v>22</v>
      </c>
      <c r="D34" s="2641" t="s">
        <v>1433</v>
      </c>
      <c r="E34" s="2403">
        <v>0.02</v>
      </c>
      <c r="F34" s="1178" t="s">
        <v>1434</v>
      </c>
      <c r="G34" s="2672"/>
      <c r="H34" s="2672"/>
      <c r="I34" s="1520"/>
      <c r="J34" s="1520"/>
      <c r="K34" s="1520"/>
      <c r="L34" s="1520"/>
      <c r="M34" s="1520"/>
      <c r="N34" s="1520"/>
    </row>
    <row r="35" spans="1:14" ht="15" thickBot="1">
      <c r="A35" s="2641" t="str">
        <f>IF(B29="租赁期内按合同租金","剩余租赁期","——")</f>
        <v>——</v>
      </c>
      <c r="B35" s="2406"/>
      <c r="D35" s="2637" t="s">
        <v>1436</v>
      </c>
      <c r="E35" s="2408"/>
      <c r="F35" s="1181" t="s">
        <v>1437</v>
      </c>
      <c r="G35" s="2672"/>
      <c r="H35" s="2672"/>
      <c r="I35" s="1520"/>
      <c r="J35" s="1520"/>
      <c r="K35" s="1520"/>
      <c r="L35" s="1520"/>
      <c r="M35" s="1520"/>
      <c r="N35" s="1520"/>
    </row>
    <row r="36" spans="1:14" ht="14.4">
      <c r="A36" s="2663" t="s">
        <v>1435</v>
      </c>
      <c r="B36" s="2664"/>
      <c r="D36" s="2665" t="s">
        <v>1438</v>
      </c>
      <c r="E36" s="2410">
        <v>0.03</v>
      </c>
      <c r="F36" s="1180" t="s">
        <v>1439</v>
      </c>
      <c r="G36" s="2672"/>
      <c r="H36" s="2672"/>
      <c r="I36" s="1520"/>
      <c r="J36" s="1520"/>
      <c r="K36" s="1520"/>
      <c r="L36" s="1520"/>
      <c r="M36" s="1520"/>
      <c r="N36" s="1520"/>
    </row>
    <row r="37" spans="1:14" ht="15" thickBot="1">
      <c r="A37" s="2639" t="str">
        <f>IF(B29="租赁期内按合同租金","租金","——")</f>
        <v>——</v>
      </c>
      <c r="B37" s="2409"/>
      <c r="D37" s="2641" t="s">
        <v>1440</v>
      </c>
      <c r="E37" s="2403">
        <v>5.0000000000000001E-4</v>
      </c>
      <c r="F37" s="1180" t="s">
        <v>1441</v>
      </c>
      <c r="G37" s="2672"/>
      <c r="H37" s="2672"/>
      <c r="I37" s="1520"/>
      <c r="J37" s="1520"/>
      <c r="K37" s="1520"/>
      <c r="L37" s="1520"/>
      <c r="M37" s="1520"/>
      <c r="N37" s="1520"/>
    </row>
    <row r="38" spans="1:14" ht="14.4">
      <c r="A38" s="2634" t="str">
        <f>IF(B29="租赁期内按合同租金","年租金增长率","——")</f>
        <v>——</v>
      </c>
      <c r="B38" s="2387"/>
      <c r="D38" s="2666" t="s">
        <v>1442</v>
      </c>
      <c r="E38" s="2667">
        <v>1.2E-2</v>
      </c>
      <c r="F38" s="1180"/>
      <c r="I38" s="2672"/>
      <c r="J38" s="1520"/>
      <c r="K38" s="1520"/>
      <c r="L38" s="1520"/>
      <c r="M38" s="1520"/>
      <c r="N38" s="1520"/>
    </row>
    <row r="39" spans="1:14" ht="15" thickBot="1">
      <c r="A39" s="2634" t="str">
        <f>IF(B29="租赁期内按合同租金","空置率","——")</f>
        <v>——</v>
      </c>
      <c r="B39" s="2387"/>
      <c r="D39" s="2637" t="s">
        <v>1443</v>
      </c>
      <c r="E39" s="2668">
        <v>0.12</v>
      </c>
      <c r="F39" s="1180"/>
      <c r="G39" s="2672"/>
      <c r="H39" s="2672"/>
      <c r="I39" s="1520"/>
      <c r="J39" s="1520"/>
      <c r="K39" s="1520"/>
      <c r="L39" s="1520"/>
      <c r="M39" s="1520"/>
      <c r="N39" s="1520"/>
    </row>
    <row r="40" spans="1:14" ht="14.4">
      <c r="A40" s="2634" t="str">
        <f>IF(B29="租赁期内按合同租金","成新率","——")</f>
        <v>——</v>
      </c>
      <c r="B40" s="2387"/>
      <c r="D40" s="2666" t="s">
        <v>1444</v>
      </c>
      <c r="E40" s="2670">
        <f>SUMIF(D42:D51,E41,E42:E51)</f>
        <v>0</v>
      </c>
      <c r="F40" s="1180"/>
      <c r="G40" s="2672"/>
      <c r="H40" s="2672"/>
      <c r="I40" s="1520"/>
      <c r="J40" s="1520"/>
      <c r="K40" s="1520"/>
      <c r="L40" s="1520"/>
      <c r="M40" s="1520"/>
      <c r="N40" s="1520"/>
    </row>
    <row r="41" spans="1:14" ht="15" thickBot="1">
      <c r="A41" s="2641" t="str">
        <f>IF(B29="租赁期内按合同租金","租赁期外收益期","——")</f>
        <v>——</v>
      </c>
      <c r="B41" s="2669" t="str">
        <f>IF(B29="租赁期内按合同租金",B34-B35,"——")</f>
        <v>——</v>
      </c>
      <c r="D41" s="2634" t="s">
        <v>1446</v>
      </c>
      <c r="E41" s="2412"/>
      <c r="F41" s="1180" t="s">
        <v>1447</v>
      </c>
      <c r="G41" s="1601" t="s">
        <v>1448</v>
      </c>
      <c r="H41" s="2672"/>
      <c r="I41" s="1520"/>
      <c r="J41" s="1520"/>
      <c r="K41" s="1520"/>
      <c r="L41" s="1520"/>
      <c r="M41" s="1520"/>
      <c r="N41" s="1520"/>
    </row>
    <row r="42" spans="1:14" ht="14.4">
      <c r="A42" s="2633" t="s">
        <v>1445</v>
      </c>
      <c r="B42" s="2411"/>
      <c r="D42" s="1536" t="s">
        <v>1450</v>
      </c>
      <c r="E42" s="2402"/>
      <c r="F42" s="1180">
        <v>30</v>
      </c>
      <c r="G42" s="2672"/>
      <c r="H42" s="2672"/>
      <c r="I42" s="1520"/>
      <c r="J42" s="1520"/>
      <c r="K42" s="1520"/>
      <c r="L42" s="1520"/>
      <c r="M42" s="1520"/>
      <c r="N42" s="1520"/>
    </row>
    <row r="43" spans="1:14" ht="14.4">
      <c r="A43" s="2634" t="s">
        <v>1449</v>
      </c>
      <c r="B43" s="2413">
        <v>365</v>
      </c>
      <c r="D43" s="1536" t="s">
        <v>1452</v>
      </c>
      <c r="E43" s="2402"/>
      <c r="F43" s="1180">
        <v>24</v>
      </c>
      <c r="G43" s="2672"/>
      <c r="H43" s="2672"/>
      <c r="I43" s="1520"/>
      <c r="J43" s="1520"/>
      <c r="K43" s="1520"/>
      <c r="L43" s="1520"/>
      <c r="M43" s="1520"/>
      <c r="N43" s="1520"/>
    </row>
    <row r="44" spans="1:14" ht="14.4">
      <c r="A44" s="2634" t="s">
        <v>1451</v>
      </c>
      <c r="B44" s="2402"/>
      <c r="D44" s="1536" t="s">
        <v>1454</v>
      </c>
      <c r="E44" s="2402"/>
      <c r="F44" s="1180">
        <v>18</v>
      </c>
      <c r="G44" s="2369"/>
      <c r="H44" s="2369"/>
      <c r="I44" s="2672"/>
      <c r="J44" s="1520"/>
      <c r="K44" s="1520"/>
      <c r="L44" s="1520"/>
      <c r="M44" s="1520"/>
      <c r="N44" s="1520"/>
    </row>
    <row r="45" spans="1:14" ht="14.4">
      <c r="A45" s="2634" t="s">
        <v>1453</v>
      </c>
      <c r="B45" s="2414">
        <v>0.01</v>
      </c>
      <c r="C45" s="1330" t="s">
        <v>2602</v>
      </c>
      <c r="D45" s="1536" t="s">
        <v>1456</v>
      </c>
      <c r="E45" s="2402"/>
      <c r="F45" s="1180">
        <v>12</v>
      </c>
      <c r="G45" s="2369"/>
      <c r="H45" s="2369"/>
      <c r="M45" s="1520"/>
      <c r="N45" s="1520"/>
    </row>
    <row r="46" spans="1:14" ht="14.4">
      <c r="A46" s="2634" t="s">
        <v>1455</v>
      </c>
      <c r="B46" s="2415">
        <v>1E-3</v>
      </c>
      <c r="C46" s="1330" t="s">
        <v>2600</v>
      </c>
      <c r="D46" s="1536" t="s">
        <v>1218</v>
      </c>
      <c r="E46" s="2402"/>
      <c r="F46" s="1180">
        <v>3</v>
      </c>
      <c r="G46" s="2369"/>
      <c r="H46" s="2369"/>
      <c r="M46" s="1520"/>
      <c r="N46" s="1520"/>
    </row>
    <row r="47" spans="1:14" ht="15" thickBot="1">
      <c r="A47" s="2637" t="s">
        <v>1457</v>
      </c>
      <c r="B47" s="2416">
        <v>0.01</v>
      </c>
      <c r="C47" s="1330" t="s">
        <v>2601</v>
      </c>
      <c r="D47" s="1536" t="s">
        <v>1458</v>
      </c>
      <c r="E47" s="2402"/>
      <c r="F47" s="1180">
        <v>1.5</v>
      </c>
      <c r="G47" s="2369"/>
      <c r="H47" s="2369"/>
      <c r="M47" s="1520"/>
      <c r="N47" s="1520"/>
    </row>
    <row r="48" spans="1:14" ht="14.4">
      <c r="A48" s="2369"/>
      <c r="D48" s="1536" t="s">
        <v>1459</v>
      </c>
      <c r="E48" s="2402"/>
      <c r="F48" s="1180"/>
      <c r="G48" s="2369"/>
      <c r="H48" s="2369"/>
      <c r="M48" s="1520"/>
      <c r="N48" s="1520"/>
    </row>
    <row r="49" spans="1:41" ht="14.4">
      <c r="A49" s="2369"/>
      <c r="D49" s="1536" t="s">
        <v>1460</v>
      </c>
      <c r="E49" s="2402"/>
      <c r="F49" s="1180"/>
      <c r="G49" s="2369"/>
      <c r="H49" s="2369"/>
      <c r="M49" s="1520"/>
      <c r="N49" s="1520"/>
    </row>
    <row r="50" spans="1:41" ht="14.4">
      <c r="A50" s="2369"/>
      <c r="D50" s="1536" t="s">
        <v>1461</v>
      </c>
      <c r="E50" s="2402"/>
      <c r="F50" s="1180"/>
      <c r="G50" s="2369"/>
      <c r="H50" s="2369"/>
      <c r="M50" s="1520"/>
      <c r="N50" s="1520"/>
    </row>
    <row r="51" spans="1:41" s="862" customFormat="1" ht="15" thickBot="1">
      <c r="A51" s="2369"/>
      <c r="B51" s="2369"/>
      <c r="C51" s="2369"/>
      <c r="D51" s="2417" t="s">
        <v>1462</v>
      </c>
      <c r="E51" s="2418"/>
      <c r="F51" s="1180"/>
      <c r="G51" s="2369"/>
      <c r="H51" s="2369"/>
      <c r="I51" s="2369"/>
      <c r="J51" s="2369"/>
      <c r="K51" s="2369"/>
      <c r="L51" s="2369"/>
      <c r="M51" s="1520"/>
      <c r="N51" s="1520"/>
      <c r="O51" s="2369"/>
      <c r="P51" s="2369"/>
      <c r="Q51" s="2369"/>
      <c r="R51" s="2369"/>
      <c r="S51" s="2369"/>
      <c r="T51" s="2369"/>
      <c r="U51" s="2369"/>
      <c r="V51" s="2369"/>
      <c r="W51" s="2369"/>
      <c r="X51" s="2369"/>
      <c r="Y51" s="2369"/>
      <c r="Z51" s="2369"/>
      <c r="AA51" s="2369"/>
      <c r="AB51" s="2369"/>
      <c r="AC51" s="2369"/>
      <c r="AD51" s="2369"/>
      <c r="AE51" s="2369"/>
      <c r="AF51" s="2369"/>
      <c r="AG51" s="2369"/>
      <c r="AH51" s="2369"/>
      <c r="AI51" s="2369"/>
      <c r="AJ51" s="2369"/>
      <c r="AK51" s="2369"/>
      <c r="AL51" s="2369"/>
      <c r="AM51" s="2369"/>
      <c r="AN51" s="2369"/>
      <c r="AO51" s="2369"/>
    </row>
    <row r="52" spans="1:41" ht="13.8">
      <c r="A52" s="2369"/>
      <c r="D52" s="2672"/>
      <c r="E52" s="2672"/>
      <c r="F52" s="2672"/>
      <c r="G52" s="2672"/>
      <c r="H52" s="2672"/>
      <c r="I52" s="1520"/>
      <c r="J52" s="1520"/>
      <c r="K52" s="1520"/>
      <c r="L52" s="1520"/>
      <c r="M52" s="1520"/>
      <c r="N52" s="1520"/>
    </row>
    <row r="53" spans="1:41" ht="13.8">
      <c r="A53" s="2369"/>
      <c r="D53" s="2672"/>
      <c r="E53" s="2672"/>
      <c r="F53" s="2672"/>
      <c r="G53" s="2672"/>
      <c r="H53" s="2672"/>
      <c r="I53" s="1520"/>
      <c r="J53" s="1520"/>
      <c r="K53" s="1520"/>
      <c r="L53" s="1520"/>
      <c r="M53" s="1520"/>
      <c r="N53" s="1520"/>
    </row>
    <row r="54" spans="1:41" ht="13.8">
      <c r="A54" s="2369"/>
      <c r="D54" s="2672"/>
      <c r="E54" s="2672"/>
      <c r="F54" s="2672"/>
      <c r="G54" s="2672"/>
      <c r="H54" s="2672"/>
      <c r="I54" s="1520"/>
      <c r="J54" s="1520"/>
      <c r="K54" s="1520"/>
      <c r="L54" s="1520"/>
      <c r="M54" s="1520"/>
      <c r="N54" s="1520"/>
    </row>
    <row r="55" spans="1:41" ht="13.8">
      <c r="A55" s="2369"/>
      <c r="D55" s="2672"/>
      <c r="E55" s="2672"/>
      <c r="F55" s="2672"/>
      <c r="G55" s="2672"/>
      <c r="H55" s="2672"/>
      <c r="I55" s="1520"/>
      <c r="J55" s="1520"/>
      <c r="K55" s="1520"/>
      <c r="L55" s="1520"/>
      <c r="M55" s="1520"/>
      <c r="N55" s="1520"/>
    </row>
    <row r="56" spans="1:41" ht="13.8">
      <c r="A56" s="2369"/>
      <c r="D56" s="2672"/>
      <c r="E56" s="2672"/>
      <c r="F56" s="2672"/>
      <c r="G56" s="2672"/>
      <c r="H56" s="2672"/>
      <c r="I56" s="1520"/>
      <c r="J56" s="1520"/>
      <c r="K56" s="1520"/>
      <c r="L56" s="1520"/>
      <c r="M56" s="1520"/>
      <c r="N56" s="1520"/>
    </row>
    <row r="57" spans="1:41" ht="13.8">
      <c r="A57" s="2369"/>
      <c r="D57" s="2672"/>
      <c r="E57" s="2672"/>
      <c r="F57" s="2672"/>
      <c r="G57" s="2672"/>
      <c r="H57" s="2672"/>
      <c r="I57" s="1520"/>
      <c r="J57" s="1520"/>
      <c r="K57" s="1520"/>
      <c r="L57" s="1520"/>
      <c r="M57" s="1520"/>
      <c r="N57" s="1520"/>
    </row>
    <row r="58" spans="1:41" ht="13.8">
      <c r="A58" s="2369"/>
      <c r="D58" s="2672"/>
      <c r="E58" s="2672"/>
      <c r="F58" s="2672"/>
      <c r="G58" s="2672"/>
      <c r="H58" s="2672"/>
      <c r="I58" s="1520"/>
      <c r="J58" s="1520"/>
      <c r="K58" s="1520"/>
      <c r="L58" s="1520"/>
      <c r="M58" s="1520"/>
      <c r="N58" s="1520"/>
    </row>
    <row r="59" spans="1:41" ht="13.8">
      <c r="A59" s="2369"/>
      <c r="D59" s="2672"/>
      <c r="E59" s="2672"/>
      <c r="F59" s="2672"/>
      <c r="G59" s="2672"/>
      <c r="H59" s="2672"/>
      <c r="I59" s="1520"/>
      <c r="J59" s="1520"/>
      <c r="K59" s="1520"/>
      <c r="L59" s="1520"/>
      <c r="M59" s="1520"/>
      <c r="N59" s="1520"/>
    </row>
    <row r="60" spans="1:41" ht="13.8">
      <c r="A60" s="2369"/>
      <c r="D60" s="2672"/>
      <c r="E60" s="2672"/>
      <c r="F60" s="2672"/>
      <c r="G60" s="2672"/>
      <c r="H60" s="2672"/>
      <c r="I60" s="1520"/>
      <c r="J60" s="1520"/>
      <c r="K60" s="1520"/>
      <c r="L60" s="1520"/>
      <c r="M60" s="1520"/>
      <c r="N60" s="1520"/>
    </row>
    <row r="61" spans="1:41" ht="13.8">
      <c r="A61" s="2369"/>
      <c r="D61" s="2672"/>
      <c r="E61" s="2672"/>
      <c r="F61" s="2672"/>
      <c r="G61" s="2672"/>
      <c r="H61" s="2672"/>
      <c r="I61" s="1520"/>
      <c r="J61" s="1520"/>
      <c r="K61" s="1520"/>
      <c r="L61" s="1520"/>
      <c r="M61" s="1520"/>
      <c r="N61" s="1520"/>
    </row>
    <row r="62" spans="1:41" ht="13.8">
      <c r="A62" s="2369"/>
      <c r="D62" s="2672"/>
      <c r="E62" s="2672"/>
      <c r="F62" s="2672"/>
      <c r="G62" s="2672"/>
      <c r="H62" s="2672"/>
      <c r="I62" s="1520"/>
      <c r="J62" s="1520"/>
      <c r="K62" s="1520"/>
      <c r="L62" s="1520"/>
      <c r="M62" s="1520"/>
      <c r="N62" s="1520"/>
    </row>
    <row r="63" spans="1:41" ht="13.8">
      <c r="A63" s="2369"/>
      <c r="D63" s="2672"/>
      <c r="E63" s="2672"/>
      <c r="F63" s="2672"/>
      <c r="G63" s="2672"/>
      <c r="H63" s="2672"/>
      <c r="I63" s="1520"/>
      <c r="J63" s="1520"/>
      <c r="K63" s="1520"/>
      <c r="L63" s="1520"/>
      <c r="M63" s="1520"/>
      <c r="N63" s="1520"/>
    </row>
    <row r="64" spans="1:41" ht="13.8">
      <c r="A64" s="2369"/>
      <c r="D64" s="2672"/>
      <c r="E64" s="2672"/>
      <c r="F64" s="2672"/>
      <c r="G64" s="2672"/>
      <c r="H64" s="2672"/>
      <c r="I64" s="1520"/>
      <c r="J64" s="1520"/>
      <c r="K64" s="1520"/>
      <c r="L64" s="1520"/>
      <c r="M64" s="1520"/>
      <c r="N64" s="1520"/>
    </row>
    <row r="65" spans="1:14" ht="13.8">
      <c r="A65" s="2369"/>
      <c r="D65" s="2672"/>
      <c r="E65" s="2672"/>
      <c r="F65" s="2672"/>
      <c r="G65" s="2672"/>
      <c r="H65" s="2672"/>
      <c r="I65" s="1520"/>
      <c r="J65" s="1520"/>
      <c r="K65" s="1520"/>
      <c r="L65" s="1520"/>
      <c r="M65" s="1520"/>
      <c r="N65" s="1520"/>
    </row>
    <row r="66" spans="1:14" ht="13.8">
      <c r="A66" s="2369"/>
      <c r="D66" s="2672"/>
      <c r="E66" s="2672"/>
      <c r="F66" s="2672"/>
      <c r="G66" s="2672"/>
      <c r="H66" s="2672"/>
      <c r="I66" s="1520"/>
      <c r="J66" s="1520"/>
      <c r="K66" s="1520"/>
      <c r="L66" s="1520"/>
      <c r="M66" s="1520"/>
      <c r="N66" s="1520"/>
    </row>
    <row r="67" spans="1:14" ht="13.8">
      <c r="D67" s="2672"/>
      <c r="E67" s="2672"/>
      <c r="F67" s="2672"/>
      <c r="G67" s="2672"/>
      <c r="H67" s="2672"/>
      <c r="I67" s="1520"/>
      <c r="J67" s="1520"/>
      <c r="K67" s="1520"/>
      <c r="L67" s="1520"/>
      <c r="M67" s="1520"/>
      <c r="N67" s="1520"/>
    </row>
    <row r="68" spans="1:14" ht="13.8">
      <c r="D68" s="2672"/>
      <c r="E68" s="2672"/>
      <c r="F68" s="2672"/>
    </row>
    <row r="69" spans="1:14">
      <c r="F69" s="2419"/>
    </row>
    <row r="70" spans="1:14">
      <c r="F70" s="2419"/>
    </row>
    <row r="71" spans="1:14">
      <c r="F71" s="2419"/>
    </row>
    <row r="72" spans="1:14">
      <c r="F72" s="2419"/>
    </row>
    <row r="73" spans="1:14">
      <c r="F73" s="2419"/>
    </row>
    <row r="74" spans="1:14">
      <c r="F74" s="2419"/>
    </row>
    <row r="75" spans="1:14">
      <c r="F75" s="2419"/>
    </row>
    <row r="76" spans="1:14">
      <c r="F76" s="2419"/>
    </row>
    <row r="77" spans="1:14">
      <c r="F77" s="2419"/>
    </row>
    <row r="78" spans="1:14">
      <c r="F78" s="2419"/>
    </row>
    <row r="79" spans="1:14">
      <c r="F79" s="2419"/>
    </row>
    <row r="80" spans="1:14">
      <c r="F80" s="2419"/>
    </row>
    <row r="81" spans="6:6">
      <c r="F81" s="2419"/>
    </row>
    <row r="82" spans="6:6">
      <c r="F82" s="2419"/>
    </row>
    <row r="83" spans="6:6">
      <c r="F83" s="2419"/>
    </row>
    <row r="84" spans="6:6">
      <c r="F84" s="2419"/>
    </row>
    <row r="85" spans="6:6">
      <c r="F85" s="2419"/>
    </row>
    <row r="86" spans="6:6">
      <c r="F86" s="2419"/>
    </row>
    <row r="87" spans="6:6">
      <c r="F87" s="2419"/>
    </row>
    <row r="88" spans="6:6">
      <c r="F88" s="2419"/>
    </row>
    <row r="89" spans="6:6">
      <c r="F89" s="2419"/>
    </row>
    <row r="90" spans="6:6">
      <c r="F90" s="2419"/>
    </row>
    <row r="91" spans="6:6">
      <c r="F91" s="2419"/>
    </row>
    <row r="92" spans="6:6">
      <c r="F92" s="2419"/>
    </row>
    <row r="93" spans="6:6">
      <c r="F93" s="2419"/>
    </row>
    <row r="94" spans="6:6">
      <c r="F94" s="2419"/>
    </row>
    <row r="95" spans="6:6">
      <c r="F95" s="2419"/>
    </row>
    <row r="96" spans="6:6">
      <c r="F96" s="2419"/>
    </row>
    <row r="97" spans="6:6">
      <c r="F97" s="2419"/>
    </row>
    <row r="98" spans="6:6">
      <c r="F98" s="2419"/>
    </row>
    <row r="99" spans="6:6">
      <c r="F99" s="2419"/>
    </row>
    <row r="100" spans="6:6">
      <c r="F100" s="2419"/>
    </row>
    <row r="101" spans="6:6">
      <c r="F101" s="2419"/>
    </row>
    <row r="102" spans="6:6">
      <c r="F102" s="2419"/>
    </row>
    <row r="103" spans="6:6">
      <c r="F103" s="2419"/>
    </row>
    <row r="104" spans="6:6">
      <c r="F104" s="2419"/>
    </row>
    <row r="105" spans="6:6">
      <c r="F105" s="2419"/>
    </row>
    <row r="106" spans="6:6">
      <c r="F106" s="2419"/>
    </row>
    <row r="107" spans="6:6">
      <c r="F107" s="2419"/>
    </row>
    <row r="108" spans="6:6">
      <c r="F108" s="2419"/>
    </row>
    <row r="109" spans="6:6">
      <c r="F109" s="2419"/>
    </row>
    <row r="110" spans="6:6">
      <c r="F110" s="2419"/>
    </row>
    <row r="111" spans="6:6">
      <c r="F111" s="2419"/>
    </row>
    <row r="112" spans="6:6">
      <c r="F112" s="2419"/>
    </row>
    <row r="113" spans="6:6">
      <c r="F113" s="2419"/>
    </row>
    <row r="114" spans="6:6">
      <c r="F114" s="2419"/>
    </row>
    <row r="115" spans="6:6">
      <c r="F115" s="2419"/>
    </row>
    <row r="116" spans="6:6">
      <c r="F116" s="2419"/>
    </row>
    <row r="117" spans="6:6">
      <c r="F117" s="2419"/>
    </row>
    <row r="118" spans="6:6">
      <c r="F118" s="2419"/>
    </row>
    <row r="119" spans="6:6">
      <c r="F119" s="2419"/>
    </row>
    <row r="120" spans="6:6">
      <c r="F120" s="2419"/>
    </row>
    <row r="121" spans="6:6">
      <c r="F121" s="2419"/>
    </row>
    <row r="122" spans="6:6">
      <c r="F122" s="2419"/>
    </row>
    <row r="123" spans="6:6">
      <c r="F123" s="2419"/>
    </row>
    <row r="124" spans="6:6">
      <c r="F124" s="2419"/>
    </row>
    <row r="125" spans="6:6">
      <c r="F125" s="2419"/>
    </row>
    <row r="126" spans="6:6">
      <c r="F126" s="2419"/>
    </row>
    <row r="127" spans="6:6">
      <c r="F127" s="2419"/>
    </row>
    <row r="128" spans="6:6">
      <c r="F128" s="2419"/>
    </row>
    <row r="129" spans="6:6">
      <c r="F129" s="2419"/>
    </row>
    <row r="130" spans="6:6">
      <c r="F130" s="2419"/>
    </row>
    <row r="131" spans="6:6">
      <c r="F131" s="2419"/>
    </row>
    <row r="132" spans="6:6">
      <c r="F132" s="2419"/>
    </row>
    <row r="133" spans="6:6">
      <c r="F133" s="2419"/>
    </row>
    <row r="134" spans="6:6">
      <c r="F134" s="2419"/>
    </row>
    <row r="135" spans="6:6">
      <c r="F135" s="2419"/>
    </row>
    <row r="136" spans="6:6">
      <c r="F136" s="2419"/>
    </row>
    <row r="137" spans="6:6">
      <c r="F137" s="2419"/>
    </row>
    <row r="138" spans="6:6">
      <c r="F138" s="2419"/>
    </row>
    <row r="139" spans="6:6">
      <c r="F139" s="2419"/>
    </row>
    <row r="140" spans="6:6">
      <c r="F140" s="2419"/>
    </row>
    <row r="141" spans="6:6">
      <c r="F141" s="2419"/>
    </row>
    <row r="142" spans="6:6">
      <c r="F142" s="2419"/>
    </row>
    <row r="143" spans="6:6">
      <c r="F143" s="2419"/>
    </row>
    <row r="144" spans="6:6">
      <c r="F144" s="2419"/>
    </row>
    <row r="145" spans="6:6">
      <c r="F145" s="2419"/>
    </row>
    <row r="146" spans="6:6">
      <c r="F146" s="2419"/>
    </row>
    <row r="147" spans="6:6">
      <c r="F147" s="2419"/>
    </row>
    <row r="148" spans="6:6">
      <c r="F148" s="2419"/>
    </row>
    <row r="149" spans="6:6">
      <c r="F149" s="2419"/>
    </row>
    <row r="150" spans="6:6">
      <c r="F150" s="2419"/>
    </row>
    <row r="151" spans="6:6">
      <c r="F151" s="2419"/>
    </row>
    <row r="152" spans="6:6">
      <c r="F152" s="2419"/>
    </row>
    <row r="153" spans="6:6">
      <c r="F153" s="2419"/>
    </row>
    <row r="154" spans="6:6">
      <c r="F154" s="2419"/>
    </row>
    <row r="155" spans="6:6">
      <c r="F155" s="2419"/>
    </row>
    <row r="156" spans="6:6">
      <c r="F156" s="2419"/>
    </row>
    <row r="157" spans="6:6">
      <c r="F157" s="241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1520" customWidth="1"/>
    <col min="2" max="2" width="24.44140625" style="1865" customWidth="1"/>
    <col min="3" max="3" width="28.33203125" style="1865" customWidth="1"/>
    <col min="4" max="4" width="2.6640625" style="1865" customWidth="1"/>
    <col min="5" max="5" width="5.88671875" style="1865" customWidth="1"/>
    <col min="6" max="6" width="27" style="1865" customWidth="1"/>
    <col min="7" max="7" width="32.33203125" style="1865" customWidth="1"/>
    <col min="8" max="8" width="11.88671875" style="2432" customWidth="1"/>
    <col min="9" max="9" width="16.77734375" style="2432" customWidth="1"/>
    <col min="10" max="10" width="2.6640625" style="2432" customWidth="1"/>
    <col min="11" max="11" width="11.88671875" style="2432" customWidth="1"/>
    <col min="12" max="12" width="16.77734375" style="2432" customWidth="1"/>
    <col min="13" max="13" width="2.6640625" style="2432" customWidth="1"/>
    <col min="14" max="14" width="11.88671875" style="2432" customWidth="1"/>
    <col min="15" max="15" width="16.77734375" style="2432" customWidth="1"/>
    <col min="16" max="16" width="2.6640625" style="2432" customWidth="1"/>
    <col min="17" max="17" width="11.88671875" style="2432" customWidth="1"/>
    <col min="18" max="18" width="16.77734375" style="2425" customWidth="1"/>
    <col min="19" max="29" width="9" style="2425"/>
    <col min="30" max="16384" width="9" style="1520"/>
  </cols>
  <sheetData>
    <row r="1" spans="1:29" s="2423" customFormat="1" ht="18" thickBot="1">
      <c r="A1" s="3147" t="s">
        <v>1463</v>
      </c>
      <c r="B1" s="3148"/>
      <c r="C1" s="3148"/>
      <c r="D1" s="3148"/>
      <c r="E1" s="3148"/>
      <c r="F1" s="3148"/>
      <c r="G1" s="3148"/>
      <c r="H1" s="2420"/>
      <c r="I1" s="2420"/>
      <c r="J1" s="2420"/>
      <c r="K1" s="2420"/>
      <c r="L1" s="2420"/>
      <c r="M1" s="2420"/>
      <c r="N1" s="2420"/>
      <c r="O1" s="2420"/>
      <c r="P1" s="2420"/>
      <c r="Q1" s="2421"/>
      <c r="R1" s="2422"/>
      <c r="S1" s="2422"/>
      <c r="T1" s="2422"/>
      <c r="U1" s="2422"/>
      <c r="V1" s="2422"/>
      <c r="W1" s="2422"/>
      <c r="X1" s="2422"/>
      <c r="Y1" s="2422"/>
      <c r="Z1" s="2422"/>
      <c r="AA1" s="2422"/>
      <c r="AB1" s="2422"/>
      <c r="AC1" s="2422"/>
    </row>
    <row r="2" spans="1:29" s="2369" customFormat="1" thickBot="1">
      <c r="A2" s="2775"/>
      <c r="B2" s="2776"/>
      <c r="C2" s="2777" t="s">
        <v>2607</v>
      </c>
      <c r="D2" s="2778"/>
      <c r="E2" s="2775"/>
      <c r="F2" s="2779"/>
      <c r="G2" s="2777" t="s">
        <v>2608</v>
      </c>
      <c r="H2" s="2780"/>
      <c r="I2" s="2780"/>
      <c r="J2" s="2780"/>
      <c r="K2" s="2780"/>
      <c r="L2" s="2780"/>
      <c r="M2" s="2780"/>
      <c r="N2" s="2780"/>
      <c r="O2" s="2780"/>
      <c r="P2" s="2780"/>
      <c r="Q2" s="2780"/>
      <c r="R2" s="2780"/>
      <c r="S2" s="2780"/>
      <c r="T2" s="2780"/>
      <c r="U2" s="2780"/>
      <c r="V2" s="2780"/>
      <c r="W2" s="2780"/>
      <c r="X2" s="2780"/>
      <c r="Y2" s="2780"/>
      <c r="Z2" s="2780"/>
      <c r="AA2" s="2780"/>
      <c r="AB2" s="2780"/>
      <c r="AC2" s="2780"/>
    </row>
    <row r="3" spans="1:29" s="2369" customFormat="1" ht="48">
      <c r="A3" s="2781" t="s">
        <v>2609</v>
      </c>
      <c r="B3" s="2782" t="s">
        <v>2610</v>
      </c>
      <c r="C3" s="2783" t="s">
        <v>2611</v>
      </c>
      <c r="D3" s="2784"/>
      <c r="E3" s="2785" t="s">
        <v>2609</v>
      </c>
      <c r="F3" s="2786" t="s">
        <v>2612</v>
      </c>
      <c r="G3" s="2787" t="s">
        <v>2613</v>
      </c>
      <c r="H3" s="2780"/>
      <c r="I3" s="2780"/>
      <c r="J3" s="2780"/>
      <c r="K3" s="2780"/>
      <c r="L3" s="2780"/>
      <c r="M3" s="2780"/>
      <c r="N3" s="2780"/>
      <c r="O3" s="2780"/>
      <c r="P3" s="2780"/>
      <c r="Q3" s="2780"/>
      <c r="R3" s="2780"/>
      <c r="S3" s="2780"/>
      <c r="T3" s="2780"/>
      <c r="U3" s="2780"/>
      <c r="V3" s="2780"/>
      <c r="W3" s="2780"/>
      <c r="X3" s="2780"/>
      <c r="Y3" s="2780"/>
      <c r="Z3" s="2780"/>
      <c r="AA3" s="2780"/>
      <c r="AB3" s="2780"/>
      <c r="AC3" s="2780"/>
    </row>
    <row r="4" spans="1:29" s="2369" customFormat="1" ht="37.200000000000003">
      <c r="A4" s="2785"/>
      <c r="B4" s="1199" t="s">
        <v>2614</v>
      </c>
      <c r="C4" s="2788" t="s">
        <v>2615</v>
      </c>
      <c r="D4" s="2784"/>
      <c r="E4" s="2789"/>
      <c r="F4" s="1878" t="s">
        <v>2616</v>
      </c>
      <c r="G4" s="2790" t="s">
        <v>2617</v>
      </c>
      <c r="H4" s="2780"/>
      <c r="I4" s="2780"/>
      <c r="J4" s="2780"/>
      <c r="K4" s="2780"/>
      <c r="L4" s="2780"/>
      <c r="M4" s="2780"/>
      <c r="N4" s="2780"/>
      <c r="O4" s="2780"/>
      <c r="P4" s="2780"/>
      <c r="Q4" s="2780"/>
      <c r="R4" s="2780"/>
      <c r="S4" s="2780"/>
      <c r="T4" s="2780"/>
      <c r="U4" s="2780"/>
      <c r="V4" s="2780"/>
      <c r="W4" s="2780"/>
      <c r="X4" s="2780"/>
      <c r="Y4" s="2780"/>
      <c r="Z4" s="2780"/>
      <c r="AA4" s="2780"/>
      <c r="AB4" s="2780"/>
      <c r="AC4" s="2780"/>
    </row>
    <row r="5" spans="1:29" s="2369" customFormat="1" ht="37.200000000000003">
      <c r="A5" s="2785"/>
      <c r="B5" s="1199" t="s">
        <v>2618</v>
      </c>
      <c r="C5" s="2788" t="s">
        <v>2619</v>
      </c>
      <c r="D5" s="2784"/>
      <c r="E5" s="2789"/>
      <c r="F5" s="1199" t="s">
        <v>2620</v>
      </c>
      <c r="G5" s="2790" t="s">
        <v>2621</v>
      </c>
      <c r="H5" s="2780"/>
      <c r="I5" s="2780"/>
      <c r="J5" s="2780"/>
      <c r="K5" s="2780"/>
      <c r="L5" s="2780"/>
      <c r="M5" s="2780"/>
      <c r="N5" s="2780"/>
      <c r="O5" s="2780"/>
      <c r="P5" s="2780"/>
      <c r="Q5" s="2780"/>
      <c r="R5" s="2780"/>
      <c r="S5" s="2780"/>
      <c r="T5" s="2780"/>
      <c r="U5" s="2780"/>
      <c r="V5" s="2780"/>
      <c r="W5" s="2780"/>
      <c r="X5" s="2780"/>
      <c r="Y5" s="2780"/>
      <c r="Z5" s="2780"/>
      <c r="AA5" s="2780"/>
      <c r="AB5" s="2780"/>
      <c r="AC5" s="2780"/>
    </row>
    <row r="6" spans="1:29" s="2369" customFormat="1" ht="36">
      <c r="A6" s="2785"/>
      <c r="B6" s="1199" t="s">
        <v>2622</v>
      </c>
      <c r="C6" s="2790" t="s">
        <v>2617</v>
      </c>
      <c r="D6" s="2784"/>
      <c r="E6" s="2789"/>
      <c r="F6" s="1199" t="s">
        <v>2623</v>
      </c>
      <c r="G6" s="2790" t="s">
        <v>2624</v>
      </c>
      <c r="H6" s="2780"/>
      <c r="I6" s="2780"/>
      <c r="J6" s="2780"/>
      <c r="K6" s="2780"/>
      <c r="L6" s="2780"/>
      <c r="M6" s="2780"/>
      <c r="N6" s="2780"/>
      <c r="O6" s="2780"/>
      <c r="P6" s="2780"/>
      <c r="Q6" s="2780"/>
      <c r="R6" s="2780"/>
      <c r="S6" s="2780"/>
      <c r="T6" s="2780"/>
      <c r="U6" s="2780"/>
      <c r="V6" s="2780"/>
      <c r="W6" s="2780"/>
      <c r="X6" s="2780"/>
      <c r="Y6" s="2780"/>
      <c r="Z6" s="2780"/>
      <c r="AA6" s="2780"/>
      <c r="AB6" s="2780"/>
      <c r="AC6" s="2780"/>
    </row>
    <row r="7" spans="1:29" s="2369" customFormat="1" ht="24.6" thickBot="1">
      <c r="A7" s="2785"/>
      <c r="B7" s="1199" t="s">
        <v>2620</v>
      </c>
      <c r="C7" s="2790" t="s">
        <v>2621</v>
      </c>
      <c r="D7" s="2681"/>
      <c r="E7" s="2791"/>
      <c r="F7" s="2792" t="s">
        <v>2625</v>
      </c>
      <c r="G7" s="2793" t="s">
        <v>2626</v>
      </c>
      <c r="H7" s="2780"/>
      <c r="I7" s="2780"/>
      <c r="J7" s="2780"/>
      <c r="K7" s="2780"/>
      <c r="L7" s="2780"/>
      <c r="M7" s="2780"/>
      <c r="N7" s="2780"/>
      <c r="O7" s="2780"/>
      <c r="P7" s="2780"/>
      <c r="Q7" s="2780"/>
      <c r="R7" s="2780"/>
      <c r="S7" s="2780"/>
      <c r="T7" s="2780"/>
      <c r="U7" s="2780"/>
      <c r="V7" s="2780"/>
      <c r="W7" s="2780"/>
      <c r="X7" s="2780"/>
      <c r="Y7" s="2780"/>
      <c r="Z7" s="2780"/>
      <c r="AA7" s="2780"/>
      <c r="AB7" s="2780"/>
      <c r="AC7" s="2780"/>
    </row>
    <row r="8" spans="1:29" s="2369" customFormat="1" ht="13.2">
      <c r="A8" s="2785"/>
      <c r="B8" s="1199" t="s">
        <v>2623</v>
      </c>
      <c r="C8" s="2790" t="s">
        <v>2624</v>
      </c>
      <c r="D8" s="2681"/>
      <c r="E8" s="2681"/>
      <c r="F8" s="862"/>
      <c r="G8" s="862"/>
      <c r="H8" s="2780"/>
      <c r="I8" s="2780"/>
      <c r="J8" s="2780"/>
      <c r="K8" s="2780"/>
      <c r="L8" s="2780"/>
      <c r="M8" s="2780"/>
      <c r="N8" s="2780"/>
      <c r="O8" s="2780"/>
      <c r="P8" s="2780"/>
      <c r="Q8" s="2780"/>
      <c r="R8" s="2780"/>
      <c r="S8" s="2780"/>
      <c r="T8" s="2780"/>
      <c r="U8" s="2780"/>
      <c r="V8" s="2780"/>
      <c r="W8" s="2780"/>
      <c r="X8" s="2780"/>
      <c r="Y8" s="2780"/>
      <c r="Z8" s="2780"/>
      <c r="AA8" s="2780"/>
      <c r="AB8" s="2780"/>
      <c r="AC8" s="2780"/>
    </row>
    <row r="9" spans="1:29" s="2369" customFormat="1" ht="24">
      <c r="A9" s="2785"/>
      <c r="B9" s="1199" t="s">
        <v>2627</v>
      </c>
      <c r="C9" s="2788" t="s">
        <v>2628</v>
      </c>
      <c r="D9" s="2784"/>
      <c r="E9" s="2681"/>
      <c r="F9" s="862"/>
      <c r="G9" s="862"/>
      <c r="H9" s="2780"/>
      <c r="I9" s="2780"/>
      <c r="J9" s="2780"/>
      <c r="K9" s="2780"/>
      <c r="L9" s="2780"/>
      <c r="M9" s="2780"/>
      <c r="N9" s="2780"/>
      <c r="O9" s="2780"/>
      <c r="P9" s="2780"/>
      <c r="Q9" s="2780"/>
      <c r="R9" s="2780"/>
      <c r="S9" s="2780"/>
      <c r="T9" s="2780"/>
      <c r="U9" s="2780"/>
      <c r="V9" s="2780"/>
      <c r="W9" s="2780"/>
      <c r="X9" s="2780"/>
      <c r="Y9" s="2780"/>
      <c r="Z9" s="2780"/>
      <c r="AA9" s="2780"/>
      <c r="AB9" s="2780"/>
      <c r="AC9" s="2780"/>
    </row>
    <row r="10" spans="1:29" s="2369" customFormat="1" thickBot="1">
      <c r="A10" s="2794"/>
      <c r="B10" s="1877" t="s">
        <v>2629</v>
      </c>
      <c r="C10" s="2795"/>
      <c r="D10" s="2784"/>
      <c r="E10" s="2784"/>
      <c r="F10" s="862"/>
      <c r="G10" s="862"/>
      <c r="H10" s="1343"/>
      <c r="I10" s="1343"/>
      <c r="J10" s="2796"/>
      <c r="K10" s="1343"/>
      <c r="L10" s="1343"/>
      <c r="M10" s="2796"/>
      <c r="N10" s="1343"/>
      <c r="O10" s="1343"/>
      <c r="P10" s="2796"/>
      <c r="Q10" s="1343"/>
      <c r="R10" s="1343"/>
      <c r="S10" s="2780"/>
      <c r="T10" s="2780"/>
      <c r="U10" s="2780"/>
      <c r="V10" s="2780"/>
      <c r="W10" s="2780"/>
      <c r="X10" s="2780"/>
      <c r="Y10" s="2780"/>
      <c r="Z10" s="2780"/>
      <c r="AA10" s="2780"/>
      <c r="AB10" s="2780"/>
      <c r="AC10" s="2780"/>
    </row>
    <row r="11" spans="1:29" s="2369" customFormat="1" ht="13.2">
      <c r="A11" s="2797"/>
      <c r="B11" s="2681"/>
      <c r="C11" s="2784"/>
      <c r="D11" s="2784"/>
      <c r="E11" s="2784"/>
      <c r="F11" s="2681"/>
      <c r="G11" s="2681"/>
      <c r="H11" s="1343"/>
      <c r="I11" s="1343"/>
      <c r="J11" s="2796"/>
      <c r="K11" s="1343"/>
      <c r="L11" s="1343"/>
      <c r="M11" s="2796"/>
      <c r="N11" s="1343"/>
      <c r="O11" s="1343"/>
      <c r="P11" s="2796"/>
      <c r="Q11" s="1343"/>
      <c r="R11" s="1343"/>
      <c r="S11" s="2780"/>
      <c r="T11" s="2780"/>
      <c r="U11" s="2780"/>
      <c r="V11" s="2780"/>
      <c r="W11" s="2780"/>
      <c r="X11" s="2780"/>
      <c r="Y11" s="2780"/>
      <c r="Z11" s="2780"/>
      <c r="AA11" s="2780"/>
      <c r="AB11" s="2780"/>
      <c r="AC11" s="2780"/>
    </row>
    <row r="12" spans="1:29" s="2423" customFormat="1" ht="17.399999999999999">
      <c r="A12" s="2378"/>
      <c r="B12" s="1668"/>
      <c r="C12" s="2426"/>
      <c r="D12" s="2427"/>
      <c r="E12" s="2426"/>
      <c r="F12" s="1668"/>
      <c r="G12" s="1668"/>
      <c r="H12" s="2428"/>
      <c r="I12" s="2428"/>
      <c r="J12" s="2428"/>
      <c r="K12" s="2428"/>
      <c r="L12" s="2429"/>
      <c r="M12" s="2428"/>
      <c r="N12" s="2430"/>
      <c r="O12" s="2430"/>
      <c r="P12" s="2430"/>
      <c r="Q12" s="2430"/>
      <c r="R12" s="2422"/>
      <c r="S12" s="2422"/>
      <c r="T12" s="2422"/>
      <c r="U12" s="2422"/>
      <c r="V12" s="2422"/>
      <c r="W12" s="2422"/>
      <c r="X12" s="2422"/>
      <c r="Y12" s="2422"/>
      <c r="Z12" s="2422"/>
      <c r="AA12" s="2422"/>
      <c r="AB12" s="2422"/>
      <c r="AC12" s="2422"/>
    </row>
    <row r="13" spans="1:29" ht="18" thickBot="1">
      <c r="A13" s="2431" t="s">
        <v>1469</v>
      </c>
      <c r="B13" s="2427"/>
      <c r="C13" s="2427"/>
      <c r="D13" s="2424"/>
      <c r="E13" s="2427"/>
      <c r="F13" s="2427"/>
      <c r="G13" s="2427"/>
    </row>
    <row r="14" spans="1:29" s="2369" customFormat="1" thickBot="1">
      <c r="A14" s="2798"/>
      <c r="B14" s="2798"/>
      <c r="C14" s="2799" t="s">
        <v>2630</v>
      </c>
      <c r="D14" s="2784"/>
      <c r="E14" s="2800"/>
      <c r="F14" s="2800"/>
      <c r="G14" s="2777" t="s">
        <v>2631</v>
      </c>
      <c r="H14" s="1343"/>
      <c r="I14" s="1343"/>
      <c r="J14" s="1343"/>
      <c r="K14" s="1343"/>
      <c r="L14" s="1343"/>
      <c r="M14" s="1343"/>
      <c r="N14" s="1343"/>
      <c r="O14" s="1343"/>
      <c r="P14" s="1343"/>
      <c r="Q14" s="1343"/>
      <c r="R14" s="2780"/>
      <c r="S14" s="2780"/>
      <c r="T14" s="2780"/>
      <c r="U14" s="2780"/>
      <c r="V14" s="2780"/>
      <c r="W14" s="2780"/>
      <c r="X14" s="2780"/>
      <c r="Y14" s="2780"/>
      <c r="Z14" s="2780"/>
      <c r="AA14" s="2780"/>
      <c r="AB14" s="2780"/>
      <c r="AC14" s="2780"/>
    </row>
    <row r="15" spans="1:29" s="2369" customFormat="1" ht="52.8">
      <c r="A15" s="2801" t="s">
        <v>2632</v>
      </c>
      <c r="B15" s="2802" t="s">
        <v>2610</v>
      </c>
      <c r="C15" s="2803" t="str">
        <f>C3</f>
        <v>估价对象周边居住用地比例、居住小区规模和社区发展完善程度，综合评价居住社区成熟度一般</v>
      </c>
      <c r="D15" s="2784"/>
      <c r="E15" s="2804" t="s">
        <v>2633</v>
      </c>
      <c r="F15" s="2802" t="s">
        <v>2634</v>
      </c>
      <c r="G15" s="41" t="str">
        <f>G3</f>
        <v>估价对象位于XX开发区，园区建设成熟度XX，产业集聚程度XX</v>
      </c>
      <c r="H15" s="1343"/>
      <c r="I15" s="1343"/>
      <c r="J15" s="1343"/>
      <c r="K15" s="1343"/>
      <c r="L15" s="1343"/>
      <c r="M15" s="1343"/>
      <c r="N15" s="1343"/>
      <c r="O15" s="1343"/>
      <c r="P15" s="1343"/>
      <c r="Q15" s="1343"/>
      <c r="R15" s="2780"/>
      <c r="S15" s="2780"/>
      <c r="T15" s="2780"/>
      <c r="U15" s="2780"/>
      <c r="V15" s="2780"/>
      <c r="W15" s="2780"/>
      <c r="X15" s="2780"/>
      <c r="Y15" s="2780"/>
      <c r="Z15" s="2780"/>
      <c r="AA15" s="2780"/>
      <c r="AB15" s="2780"/>
      <c r="AC15" s="2780"/>
    </row>
    <row r="16" spans="1:29" s="2369" customFormat="1" ht="39.6">
      <c r="A16" s="2805"/>
      <c r="B16" s="2313" t="s">
        <v>2614</v>
      </c>
      <c r="C16" s="2806" t="str">
        <f>C4</f>
        <v>估价对象位于XX商圈，周边商业氛围成熟，人流量大，商业繁华度好</v>
      </c>
      <c r="D16" s="2784"/>
      <c r="E16" s="2807"/>
      <c r="F16" s="1876" t="s">
        <v>2616</v>
      </c>
      <c r="G16" s="48" t="str">
        <f>G4</f>
        <v>估价对象周边道路状况、公共交通通达情况、停车便捷程度，综合评价交通便捷度较好</v>
      </c>
      <c r="H16" s="1343"/>
      <c r="I16" s="1343"/>
      <c r="J16" s="1343"/>
      <c r="K16" s="1343"/>
      <c r="L16" s="1343"/>
      <c r="M16" s="1343"/>
      <c r="N16" s="1343"/>
      <c r="O16" s="1343"/>
      <c r="P16" s="1343"/>
      <c r="Q16" s="1343"/>
      <c r="R16" s="2780"/>
      <c r="S16" s="2780"/>
      <c r="T16" s="2780"/>
      <c r="U16" s="2780"/>
      <c r="V16" s="2780"/>
      <c r="W16" s="2780"/>
      <c r="X16" s="2780"/>
      <c r="Y16" s="2780"/>
      <c r="Z16" s="2780"/>
      <c r="AA16" s="2780"/>
      <c r="AB16" s="2780"/>
      <c r="AC16" s="2780"/>
    </row>
    <row r="17" spans="1:29" s="2369" customFormat="1" ht="39.6">
      <c r="A17" s="2805"/>
      <c r="B17" s="2313" t="s">
        <v>2618</v>
      </c>
      <c r="C17" s="2806" t="str">
        <f>C5</f>
        <v>估价对象位于XX商圈，周边办公楼项目较多，入驻率高，办公集聚程度较好</v>
      </c>
      <c r="D17" s="2681"/>
      <c r="E17" s="2807"/>
      <c r="F17" s="3058" t="s">
        <v>3029</v>
      </c>
      <c r="G17" s="2790"/>
      <c r="H17" s="1343"/>
      <c r="I17" s="1343"/>
      <c r="J17" s="1343"/>
      <c r="K17" s="1343"/>
      <c r="L17" s="1343"/>
      <c r="M17" s="1343"/>
      <c r="N17" s="1343"/>
      <c r="O17" s="1343"/>
      <c r="P17" s="1343"/>
      <c r="Q17" s="1343"/>
      <c r="R17" s="2780"/>
      <c r="S17" s="2780"/>
      <c r="T17" s="2780"/>
      <c r="U17" s="2780"/>
      <c r="V17" s="2780"/>
      <c r="W17" s="2780"/>
      <c r="X17" s="2780"/>
      <c r="Y17" s="2780"/>
      <c r="Z17" s="2780"/>
      <c r="AA17" s="2780"/>
      <c r="AB17" s="2780"/>
      <c r="AC17" s="2780"/>
    </row>
    <row r="18" spans="1:29" s="2369" customFormat="1" ht="39.6">
      <c r="A18" s="2805"/>
      <c r="B18" s="1876" t="s">
        <v>2622</v>
      </c>
      <c r="C18" s="48" t="str">
        <f>C6</f>
        <v>估价对象周边道路状况、公共交通通达情况、停车便捷程度，综合评价交通便捷度较好</v>
      </c>
      <c r="D18" s="2681"/>
      <c r="E18" s="2807"/>
      <c r="F18" s="1876" t="s">
        <v>2625</v>
      </c>
      <c r="G18" s="48" t="str">
        <f>G7</f>
        <v>该园区内是否有污染型企业，绿化情况，卫生条件，整体环境状况判断</v>
      </c>
      <c r="H18" s="1343"/>
      <c r="I18" s="1343"/>
      <c r="J18" s="1343"/>
      <c r="K18" s="1343"/>
      <c r="L18" s="1343"/>
      <c r="M18" s="1343"/>
      <c r="N18" s="1343"/>
      <c r="O18" s="1343"/>
      <c r="P18" s="1343"/>
      <c r="Q18" s="1343"/>
      <c r="R18" s="2780"/>
      <c r="S18" s="2780"/>
      <c r="T18" s="2780"/>
      <c r="U18" s="2780"/>
      <c r="V18" s="2780"/>
      <c r="W18" s="2780"/>
      <c r="X18" s="2780"/>
      <c r="Y18" s="2780"/>
      <c r="Z18" s="2780"/>
      <c r="AA18" s="2780"/>
      <c r="AB18" s="2780"/>
      <c r="AC18" s="2780"/>
    </row>
    <row r="19" spans="1:29" s="2369" customFormat="1" ht="26.4">
      <c r="A19" s="2805"/>
      <c r="B19" s="3058" t="s">
        <v>3028</v>
      </c>
      <c r="C19" s="2790"/>
      <c r="D19" s="2784"/>
      <c r="E19" s="2807"/>
      <c r="F19" s="1199" t="s">
        <v>2620</v>
      </c>
      <c r="G19" s="48" t="str">
        <f>G5</f>
        <v>估价对象所在区域公共配套设施齐备情况</v>
      </c>
      <c r="H19" s="1343"/>
      <c r="I19" s="1343"/>
      <c r="J19" s="1343"/>
      <c r="K19" s="1343"/>
      <c r="L19" s="1343"/>
      <c r="M19" s="1343"/>
      <c r="N19" s="1343"/>
      <c r="O19" s="1343"/>
      <c r="P19" s="1343"/>
      <c r="Q19" s="1343"/>
      <c r="R19" s="2780"/>
      <c r="S19" s="2780"/>
      <c r="T19" s="2780"/>
      <c r="U19" s="2780"/>
      <c r="V19" s="2780"/>
      <c r="W19" s="2780"/>
      <c r="X19" s="2780"/>
      <c r="Y19" s="2780"/>
      <c r="Z19" s="2780"/>
      <c r="AA19" s="2780"/>
      <c r="AB19" s="2780"/>
      <c r="AC19" s="2780"/>
    </row>
    <row r="20" spans="1:29" s="2369" customFormat="1" ht="26.4">
      <c r="A20" s="2805"/>
      <c r="B20" s="1876" t="s">
        <v>2635</v>
      </c>
      <c r="C20" s="2806" t="str">
        <f>C9</f>
        <v>区域自然环境：；人文环境；综合评价环境状况一般</v>
      </c>
      <c r="D20" s="2681"/>
      <c r="E20" s="2807"/>
      <c r="F20" s="1199" t="s">
        <v>2623</v>
      </c>
      <c r="G20" s="48" t="str">
        <f>G6</f>
        <v>估价对象所在区域基础设施水平</v>
      </c>
      <c r="H20" s="1343"/>
      <c r="I20" s="1343"/>
      <c r="J20" s="1343"/>
      <c r="K20" s="1343"/>
      <c r="L20" s="1343"/>
      <c r="M20" s="1343"/>
      <c r="N20" s="1343"/>
      <c r="O20" s="1343"/>
      <c r="P20" s="1343"/>
      <c r="Q20" s="1343"/>
      <c r="R20" s="2780"/>
      <c r="S20" s="2780"/>
      <c r="T20" s="2780"/>
      <c r="U20" s="2780"/>
      <c r="V20" s="2780"/>
      <c r="W20" s="2780"/>
      <c r="X20" s="2780"/>
      <c r="Y20" s="2780"/>
      <c r="Z20" s="2780"/>
      <c r="AA20" s="2780"/>
      <c r="AB20" s="2780"/>
      <c r="AC20" s="2780"/>
    </row>
    <row r="21" spans="1:29" s="2369" customFormat="1" ht="26.4">
      <c r="A21" s="2805"/>
      <c r="B21" s="1199" t="s">
        <v>2620</v>
      </c>
      <c r="C21" s="48" t="str">
        <f>C7</f>
        <v>估价对象所在区域公共配套设施齐备情况</v>
      </c>
      <c r="D21" s="2784"/>
      <c r="E21" s="2807"/>
      <c r="F21" s="1876" t="s">
        <v>2636</v>
      </c>
      <c r="G21" s="2808"/>
      <c r="H21" s="1343"/>
      <c r="I21" s="1343"/>
      <c r="J21" s="1343"/>
      <c r="K21" s="1343"/>
      <c r="L21" s="1343"/>
      <c r="M21" s="1343"/>
      <c r="N21" s="1343"/>
      <c r="O21" s="1343"/>
      <c r="P21" s="1343"/>
      <c r="Q21" s="1343"/>
      <c r="R21" s="2780"/>
      <c r="S21" s="2780"/>
      <c r="T21" s="2780"/>
      <c r="U21" s="2780"/>
      <c r="V21" s="2780"/>
      <c r="W21" s="2780"/>
      <c r="X21" s="2780"/>
      <c r="Y21" s="2780"/>
      <c r="Z21" s="2780"/>
      <c r="AA21" s="2780"/>
      <c r="AB21" s="2780"/>
      <c r="AC21" s="2780"/>
    </row>
    <row r="22" spans="1:29" s="2369" customFormat="1" ht="13.2">
      <c r="A22" s="2805"/>
      <c r="B22" s="1199" t="s">
        <v>2623</v>
      </c>
      <c r="C22" s="48" t="str">
        <f>C8</f>
        <v>估价对象所在区域基础设施水平</v>
      </c>
      <c r="D22" s="2784"/>
      <c r="E22" s="2807"/>
      <c r="F22" s="1876" t="s">
        <v>2629</v>
      </c>
      <c r="G22" s="2809"/>
      <c r="H22" s="1343"/>
      <c r="I22" s="1343"/>
      <c r="J22" s="1343"/>
      <c r="K22" s="1343"/>
      <c r="L22" s="1343"/>
      <c r="M22" s="1343"/>
      <c r="N22" s="1343"/>
      <c r="O22" s="1343"/>
      <c r="P22" s="1343"/>
      <c r="Q22" s="1343"/>
      <c r="R22" s="2780"/>
      <c r="S22" s="2780"/>
      <c r="T22" s="2780"/>
      <c r="U22" s="2780"/>
      <c r="V22" s="2780"/>
      <c r="W22" s="2780"/>
      <c r="X22" s="2780"/>
      <c r="Y22" s="2780"/>
      <c r="Z22" s="2780"/>
      <c r="AA22" s="2780"/>
      <c r="AB22" s="2780"/>
      <c r="AC22" s="2780"/>
    </row>
    <row r="23" spans="1:29" s="2780" customFormat="1" thickBot="1">
      <c r="A23" s="2805"/>
      <c r="B23" s="1876" t="s">
        <v>2636</v>
      </c>
      <c r="C23" s="2808"/>
      <c r="D23" s="1343"/>
      <c r="E23" s="2810"/>
      <c r="F23" s="2773" t="s">
        <v>2637</v>
      </c>
      <c r="G23" s="2811"/>
      <c r="H23" s="1343"/>
      <c r="I23" s="1343"/>
      <c r="J23" s="1343"/>
      <c r="K23" s="1343"/>
      <c r="L23" s="1343"/>
      <c r="M23" s="1343"/>
      <c r="N23" s="1343"/>
      <c r="O23" s="1343"/>
      <c r="P23" s="1343"/>
      <c r="Q23" s="1343"/>
    </row>
    <row r="24" spans="1:29" s="2780" customFormat="1" thickBot="1">
      <c r="A24" s="2812"/>
      <c r="B24" s="2773" t="s">
        <v>2638</v>
      </c>
      <c r="C24" s="2523">
        <f>C10</f>
        <v>0</v>
      </c>
      <c r="D24" s="1343"/>
      <c r="E24" s="2681"/>
      <c r="F24" s="2681"/>
      <c r="G24" s="2681"/>
      <c r="H24" s="1343"/>
      <c r="I24" s="1343"/>
      <c r="J24" s="1343"/>
      <c r="K24" s="1343"/>
      <c r="L24" s="1343"/>
      <c r="M24" s="1343"/>
      <c r="N24" s="1343"/>
      <c r="O24" s="1343"/>
      <c r="P24" s="1343"/>
      <c r="Q24" s="1343"/>
    </row>
    <row r="25" spans="1:29" s="2425" customFormat="1">
      <c r="B25" s="2432"/>
      <c r="C25" s="2432"/>
      <c r="D25" s="2432"/>
      <c r="H25" s="2432"/>
      <c r="I25" s="2432"/>
      <c r="J25" s="2432"/>
      <c r="K25" s="2432"/>
      <c r="L25" s="2432"/>
      <c r="M25" s="2432"/>
      <c r="N25" s="2432"/>
      <c r="O25" s="2432"/>
      <c r="P25" s="2432"/>
      <c r="Q25" s="2432"/>
    </row>
    <row r="26" spans="1:29" s="2425" customFormat="1">
      <c r="B26" s="2432"/>
      <c r="C26" s="2432"/>
      <c r="D26" s="2432"/>
      <c r="H26" s="2432"/>
      <c r="I26" s="2432"/>
      <c r="J26" s="2432"/>
      <c r="K26" s="2432"/>
      <c r="L26" s="2432"/>
      <c r="M26" s="2432"/>
      <c r="N26" s="2432"/>
      <c r="O26" s="2432"/>
      <c r="P26" s="2432"/>
      <c r="Q26" s="2432"/>
    </row>
    <row r="27" spans="1:29" s="2425" customFormat="1">
      <c r="B27" s="2432"/>
      <c r="C27" s="2432"/>
      <c r="D27" s="2432"/>
      <c r="H27" s="2432"/>
      <c r="I27" s="2432"/>
      <c r="J27" s="2432"/>
      <c r="K27" s="2432"/>
      <c r="L27" s="2432"/>
      <c r="M27" s="2432"/>
      <c r="N27" s="2432"/>
      <c r="O27" s="2432"/>
      <c r="P27" s="2432"/>
      <c r="Q27" s="2432"/>
    </row>
    <row r="28" spans="1:29" s="2425" customFormat="1">
      <c r="B28" s="2432"/>
      <c r="C28" s="2432"/>
      <c r="D28" s="2432"/>
      <c r="H28" s="2432"/>
      <c r="I28" s="2432"/>
      <c r="J28" s="2432"/>
      <c r="K28" s="2432"/>
      <c r="L28" s="2432"/>
      <c r="M28" s="2432"/>
      <c r="N28" s="2432"/>
      <c r="O28" s="2432"/>
      <c r="P28" s="2432"/>
      <c r="Q28" s="2432"/>
    </row>
    <row r="29" spans="1:29" s="2425" customFormat="1">
      <c r="B29" s="2432"/>
      <c r="C29" s="2432"/>
      <c r="D29" s="2432"/>
      <c r="H29" s="2432"/>
      <c r="I29" s="2432"/>
      <c r="J29" s="2432"/>
      <c r="K29" s="2432"/>
      <c r="L29" s="2432"/>
      <c r="M29" s="2432"/>
      <c r="N29" s="2432"/>
      <c r="O29" s="2432"/>
      <c r="P29" s="2432"/>
      <c r="Q29" s="2432"/>
    </row>
    <row r="30" spans="1:29" s="2425" customFormat="1">
      <c r="B30" s="2432"/>
      <c r="C30" s="2432"/>
      <c r="D30" s="2432"/>
      <c r="H30" s="2432"/>
      <c r="I30" s="2432"/>
      <c r="J30" s="2432"/>
      <c r="K30" s="2432"/>
      <c r="L30" s="2432"/>
      <c r="M30" s="2432"/>
      <c r="N30" s="2432"/>
      <c r="O30" s="2432"/>
      <c r="P30" s="2432"/>
      <c r="Q30" s="2432"/>
    </row>
    <row r="31" spans="1:29" s="2425" customFormat="1">
      <c r="B31" s="2432"/>
      <c r="C31" s="2432"/>
      <c r="D31" s="2432"/>
      <c r="H31" s="2432"/>
      <c r="I31" s="2432"/>
      <c r="J31" s="2432"/>
      <c r="K31" s="2432"/>
      <c r="L31" s="2432"/>
      <c r="M31" s="2432"/>
      <c r="N31" s="2432"/>
      <c r="O31" s="2432"/>
      <c r="P31" s="2432"/>
      <c r="Q31" s="2432"/>
    </row>
    <row r="32" spans="1:29" s="2425" customFormat="1">
      <c r="B32" s="2432"/>
      <c r="C32" s="2432"/>
      <c r="D32" s="2432"/>
      <c r="H32" s="2432"/>
      <c r="I32" s="2432"/>
      <c r="J32" s="2432"/>
      <c r="K32" s="2432"/>
      <c r="L32" s="2432"/>
      <c r="M32" s="2432"/>
      <c r="N32" s="2432"/>
      <c r="O32" s="2432"/>
      <c r="P32" s="2432"/>
      <c r="Q32" s="2432"/>
    </row>
    <row r="33" spans="2:17" s="2425" customFormat="1">
      <c r="B33" s="2432"/>
      <c r="C33" s="2432"/>
      <c r="D33" s="2432"/>
      <c r="H33" s="2432"/>
      <c r="I33" s="2432"/>
      <c r="J33" s="2432"/>
      <c r="K33" s="2432"/>
      <c r="L33" s="2432"/>
      <c r="M33" s="2432"/>
      <c r="N33" s="2432"/>
      <c r="O33" s="2432"/>
      <c r="P33" s="2432"/>
      <c r="Q33" s="2432"/>
    </row>
    <row r="34" spans="2:17" s="2425" customFormat="1">
      <c r="B34" s="2432"/>
      <c r="C34" s="2432"/>
      <c r="D34" s="2432"/>
      <c r="H34" s="2432"/>
      <c r="I34" s="2432"/>
      <c r="J34" s="2432"/>
      <c r="K34" s="2432"/>
      <c r="L34" s="2432"/>
      <c r="M34" s="2432"/>
      <c r="N34" s="2432"/>
      <c r="O34" s="2432"/>
      <c r="P34" s="2432"/>
      <c r="Q34" s="2432"/>
    </row>
    <row r="35" spans="2:17" s="2425" customFormat="1">
      <c r="B35" s="2432"/>
      <c r="C35" s="2432"/>
      <c r="D35" s="2432"/>
      <c r="H35" s="2432"/>
      <c r="I35" s="2432"/>
      <c r="J35" s="2432"/>
      <c r="K35" s="2432"/>
      <c r="L35" s="2432"/>
      <c r="M35" s="2432"/>
      <c r="N35" s="2432"/>
      <c r="O35" s="2432"/>
      <c r="P35" s="2432"/>
      <c r="Q35" s="2432"/>
    </row>
    <row r="36" spans="2:17" s="2425" customFormat="1">
      <c r="B36" s="2432"/>
      <c r="C36" s="2432"/>
      <c r="D36" s="2432"/>
      <c r="H36" s="2432"/>
      <c r="I36" s="2432"/>
      <c r="J36" s="2432"/>
      <c r="K36" s="2432"/>
      <c r="L36" s="2432"/>
      <c r="M36" s="2432"/>
      <c r="N36" s="2432"/>
      <c r="O36" s="2432"/>
      <c r="P36" s="2432"/>
      <c r="Q36" s="2432"/>
    </row>
    <row r="37" spans="2:17" s="2425" customFormat="1">
      <c r="B37" s="2432"/>
      <c r="C37" s="2432"/>
      <c r="D37" s="2432"/>
      <c r="H37" s="2432"/>
      <c r="I37" s="2432"/>
      <c r="J37" s="2432"/>
      <c r="K37" s="2432"/>
      <c r="L37" s="2432"/>
      <c r="M37" s="2432"/>
      <c r="N37" s="2432"/>
      <c r="O37" s="2432"/>
      <c r="P37" s="2432"/>
      <c r="Q37" s="2432"/>
    </row>
    <row r="38" spans="2:17" s="2425" customFormat="1">
      <c r="B38" s="2432"/>
      <c r="C38" s="2432"/>
      <c r="D38" s="2432"/>
      <c r="E38" s="2432"/>
      <c r="F38" s="2432"/>
      <c r="G38" s="2432"/>
      <c r="H38" s="2432"/>
      <c r="I38" s="2432"/>
      <c r="J38" s="2432"/>
      <c r="K38" s="2432"/>
      <c r="L38" s="2432"/>
      <c r="M38" s="2432"/>
      <c r="N38" s="2432"/>
      <c r="O38" s="2432"/>
      <c r="P38" s="2432"/>
      <c r="Q38" s="2432"/>
    </row>
    <row r="39" spans="2:17" s="2425" customFormat="1">
      <c r="B39" s="2432"/>
      <c r="C39" s="2432"/>
      <c r="D39" s="2432"/>
      <c r="E39" s="2432"/>
      <c r="F39" s="2432"/>
      <c r="G39" s="2432"/>
      <c r="H39" s="2432"/>
      <c r="I39" s="2432"/>
      <c r="J39" s="2432"/>
      <c r="K39" s="2432"/>
      <c r="L39" s="2432"/>
      <c r="M39" s="2432"/>
      <c r="N39" s="2432"/>
      <c r="O39" s="2432"/>
      <c r="P39" s="2432"/>
      <c r="Q39" s="2432"/>
    </row>
    <row r="40" spans="2:17" s="2425" customFormat="1">
      <c r="B40" s="2432"/>
      <c r="C40" s="2432"/>
      <c r="D40" s="2432"/>
      <c r="E40" s="2432"/>
      <c r="F40" s="2432"/>
      <c r="G40" s="2432"/>
      <c r="H40" s="2432"/>
      <c r="I40" s="2432"/>
      <c r="J40" s="2432"/>
      <c r="K40" s="2432"/>
      <c r="L40" s="2432"/>
      <c r="M40" s="2432"/>
      <c r="N40" s="2432"/>
      <c r="O40" s="2432"/>
      <c r="P40" s="2432"/>
      <c r="Q40" s="2432"/>
    </row>
    <row r="41" spans="2:17" s="2425" customFormat="1">
      <c r="B41" s="2432"/>
      <c r="C41" s="2432"/>
      <c r="D41" s="2432"/>
      <c r="E41" s="2432"/>
      <c r="F41" s="2432"/>
      <c r="G41" s="2432"/>
      <c r="H41" s="2432"/>
      <c r="I41" s="2432"/>
      <c r="J41" s="2432"/>
      <c r="K41" s="2432"/>
      <c r="L41" s="2432"/>
      <c r="M41" s="2432"/>
      <c r="N41" s="2432"/>
      <c r="O41" s="2432"/>
      <c r="P41" s="2432"/>
      <c r="Q41" s="2432"/>
    </row>
    <row r="42" spans="2:17" s="2425" customFormat="1">
      <c r="B42" s="2432"/>
      <c r="C42" s="2432"/>
      <c r="D42" s="2432"/>
      <c r="E42" s="2432"/>
      <c r="F42" s="2432"/>
      <c r="G42" s="2432"/>
      <c r="H42" s="2432"/>
      <c r="I42" s="2432"/>
      <c r="J42" s="2432"/>
      <c r="K42" s="2432"/>
      <c r="L42" s="2432"/>
      <c r="M42" s="2432"/>
      <c r="N42" s="2432"/>
      <c r="O42" s="2432"/>
      <c r="P42" s="2432"/>
      <c r="Q42" s="2432"/>
    </row>
    <row r="43" spans="2:17" s="2425" customFormat="1">
      <c r="B43" s="2432"/>
      <c r="C43" s="2432"/>
      <c r="D43" s="2432"/>
      <c r="E43" s="2432"/>
      <c r="F43" s="2432"/>
      <c r="G43" s="2432"/>
      <c r="H43" s="2432"/>
      <c r="I43" s="2432"/>
      <c r="J43" s="2432"/>
      <c r="K43" s="2432"/>
      <c r="L43" s="2432"/>
      <c r="M43" s="2432"/>
      <c r="N43" s="2432"/>
      <c r="O43" s="2432"/>
      <c r="P43" s="2432"/>
      <c r="Q43" s="2432"/>
    </row>
    <row r="44" spans="2:17" s="2425" customFormat="1">
      <c r="B44" s="2432"/>
      <c r="C44" s="2432"/>
      <c r="D44" s="2432"/>
      <c r="E44" s="2432"/>
      <c r="F44" s="2432"/>
      <c r="G44" s="2432"/>
      <c r="H44" s="2432"/>
      <c r="I44" s="2432"/>
      <c r="J44" s="2432"/>
      <c r="K44" s="2432"/>
      <c r="L44" s="2432"/>
      <c r="M44" s="2432"/>
      <c r="N44" s="2432"/>
      <c r="O44" s="2432"/>
      <c r="P44" s="2432"/>
      <c r="Q44" s="2432"/>
    </row>
    <row r="45" spans="2:17" s="2425" customFormat="1">
      <c r="B45" s="2432"/>
      <c r="C45" s="2432"/>
      <c r="D45" s="2432"/>
      <c r="E45" s="2432"/>
      <c r="F45" s="2432"/>
      <c r="G45" s="2432"/>
      <c r="H45" s="2432"/>
      <c r="I45" s="2432"/>
      <c r="J45" s="2432"/>
      <c r="K45" s="2432"/>
      <c r="L45" s="2432"/>
      <c r="M45" s="2432"/>
      <c r="N45" s="2432"/>
      <c r="O45" s="2432"/>
      <c r="P45" s="2432"/>
      <c r="Q45" s="2432"/>
    </row>
    <row r="46" spans="2:17" s="2425" customFormat="1">
      <c r="B46" s="2432"/>
      <c r="C46" s="2432"/>
      <c r="D46" s="2432"/>
      <c r="E46" s="2432"/>
      <c r="F46" s="2432"/>
      <c r="G46" s="2432"/>
      <c r="H46" s="2432"/>
      <c r="I46" s="2432"/>
      <c r="J46" s="2432"/>
      <c r="K46" s="2432"/>
      <c r="L46" s="2432"/>
      <c r="M46" s="2432"/>
      <c r="N46" s="2432"/>
      <c r="O46" s="2432"/>
      <c r="P46" s="2432"/>
      <c r="Q46" s="2432"/>
    </row>
    <row r="47" spans="2:17" s="2425" customFormat="1">
      <c r="B47" s="2432"/>
      <c r="C47" s="2432"/>
      <c r="D47" s="2432"/>
      <c r="E47" s="2432"/>
      <c r="F47" s="2432"/>
      <c r="G47" s="2432"/>
      <c r="H47" s="2432"/>
      <c r="I47" s="2432"/>
      <c r="J47" s="2432"/>
      <c r="K47" s="2432"/>
      <c r="L47" s="2432"/>
      <c r="M47" s="2432"/>
      <c r="N47" s="2432"/>
      <c r="O47" s="2432"/>
      <c r="P47" s="2432"/>
      <c r="Q47" s="2432"/>
    </row>
    <row r="48" spans="2:17" s="2425" customFormat="1">
      <c r="B48" s="2432"/>
      <c r="C48" s="2432"/>
      <c r="D48" s="2432"/>
      <c r="E48" s="2432"/>
      <c r="F48" s="2432"/>
      <c r="G48" s="2432"/>
      <c r="H48" s="2432"/>
      <c r="I48" s="2432"/>
      <c r="J48" s="2432"/>
      <c r="K48" s="2432"/>
      <c r="L48" s="2432"/>
      <c r="M48" s="2432"/>
      <c r="N48" s="2432"/>
      <c r="O48" s="2432"/>
      <c r="P48" s="2432"/>
      <c r="Q48" s="2432"/>
    </row>
    <row r="49" spans="2:17" s="2425" customFormat="1">
      <c r="B49" s="2432"/>
      <c r="C49" s="2432"/>
      <c r="D49" s="2432"/>
      <c r="E49" s="2432"/>
      <c r="F49" s="2432"/>
      <c r="G49" s="2432"/>
      <c r="H49" s="2432"/>
      <c r="I49" s="2432"/>
      <c r="J49" s="2432"/>
      <c r="K49" s="2432"/>
      <c r="L49" s="2432"/>
      <c r="M49" s="2432"/>
      <c r="N49" s="2432"/>
      <c r="O49" s="2432"/>
      <c r="P49" s="2432"/>
      <c r="Q49" s="2432"/>
    </row>
    <row r="50" spans="2:17" s="2425" customFormat="1">
      <c r="B50" s="2432"/>
      <c r="C50" s="2432"/>
      <c r="D50" s="2432"/>
      <c r="E50" s="2432"/>
      <c r="F50" s="2432"/>
      <c r="G50" s="2432"/>
      <c r="H50" s="2432"/>
      <c r="I50" s="2432"/>
      <c r="J50" s="2432"/>
      <c r="K50" s="2432"/>
      <c r="L50" s="2432"/>
      <c r="M50" s="2432"/>
      <c r="N50" s="2432"/>
      <c r="O50" s="2432"/>
      <c r="P50" s="2432"/>
      <c r="Q50" s="2432"/>
    </row>
    <row r="51" spans="2:17" s="2425" customFormat="1">
      <c r="B51" s="2432"/>
      <c r="C51" s="2432"/>
      <c r="D51" s="2432"/>
      <c r="E51" s="2432"/>
      <c r="F51" s="2432"/>
      <c r="G51" s="2432"/>
      <c r="H51" s="2432"/>
      <c r="I51" s="2432"/>
      <c r="J51" s="2432"/>
      <c r="K51" s="2432"/>
      <c r="L51" s="2432"/>
      <c r="M51" s="2432"/>
      <c r="N51" s="2432"/>
      <c r="O51" s="2432"/>
      <c r="P51" s="2432"/>
      <c r="Q51" s="2432"/>
    </row>
    <row r="52" spans="2:17" s="2425" customFormat="1">
      <c r="B52" s="2432"/>
      <c r="C52" s="2432"/>
      <c r="D52" s="2432"/>
      <c r="E52" s="2432"/>
      <c r="F52" s="2432"/>
      <c r="G52" s="2432"/>
      <c r="H52" s="2432"/>
      <c r="I52" s="2432"/>
      <c r="J52" s="2432"/>
      <c r="K52" s="2432"/>
      <c r="L52" s="2432"/>
      <c r="M52" s="2432"/>
      <c r="N52" s="2432"/>
      <c r="O52" s="2432"/>
      <c r="P52" s="2432"/>
      <c r="Q52" s="2432"/>
    </row>
    <row r="53" spans="2:17" s="2425" customFormat="1">
      <c r="B53" s="2432"/>
      <c r="C53" s="2432"/>
      <c r="D53" s="2432"/>
      <c r="E53" s="2432"/>
      <c r="F53" s="2432"/>
      <c r="G53" s="2432"/>
      <c r="H53" s="2432"/>
      <c r="I53" s="2432"/>
      <c r="J53" s="2432"/>
      <c r="K53" s="2432"/>
      <c r="L53" s="2432"/>
      <c r="M53" s="2432"/>
      <c r="N53" s="2432"/>
      <c r="O53" s="2432"/>
      <c r="P53" s="2432"/>
      <c r="Q53" s="2432"/>
    </row>
    <row r="54" spans="2:17" s="2425" customFormat="1">
      <c r="B54" s="2432"/>
      <c r="C54" s="2432"/>
      <c r="D54" s="2432"/>
      <c r="E54" s="2432"/>
      <c r="F54" s="2432"/>
      <c r="G54" s="2432"/>
      <c r="H54" s="2432"/>
      <c r="I54" s="2432"/>
      <c r="J54" s="2432"/>
      <c r="K54" s="2432"/>
      <c r="L54" s="2432"/>
      <c r="M54" s="2432"/>
      <c r="N54" s="2432"/>
      <c r="O54" s="2432"/>
      <c r="P54" s="2432"/>
      <c r="Q54" s="2432"/>
    </row>
    <row r="55" spans="2:17" s="2425" customFormat="1">
      <c r="B55" s="2432"/>
      <c r="C55" s="2432"/>
      <c r="D55" s="2432"/>
      <c r="E55" s="2432"/>
      <c r="F55" s="2432"/>
      <c r="G55" s="2432"/>
      <c r="H55" s="2432"/>
      <c r="I55" s="2432"/>
      <c r="J55" s="2432"/>
      <c r="K55" s="2432"/>
      <c r="L55" s="2432"/>
      <c r="M55" s="2432"/>
      <c r="N55" s="2432"/>
      <c r="O55" s="2432"/>
      <c r="P55" s="2432"/>
      <c r="Q55" s="2432"/>
    </row>
    <row r="56" spans="2:17" s="2425" customFormat="1">
      <c r="B56" s="2432"/>
      <c r="C56" s="2432"/>
      <c r="D56" s="2432"/>
      <c r="E56" s="2432"/>
      <c r="F56" s="2432"/>
      <c r="G56" s="2432"/>
      <c r="H56" s="2432"/>
      <c r="I56" s="2432"/>
      <c r="J56" s="2432"/>
      <c r="K56" s="2432"/>
      <c r="L56" s="2432"/>
      <c r="M56" s="2432"/>
      <c r="N56" s="2432"/>
      <c r="O56" s="2432"/>
      <c r="P56" s="2432"/>
      <c r="Q56" s="2432"/>
    </row>
    <row r="57" spans="2:17" s="2425" customFormat="1">
      <c r="B57" s="2432"/>
      <c r="C57" s="2432"/>
      <c r="D57" s="2432"/>
      <c r="E57" s="2432"/>
      <c r="F57" s="2432"/>
      <c r="G57" s="2432"/>
      <c r="H57" s="2432"/>
      <c r="I57" s="2432"/>
      <c r="J57" s="2432"/>
      <c r="K57" s="2432"/>
      <c r="L57" s="2432"/>
      <c r="M57" s="2432"/>
      <c r="N57" s="2432"/>
      <c r="O57" s="2432"/>
      <c r="P57" s="2432"/>
      <c r="Q57" s="2432"/>
    </row>
    <row r="58" spans="2:17" s="2425" customFormat="1">
      <c r="B58" s="2432"/>
      <c r="C58" s="2432"/>
      <c r="D58" s="2432"/>
      <c r="E58" s="2432"/>
      <c r="F58" s="2432"/>
      <c r="G58" s="2432"/>
      <c r="H58" s="2432"/>
      <c r="I58" s="2432"/>
      <c r="J58" s="2432"/>
      <c r="K58" s="2432"/>
      <c r="L58" s="2432"/>
      <c r="M58" s="2432"/>
      <c r="N58" s="2432"/>
      <c r="O58" s="2432"/>
      <c r="P58" s="2432"/>
      <c r="Q58" s="2432"/>
    </row>
    <row r="59" spans="2:17" s="2425" customFormat="1">
      <c r="B59" s="2432"/>
      <c r="C59" s="2432"/>
      <c r="D59" s="2432"/>
      <c r="E59" s="2432"/>
      <c r="F59" s="2432"/>
      <c r="G59" s="2432"/>
      <c r="H59" s="2432"/>
      <c r="I59" s="2432"/>
      <c r="J59" s="2432"/>
      <c r="K59" s="2432"/>
      <c r="L59" s="2432"/>
      <c r="M59" s="2432"/>
      <c r="N59" s="2432"/>
      <c r="O59" s="2432"/>
      <c r="P59" s="2432"/>
      <c r="Q59" s="2432"/>
    </row>
    <row r="60" spans="2:17" s="2425" customFormat="1">
      <c r="B60" s="2432"/>
      <c r="C60" s="2432"/>
      <c r="D60" s="2432"/>
      <c r="E60" s="2432"/>
      <c r="F60" s="2432"/>
      <c r="G60" s="2432"/>
      <c r="H60" s="2432"/>
      <c r="I60" s="2432"/>
      <c r="J60" s="2432"/>
      <c r="K60" s="2432"/>
      <c r="L60" s="2432"/>
      <c r="M60" s="2432"/>
      <c r="N60" s="2432"/>
      <c r="O60" s="2432"/>
      <c r="P60" s="2432"/>
      <c r="Q60" s="2432"/>
    </row>
    <row r="61" spans="2:17" s="2425" customFormat="1">
      <c r="B61" s="2432"/>
      <c r="C61" s="2432"/>
      <c r="D61" s="2432"/>
      <c r="E61" s="2432"/>
      <c r="F61" s="2432"/>
      <c r="G61" s="2432"/>
      <c r="H61" s="2432"/>
      <c r="I61" s="2432"/>
      <c r="J61" s="2432"/>
      <c r="K61" s="2432"/>
      <c r="L61" s="2432"/>
      <c r="M61" s="2432"/>
      <c r="N61" s="2432"/>
      <c r="O61" s="2432"/>
      <c r="P61" s="2432"/>
      <c r="Q61" s="2432"/>
    </row>
    <row r="62" spans="2:17" s="2425" customFormat="1">
      <c r="B62" s="2432"/>
      <c r="C62" s="2432"/>
      <c r="D62" s="2432"/>
      <c r="E62" s="2432"/>
      <c r="F62" s="2432"/>
      <c r="G62" s="2432"/>
      <c r="H62" s="2432"/>
      <c r="I62" s="2432"/>
      <c r="J62" s="2432"/>
      <c r="K62" s="2432"/>
      <c r="L62" s="2432"/>
      <c r="M62" s="2432"/>
      <c r="N62" s="2432"/>
      <c r="O62" s="2432"/>
      <c r="P62" s="2432"/>
      <c r="Q62" s="2432"/>
    </row>
    <row r="63" spans="2:17" s="2425" customFormat="1">
      <c r="B63" s="2432"/>
      <c r="C63" s="2432"/>
      <c r="D63" s="2432"/>
      <c r="E63" s="2432"/>
      <c r="F63" s="2432"/>
      <c r="G63" s="2432"/>
      <c r="H63" s="2432"/>
      <c r="I63" s="2432"/>
      <c r="J63" s="2432"/>
      <c r="K63" s="2432"/>
      <c r="L63" s="2432"/>
      <c r="M63" s="2432"/>
      <c r="N63" s="2432"/>
      <c r="O63" s="2432"/>
      <c r="P63" s="2432"/>
      <c r="Q63" s="2432"/>
    </row>
    <row r="64" spans="2:17" s="2425" customFormat="1">
      <c r="B64" s="2432"/>
      <c r="C64" s="2432"/>
      <c r="D64" s="2432"/>
      <c r="E64" s="2432"/>
      <c r="F64" s="2432"/>
      <c r="G64" s="2432"/>
      <c r="H64" s="2432"/>
      <c r="I64" s="2432"/>
      <c r="J64" s="2432"/>
      <c r="K64" s="2432"/>
      <c r="L64" s="2432"/>
      <c r="M64" s="2432"/>
      <c r="N64" s="2432"/>
      <c r="O64" s="2432"/>
      <c r="P64" s="2432"/>
      <c r="Q64" s="2432"/>
    </row>
    <row r="65" spans="2:17" s="2425" customFormat="1">
      <c r="B65" s="2432"/>
      <c r="C65" s="2432"/>
      <c r="D65" s="2432"/>
      <c r="E65" s="2432"/>
      <c r="F65" s="2432"/>
      <c r="G65" s="2432"/>
      <c r="H65" s="2432"/>
      <c r="I65" s="2432"/>
      <c r="J65" s="2432"/>
      <c r="K65" s="2432"/>
      <c r="L65" s="2432"/>
      <c r="M65" s="2432"/>
      <c r="N65" s="2432"/>
      <c r="O65" s="2432"/>
      <c r="P65" s="2432"/>
      <c r="Q65" s="2432"/>
    </row>
    <row r="66" spans="2:17" s="2425" customFormat="1">
      <c r="B66" s="2432"/>
      <c r="C66" s="2432"/>
      <c r="D66" s="2432"/>
      <c r="E66" s="2432"/>
      <c r="F66" s="2432"/>
      <c r="G66" s="2432"/>
      <c r="H66" s="2432"/>
      <c r="I66" s="2432"/>
      <c r="J66" s="2432"/>
      <c r="K66" s="2432"/>
      <c r="L66" s="2432"/>
      <c r="M66" s="2432"/>
      <c r="N66" s="2432"/>
      <c r="O66" s="2432"/>
      <c r="P66" s="2432"/>
      <c r="Q66" s="2432"/>
    </row>
    <row r="67" spans="2:17" s="2425" customFormat="1">
      <c r="B67" s="2432"/>
      <c r="C67" s="2432"/>
      <c r="D67" s="2432"/>
      <c r="E67" s="2432"/>
      <c r="F67" s="2432"/>
      <c r="G67" s="2432"/>
      <c r="H67" s="2432"/>
      <c r="I67" s="2432"/>
      <c r="J67" s="2432"/>
      <c r="K67" s="2432"/>
      <c r="L67" s="2432"/>
      <c r="M67" s="2432"/>
      <c r="N67" s="2432"/>
      <c r="O67" s="2432"/>
      <c r="P67" s="2432"/>
      <c r="Q67" s="2432"/>
    </row>
    <row r="68" spans="2:17" s="2425" customFormat="1">
      <c r="B68" s="2432"/>
      <c r="C68" s="2432"/>
      <c r="D68" s="2432"/>
      <c r="E68" s="2432"/>
      <c r="F68" s="2432"/>
      <c r="G68" s="2432"/>
      <c r="H68" s="2432"/>
      <c r="I68" s="2432"/>
      <c r="J68" s="2432"/>
      <c r="K68" s="2432"/>
      <c r="L68" s="2432"/>
      <c r="M68" s="2432"/>
      <c r="N68" s="2432"/>
      <c r="O68" s="2432"/>
      <c r="P68" s="2432"/>
      <c r="Q68" s="2432"/>
    </row>
    <row r="69" spans="2:17" s="2425" customFormat="1">
      <c r="B69" s="2432"/>
      <c r="C69" s="2432"/>
      <c r="D69" s="2432"/>
      <c r="E69" s="2432"/>
      <c r="F69" s="2432"/>
      <c r="G69" s="2432"/>
      <c r="H69" s="2432"/>
      <c r="I69" s="2432"/>
      <c r="J69" s="2432"/>
      <c r="K69" s="2432"/>
      <c r="L69" s="2432"/>
      <c r="M69" s="2432"/>
      <c r="N69" s="2432"/>
      <c r="O69" s="2432"/>
      <c r="P69" s="2432"/>
      <c r="Q69" s="2432"/>
    </row>
    <row r="70" spans="2:17" s="2425" customFormat="1">
      <c r="B70" s="2432"/>
      <c r="C70" s="2432"/>
      <c r="D70" s="2432"/>
      <c r="E70" s="2432"/>
      <c r="F70" s="2432"/>
      <c r="G70" s="2432"/>
      <c r="H70" s="2432"/>
      <c r="I70" s="2432"/>
      <c r="J70" s="2432"/>
      <c r="K70" s="2432"/>
      <c r="L70" s="2432"/>
      <c r="M70" s="2432"/>
      <c r="N70" s="2432"/>
      <c r="O70" s="2432"/>
      <c r="P70" s="2432"/>
      <c r="Q70" s="2432"/>
    </row>
    <row r="71" spans="2:17" s="2425" customFormat="1">
      <c r="B71" s="2432"/>
      <c r="C71" s="2432"/>
      <c r="D71" s="2432"/>
      <c r="E71" s="2432"/>
      <c r="F71" s="2432"/>
      <c r="G71" s="2432"/>
      <c r="H71" s="2432"/>
      <c r="I71" s="2432"/>
      <c r="J71" s="2432"/>
      <c r="K71" s="2432"/>
      <c r="L71" s="2432"/>
      <c r="M71" s="2432"/>
      <c r="N71" s="2432"/>
      <c r="O71" s="2432"/>
      <c r="P71" s="2432"/>
      <c r="Q71" s="2432"/>
    </row>
    <row r="72" spans="2:17" s="2425" customFormat="1">
      <c r="B72" s="2432"/>
      <c r="C72" s="2432"/>
      <c r="D72" s="2432"/>
      <c r="E72" s="2432"/>
      <c r="F72" s="2432"/>
      <c r="G72" s="2432"/>
      <c r="H72" s="2432"/>
      <c r="I72" s="2432"/>
      <c r="J72" s="2432"/>
      <c r="K72" s="2432"/>
      <c r="L72" s="2432"/>
      <c r="M72" s="2432"/>
      <c r="N72" s="2432"/>
      <c r="O72" s="2432"/>
      <c r="P72" s="2432"/>
      <c r="Q72" s="2432"/>
    </row>
    <row r="73" spans="2:17" s="2425" customFormat="1">
      <c r="B73" s="2432"/>
      <c r="C73" s="2432"/>
      <c r="D73" s="2432"/>
      <c r="E73" s="2432"/>
      <c r="F73" s="2432"/>
      <c r="G73" s="2432"/>
      <c r="H73" s="2432"/>
      <c r="I73" s="2432"/>
      <c r="J73" s="2432"/>
      <c r="K73" s="2432"/>
      <c r="L73" s="2432"/>
      <c r="M73" s="2432"/>
      <c r="N73" s="2432"/>
      <c r="O73" s="2432"/>
      <c r="P73" s="2432"/>
      <c r="Q73" s="2432"/>
    </row>
    <row r="74" spans="2:17" s="2425" customFormat="1">
      <c r="B74" s="2432"/>
      <c r="C74" s="2432"/>
      <c r="D74" s="2432"/>
      <c r="E74" s="2432"/>
      <c r="F74" s="2432"/>
      <c r="G74" s="2432"/>
      <c r="H74" s="2432"/>
      <c r="I74" s="2432"/>
      <c r="J74" s="2432"/>
      <c r="K74" s="2432"/>
      <c r="L74" s="2432"/>
      <c r="M74" s="2432"/>
      <c r="N74" s="2432"/>
      <c r="O74" s="2432"/>
      <c r="P74" s="2432"/>
      <c r="Q74" s="2432"/>
    </row>
    <row r="75" spans="2:17" s="2425" customFormat="1">
      <c r="B75" s="2432"/>
      <c r="C75" s="2432"/>
      <c r="D75" s="2432"/>
      <c r="E75" s="2432"/>
      <c r="F75" s="2432"/>
      <c r="G75" s="2432"/>
      <c r="H75" s="2432"/>
      <c r="I75" s="2432"/>
      <c r="J75" s="2432"/>
      <c r="K75" s="2432"/>
      <c r="L75" s="2432"/>
      <c r="M75" s="2432"/>
      <c r="N75" s="2432"/>
      <c r="O75" s="2432"/>
      <c r="P75" s="2432"/>
      <c r="Q75" s="2432"/>
    </row>
    <row r="76" spans="2:17" s="2425" customFormat="1">
      <c r="B76" s="2432"/>
      <c r="C76" s="2432"/>
      <c r="D76" s="2432"/>
      <c r="E76" s="2432"/>
      <c r="F76" s="2432"/>
      <c r="G76" s="2432"/>
      <c r="H76" s="2432"/>
      <c r="I76" s="2432"/>
      <c r="J76" s="2432"/>
      <c r="K76" s="2432"/>
      <c r="L76" s="2432"/>
      <c r="M76" s="2432"/>
      <c r="N76" s="2432"/>
      <c r="O76" s="2432"/>
      <c r="P76" s="2432"/>
      <c r="Q76" s="2432"/>
    </row>
    <row r="77" spans="2:17" s="2425" customFormat="1">
      <c r="B77" s="2432"/>
      <c r="C77" s="2432"/>
      <c r="D77" s="2432"/>
      <c r="E77" s="2432"/>
      <c r="F77" s="2432"/>
      <c r="G77" s="2432"/>
      <c r="H77" s="2432"/>
      <c r="I77" s="2432"/>
      <c r="J77" s="2432"/>
      <c r="K77" s="2432"/>
      <c r="L77" s="2432"/>
      <c r="M77" s="2432"/>
      <c r="N77" s="2432"/>
      <c r="O77" s="2432"/>
      <c r="P77" s="2432"/>
      <c r="Q77" s="2432"/>
    </row>
    <row r="78" spans="2:17" s="2425" customFormat="1">
      <c r="B78" s="2432"/>
      <c r="C78" s="2432"/>
      <c r="D78" s="2432"/>
      <c r="E78" s="2432"/>
      <c r="F78" s="2432"/>
      <c r="G78" s="2432"/>
      <c r="H78" s="2432"/>
      <c r="I78" s="2432"/>
      <c r="J78" s="2432"/>
      <c r="K78" s="2432"/>
      <c r="L78" s="2432"/>
      <c r="M78" s="2432"/>
      <c r="N78" s="2432"/>
      <c r="O78" s="2432"/>
      <c r="P78" s="2432"/>
      <c r="Q78" s="2432"/>
    </row>
    <row r="79" spans="2:17" s="2425" customFormat="1">
      <c r="B79" s="2432"/>
      <c r="C79" s="2432"/>
      <c r="D79" s="2432"/>
      <c r="E79" s="2432"/>
      <c r="F79" s="2432"/>
      <c r="G79" s="2432"/>
      <c r="H79" s="2432"/>
      <c r="I79" s="2432"/>
      <c r="J79" s="2432"/>
      <c r="K79" s="2432"/>
      <c r="L79" s="2432"/>
      <c r="M79" s="2432"/>
      <c r="N79" s="2432"/>
      <c r="O79" s="2432"/>
      <c r="P79" s="2432"/>
      <c r="Q79" s="2432"/>
    </row>
    <row r="80" spans="2:17" s="2425" customFormat="1">
      <c r="B80" s="2432"/>
      <c r="C80" s="2432"/>
      <c r="D80" s="2432"/>
      <c r="E80" s="2432"/>
      <c r="F80" s="2432"/>
      <c r="G80" s="2432"/>
      <c r="H80" s="2432"/>
      <c r="I80" s="2432"/>
      <c r="J80" s="2432"/>
      <c r="K80" s="2432"/>
      <c r="L80" s="2432"/>
      <c r="M80" s="2432"/>
      <c r="N80" s="2432"/>
      <c r="O80" s="2432"/>
      <c r="P80" s="2432"/>
      <c r="Q80" s="2432"/>
    </row>
    <row r="81" spans="2:17" s="2425" customFormat="1">
      <c r="B81" s="2432"/>
      <c r="C81" s="2432"/>
      <c r="D81" s="2432"/>
      <c r="E81" s="2432"/>
      <c r="F81" s="2432"/>
      <c r="G81" s="2432"/>
      <c r="H81" s="2432"/>
      <c r="I81" s="2432"/>
      <c r="J81" s="2432"/>
      <c r="K81" s="2432"/>
      <c r="L81" s="2432"/>
      <c r="M81" s="2432"/>
      <c r="N81" s="2432"/>
      <c r="O81" s="2432"/>
      <c r="P81" s="2432"/>
      <c r="Q81" s="2432"/>
    </row>
    <row r="82" spans="2:17" s="2425" customFormat="1">
      <c r="B82" s="2432"/>
      <c r="C82" s="2432"/>
      <c r="D82" s="2432"/>
      <c r="E82" s="2432"/>
      <c r="F82" s="2432"/>
      <c r="G82" s="2432"/>
      <c r="H82" s="2432"/>
      <c r="I82" s="2432"/>
      <c r="J82" s="2432"/>
      <c r="K82" s="2432"/>
      <c r="L82" s="2432"/>
      <c r="M82" s="2432"/>
      <c r="N82" s="2432"/>
      <c r="O82" s="2432"/>
      <c r="P82" s="2432"/>
      <c r="Q82" s="2432"/>
    </row>
    <row r="83" spans="2:17" s="2425" customFormat="1">
      <c r="B83" s="2432"/>
      <c r="C83" s="2432"/>
      <c r="D83" s="2432"/>
      <c r="E83" s="2432"/>
      <c r="F83" s="2432"/>
      <c r="G83" s="2432"/>
      <c r="H83" s="2432"/>
      <c r="I83" s="2432"/>
      <c r="J83" s="2432"/>
      <c r="K83" s="2432"/>
      <c r="L83" s="2432"/>
      <c r="M83" s="2432"/>
      <c r="N83" s="2432"/>
      <c r="O83" s="2432"/>
      <c r="P83" s="2432"/>
      <c r="Q83" s="2432"/>
    </row>
    <row r="84" spans="2:17" s="2425" customFormat="1">
      <c r="B84" s="2432"/>
      <c r="C84" s="2432"/>
      <c r="D84" s="2432"/>
      <c r="E84" s="2432"/>
      <c r="F84" s="2432"/>
      <c r="G84" s="2432"/>
      <c r="H84" s="2432"/>
      <c r="I84" s="2432"/>
      <c r="J84" s="2432"/>
      <c r="K84" s="2432"/>
      <c r="L84" s="2432"/>
      <c r="M84" s="2432"/>
      <c r="N84" s="2432"/>
      <c r="O84" s="2432"/>
      <c r="P84" s="2432"/>
      <c r="Q84" s="2432"/>
    </row>
    <row r="85" spans="2:17" s="2425" customFormat="1">
      <c r="B85" s="2432"/>
      <c r="C85" s="2432"/>
      <c r="D85" s="2432"/>
      <c r="E85" s="2432"/>
      <c r="F85" s="2432"/>
      <c r="G85" s="2432"/>
      <c r="H85" s="2432"/>
      <c r="I85" s="2432"/>
      <c r="J85" s="2432"/>
      <c r="K85" s="2432"/>
      <c r="L85" s="2432"/>
      <c r="M85" s="2432"/>
      <c r="N85" s="2432"/>
      <c r="O85" s="2432"/>
      <c r="P85" s="2432"/>
      <c r="Q85" s="2432"/>
    </row>
    <row r="86" spans="2:17" s="2425" customFormat="1">
      <c r="B86" s="2432"/>
      <c r="C86" s="2432"/>
      <c r="D86" s="2432"/>
      <c r="E86" s="2432"/>
      <c r="F86" s="2432"/>
      <c r="G86" s="2432"/>
      <c r="H86" s="2432"/>
      <c r="I86" s="2432"/>
      <c r="J86" s="2432"/>
      <c r="K86" s="2432"/>
      <c r="L86" s="2432"/>
      <c r="M86" s="2432"/>
      <c r="N86" s="2432"/>
      <c r="O86" s="2432"/>
      <c r="P86" s="2432"/>
      <c r="Q86" s="2432"/>
    </row>
    <row r="87" spans="2:17" s="2425" customFormat="1">
      <c r="B87" s="2432"/>
      <c r="C87" s="2432"/>
      <c r="D87" s="2432"/>
      <c r="E87" s="2432"/>
      <c r="F87" s="2432"/>
      <c r="G87" s="2432"/>
      <c r="H87" s="2432"/>
      <c r="I87" s="2432"/>
      <c r="J87" s="2432"/>
      <c r="K87" s="2432"/>
      <c r="L87" s="2432"/>
      <c r="M87" s="2432"/>
      <c r="N87" s="2432"/>
      <c r="O87" s="2432"/>
      <c r="P87" s="2432"/>
      <c r="Q87" s="2432"/>
    </row>
    <row r="88" spans="2:17" s="2425" customFormat="1">
      <c r="B88" s="2432"/>
      <c r="C88" s="2432"/>
      <c r="D88" s="2432"/>
      <c r="E88" s="2432"/>
      <c r="F88" s="2432"/>
      <c r="G88" s="2432"/>
      <c r="H88" s="2432"/>
      <c r="I88" s="2432"/>
      <c r="J88" s="2432"/>
      <c r="K88" s="2432"/>
      <c r="L88" s="2432"/>
      <c r="M88" s="2432"/>
      <c r="N88" s="2432"/>
      <c r="O88" s="2432"/>
      <c r="P88" s="2432"/>
      <c r="Q88" s="2432"/>
    </row>
    <row r="89" spans="2:17" s="2425" customFormat="1">
      <c r="B89" s="2432"/>
      <c r="C89" s="2432"/>
      <c r="D89" s="2432"/>
      <c r="E89" s="2432"/>
      <c r="F89" s="2432"/>
      <c r="G89" s="2432"/>
      <c r="H89" s="2432"/>
      <c r="I89" s="2432"/>
      <c r="J89" s="2432"/>
      <c r="K89" s="2432"/>
      <c r="L89" s="2432"/>
      <c r="M89" s="2432"/>
      <c r="N89" s="2432"/>
      <c r="O89" s="2432"/>
      <c r="P89" s="2432"/>
      <c r="Q89" s="2432"/>
    </row>
    <row r="90" spans="2:17" s="2425" customFormat="1">
      <c r="B90" s="2432"/>
      <c r="C90" s="2432"/>
      <c r="D90" s="2432"/>
      <c r="E90" s="2432"/>
      <c r="F90" s="2432"/>
      <c r="G90" s="2432"/>
      <c r="H90" s="2432"/>
      <c r="I90" s="2432"/>
      <c r="J90" s="2432"/>
      <c r="K90" s="2432"/>
      <c r="L90" s="2432"/>
      <c r="M90" s="2432"/>
      <c r="N90" s="2432"/>
      <c r="O90" s="2432"/>
      <c r="P90" s="2432"/>
      <c r="Q90" s="2432"/>
    </row>
    <row r="91" spans="2:17" s="2425" customFormat="1">
      <c r="B91" s="2432"/>
      <c r="C91" s="2432"/>
      <c r="D91" s="2432"/>
      <c r="E91" s="2432"/>
      <c r="F91" s="2432"/>
      <c r="G91" s="2432"/>
      <c r="H91" s="2432"/>
      <c r="I91" s="2432"/>
      <c r="J91" s="2432"/>
      <c r="K91" s="2432"/>
      <c r="L91" s="2432"/>
      <c r="M91" s="2432"/>
      <c r="N91" s="2432"/>
      <c r="O91" s="2432"/>
      <c r="P91" s="2432"/>
      <c r="Q91" s="2432"/>
    </row>
    <row r="92" spans="2:17" s="2425" customFormat="1">
      <c r="B92" s="2432"/>
      <c r="C92" s="2432"/>
      <c r="D92" s="2432"/>
      <c r="E92" s="2432"/>
      <c r="F92" s="2432"/>
      <c r="G92" s="2432"/>
      <c r="H92" s="2432"/>
      <c r="I92" s="2432"/>
      <c r="J92" s="2432"/>
      <c r="K92" s="2432"/>
      <c r="L92" s="2432"/>
      <c r="M92" s="2432"/>
      <c r="N92" s="2432"/>
      <c r="O92" s="2432"/>
      <c r="P92" s="2432"/>
      <c r="Q92" s="2432"/>
    </row>
    <row r="93" spans="2:17" s="2425" customFormat="1">
      <c r="B93" s="2432"/>
      <c r="C93" s="2432"/>
      <c r="D93" s="2432"/>
      <c r="E93" s="2432"/>
      <c r="F93" s="2432"/>
      <c r="G93" s="2432"/>
      <c r="H93" s="2432"/>
      <c r="I93" s="2432"/>
      <c r="J93" s="2432"/>
      <c r="K93" s="2432"/>
      <c r="L93" s="2432"/>
      <c r="M93" s="2432"/>
      <c r="N93" s="2432"/>
      <c r="O93" s="2432"/>
      <c r="P93" s="2432"/>
      <c r="Q93" s="2432"/>
    </row>
    <row r="94" spans="2:17" s="2425" customFormat="1">
      <c r="B94" s="2432"/>
      <c r="C94" s="2432"/>
      <c r="D94" s="2432"/>
      <c r="E94" s="2432"/>
      <c r="F94" s="2432"/>
      <c r="G94" s="2432"/>
      <c r="H94" s="2432"/>
      <c r="I94" s="2432"/>
      <c r="J94" s="2432"/>
      <c r="K94" s="2432"/>
      <c r="L94" s="2432"/>
      <c r="M94" s="2432"/>
      <c r="N94" s="2432"/>
      <c r="O94" s="2432"/>
      <c r="P94" s="2432"/>
      <c r="Q94" s="2432"/>
    </row>
    <row r="95" spans="2:17" s="2425" customFormat="1">
      <c r="B95" s="2432"/>
      <c r="C95" s="2432"/>
      <c r="D95" s="2432"/>
      <c r="E95" s="2432"/>
      <c r="F95" s="2432"/>
      <c r="G95" s="2432"/>
      <c r="H95" s="2432"/>
      <c r="I95" s="2432"/>
      <c r="J95" s="2432"/>
      <c r="K95" s="2432"/>
      <c r="L95" s="2432"/>
      <c r="M95" s="2432"/>
      <c r="N95" s="2432"/>
      <c r="O95" s="2432"/>
      <c r="P95" s="2432"/>
      <c r="Q95" s="2432"/>
    </row>
    <row r="96" spans="2:17" s="2425" customFormat="1">
      <c r="B96" s="2432"/>
      <c r="C96" s="2432"/>
      <c r="D96" s="2432"/>
      <c r="E96" s="2432"/>
      <c r="F96" s="2432"/>
      <c r="G96" s="2432"/>
      <c r="H96" s="2432"/>
      <c r="I96" s="2432"/>
      <c r="J96" s="2432"/>
      <c r="K96" s="2432"/>
      <c r="L96" s="2432"/>
      <c r="M96" s="2432"/>
      <c r="N96" s="2432"/>
      <c r="O96" s="2432"/>
      <c r="P96" s="2432"/>
      <c r="Q96" s="2432"/>
    </row>
    <row r="97" spans="2:17" s="2425" customFormat="1">
      <c r="B97" s="2432"/>
      <c r="C97" s="2432"/>
      <c r="D97" s="2432"/>
      <c r="E97" s="2432"/>
      <c r="F97" s="2432"/>
      <c r="G97" s="2432"/>
      <c r="H97" s="2432"/>
      <c r="I97" s="2432"/>
      <c r="J97" s="2432"/>
      <c r="K97" s="2432"/>
      <c r="L97" s="2432"/>
      <c r="M97" s="2432"/>
      <c r="N97" s="2432"/>
      <c r="O97" s="2432"/>
      <c r="P97" s="2432"/>
      <c r="Q97" s="2432"/>
    </row>
    <row r="98" spans="2:17" s="2425" customFormat="1">
      <c r="B98" s="2432"/>
      <c r="C98" s="2432"/>
      <c r="D98" s="2432"/>
      <c r="E98" s="2432"/>
      <c r="F98" s="2432"/>
      <c r="G98" s="2432"/>
      <c r="H98" s="2432"/>
      <c r="I98" s="2432"/>
      <c r="J98" s="2432"/>
      <c r="K98" s="2432"/>
      <c r="L98" s="2432"/>
      <c r="M98" s="2432"/>
      <c r="N98" s="2432"/>
      <c r="O98" s="2432"/>
      <c r="P98" s="2432"/>
      <c r="Q98" s="2432"/>
    </row>
    <row r="99" spans="2:17" s="2425" customFormat="1">
      <c r="B99" s="2432"/>
      <c r="C99" s="2432"/>
      <c r="D99" s="2432"/>
      <c r="E99" s="2432"/>
      <c r="F99" s="2432"/>
      <c r="G99" s="2432"/>
      <c r="H99" s="2432"/>
      <c r="I99" s="2432"/>
      <c r="J99" s="2432"/>
      <c r="K99" s="2432"/>
      <c r="L99" s="2432"/>
      <c r="M99" s="2432"/>
      <c r="N99" s="2432"/>
      <c r="O99" s="2432"/>
      <c r="P99" s="2432"/>
      <c r="Q99" s="2432"/>
    </row>
    <row r="100" spans="2:17" s="2425" customFormat="1">
      <c r="B100" s="2432"/>
      <c r="C100" s="2432"/>
      <c r="D100" s="2432"/>
      <c r="E100" s="2432"/>
      <c r="F100" s="2432"/>
      <c r="G100" s="2432"/>
      <c r="H100" s="2432"/>
      <c r="I100" s="2432"/>
      <c r="J100" s="2432"/>
      <c r="K100" s="2432"/>
      <c r="L100" s="2432"/>
      <c r="M100" s="2432"/>
      <c r="N100" s="2432"/>
      <c r="O100" s="2432"/>
      <c r="P100" s="2432"/>
      <c r="Q100" s="2432"/>
    </row>
    <row r="101" spans="2:17" s="2425" customFormat="1">
      <c r="B101" s="2432"/>
      <c r="C101" s="2432"/>
      <c r="D101" s="2432"/>
      <c r="E101" s="2432"/>
      <c r="F101" s="2432"/>
      <c r="G101" s="2432"/>
      <c r="H101" s="2432"/>
      <c r="I101" s="2432"/>
      <c r="J101" s="2432"/>
      <c r="K101" s="2432"/>
      <c r="L101" s="2432"/>
      <c r="M101" s="2432"/>
      <c r="N101" s="2432"/>
      <c r="O101" s="2432"/>
      <c r="P101" s="2432"/>
      <c r="Q101" s="2432"/>
    </row>
    <row r="102" spans="2:17" s="2425" customFormat="1">
      <c r="B102" s="2432"/>
      <c r="C102" s="2432"/>
      <c r="D102" s="2432"/>
      <c r="E102" s="2432"/>
      <c r="F102" s="2432"/>
      <c r="G102" s="2432"/>
      <c r="H102" s="2432"/>
      <c r="I102" s="2432"/>
      <c r="J102" s="2432"/>
      <c r="K102" s="2432"/>
      <c r="L102" s="2432"/>
      <c r="M102" s="2432"/>
      <c r="N102" s="2432"/>
      <c r="O102" s="2432"/>
      <c r="P102" s="2432"/>
      <c r="Q102" s="2432"/>
    </row>
    <row r="103" spans="2:17" s="2425" customFormat="1">
      <c r="B103" s="2432"/>
      <c r="C103" s="2432"/>
      <c r="D103" s="2432"/>
      <c r="E103" s="2432"/>
      <c r="F103" s="2432"/>
      <c r="G103" s="2432"/>
      <c r="H103" s="2432"/>
      <c r="I103" s="2432"/>
      <c r="J103" s="2432"/>
      <c r="K103" s="2432"/>
      <c r="L103" s="2432"/>
      <c r="M103" s="2432"/>
      <c r="N103" s="2432"/>
      <c r="O103" s="2432"/>
      <c r="P103" s="2432"/>
      <c r="Q103" s="2432"/>
    </row>
    <row r="104" spans="2:17" s="2425" customFormat="1">
      <c r="B104" s="2432"/>
      <c r="C104" s="2432"/>
      <c r="D104" s="2432"/>
      <c r="E104" s="2432"/>
      <c r="F104" s="2432"/>
      <c r="G104" s="2432"/>
      <c r="H104" s="2432"/>
      <c r="I104" s="2432"/>
      <c r="J104" s="2432"/>
      <c r="K104" s="2432"/>
      <c r="L104" s="2432"/>
      <c r="M104" s="2432"/>
      <c r="N104" s="2432"/>
      <c r="O104" s="2432"/>
      <c r="P104" s="2432"/>
      <c r="Q104" s="2432"/>
    </row>
    <row r="105" spans="2:17" s="2425" customFormat="1">
      <c r="B105" s="2432"/>
      <c r="C105" s="2432"/>
      <c r="D105" s="2432"/>
      <c r="E105" s="2432"/>
      <c r="F105" s="2432"/>
      <c r="G105" s="2432"/>
      <c r="H105" s="2432"/>
      <c r="I105" s="2432"/>
      <c r="J105" s="2432"/>
      <c r="K105" s="2432"/>
      <c r="L105" s="2432"/>
      <c r="M105" s="2432"/>
      <c r="N105" s="2432"/>
      <c r="O105" s="2432"/>
      <c r="P105" s="2432"/>
      <c r="Q105" s="2432"/>
    </row>
    <row r="106" spans="2:17" s="2425" customFormat="1">
      <c r="B106" s="2432"/>
      <c r="C106" s="2432"/>
      <c r="D106" s="2432"/>
      <c r="E106" s="2432"/>
      <c r="F106" s="2432"/>
      <c r="G106" s="2432"/>
      <c r="H106" s="2432"/>
      <c r="I106" s="2432"/>
      <c r="J106" s="2432"/>
      <c r="K106" s="2432"/>
      <c r="L106" s="2432"/>
      <c r="M106" s="2432"/>
      <c r="N106" s="2432"/>
      <c r="O106" s="2432"/>
      <c r="P106" s="2432"/>
      <c r="Q106" s="2432"/>
    </row>
    <row r="107" spans="2:17" s="2425" customFormat="1">
      <c r="B107" s="2432"/>
      <c r="C107" s="2432"/>
      <c r="D107" s="2432"/>
      <c r="E107" s="2432"/>
      <c r="F107" s="2432"/>
      <c r="G107" s="2432"/>
      <c r="H107" s="2432"/>
      <c r="I107" s="2432"/>
      <c r="J107" s="2432"/>
      <c r="K107" s="2432"/>
      <c r="L107" s="2432"/>
      <c r="M107" s="2432"/>
      <c r="N107" s="2432"/>
      <c r="O107" s="2432"/>
      <c r="P107" s="2432"/>
      <c r="Q107" s="2432"/>
    </row>
    <row r="108" spans="2:17" s="2425" customFormat="1">
      <c r="B108" s="2432"/>
      <c r="C108" s="2432"/>
      <c r="D108" s="2432"/>
      <c r="E108" s="2432"/>
      <c r="F108" s="2432"/>
      <c r="G108" s="2432"/>
      <c r="H108" s="2432"/>
      <c r="I108" s="2432"/>
      <c r="J108" s="2432"/>
      <c r="K108" s="2432"/>
      <c r="L108" s="2432"/>
      <c r="M108" s="2432"/>
      <c r="N108" s="2432"/>
      <c r="O108" s="2432"/>
      <c r="P108" s="2432"/>
      <c r="Q108" s="2432"/>
    </row>
    <row r="109" spans="2:17" s="2425" customFormat="1">
      <c r="B109" s="2432"/>
      <c r="C109" s="2432"/>
      <c r="D109" s="2432"/>
      <c r="E109" s="2432"/>
      <c r="F109" s="2432"/>
      <c r="G109" s="2432"/>
      <c r="H109" s="2432"/>
      <c r="I109" s="2432"/>
      <c r="J109" s="2432"/>
      <c r="K109" s="2432"/>
      <c r="L109" s="2432"/>
      <c r="M109" s="2432"/>
      <c r="N109" s="2432"/>
      <c r="O109" s="2432"/>
      <c r="P109" s="2432"/>
      <c r="Q109" s="2432"/>
    </row>
    <row r="110" spans="2:17" s="2425" customFormat="1">
      <c r="B110" s="2432"/>
      <c r="C110" s="2432"/>
      <c r="D110" s="2432"/>
      <c r="E110" s="2432"/>
      <c r="F110" s="2432"/>
      <c r="G110" s="2432"/>
      <c r="H110" s="2432"/>
      <c r="I110" s="2432"/>
      <c r="J110" s="2432"/>
      <c r="K110" s="2432"/>
      <c r="L110" s="2432"/>
      <c r="M110" s="2432"/>
      <c r="N110" s="2432"/>
      <c r="O110" s="2432"/>
      <c r="P110" s="2432"/>
      <c r="Q110" s="2432"/>
    </row>
    <row r="111" spans="2:17" s="2425" customFormat="1">
      <c r="B111" s="2432"/>
      <c r="C111" s="2432"/>
      <c r="D111" s="2432"/>
      <c r="E111" s="2432"/>
      <c r="F111" s="2432"/>
      <c r="G111" s="2432"/>
      <c r="H111" s="2432"/>
      <c r="I111" s="2432"/>
      <c r="J111" s="2432"/>
      <c r="K111" s="2432"/>
      <c r="L111" s="2432"/>
      <c r="M111" s="2432"/>
      <c r="N111" s="2432"/>
      <c r="O111" s="2432"/>
      <c r="P111" s="2432"/>
      <c r="Q111" s="2432"/>
    </row>
    <row r="112" spans="2:17" s="2425" customFormat="1">
      <c r="B112" s="2432"/>
      <c r="C112" s="2432"/>
      <c r="D112" s="2432"/>
      <c r="E112" s="2432"/>
      <c r="F112" s="2432"/>
      <c r="G112" s="2432"/>
      <c r="H112" s="2432"/>
      <c r="I112" s="2432"/>
      <c r="J112" s="2432"/>
      <c r="K112" s="2432"/>
      <c r="L112" s="2432"/>
      <c r="M112" s="2432"/>
      <c r="N112" s="2432"/>
      <c r="O112" s="2432"/>
      <c r="P112" s="2432"/>
      <c r="Q112" s="2432"/>
    </row>
    <row r="113" spans="2:17" s="2425" customFormat="1">
      <c r="B113" s="2432"/>
      <c r="C113" s="2432"/>
      <c r="D113" s="2432"/>
      <c r="E113" s="2432"/>
      <c r="F113" s="2432"/>
      <c r="G113" s="2432"/>
      <c r="H113" s="2432"/>
      <c r="I113" s="2432"/>
      <c r="J113" s="2432"/>
      <c r="K113" s="2432"/>
      <c r="L113" s="2432"/>
      <c r="M113" s="2432"/>
      <c r="N113" s="2432"/>
      <c r="O113" s="2432"/>
      <c r="P113" s="2432"/>
      <c r="Q113" s="2432"/>
    </row>
    <row r="114" spans="2:17" s="2425" customFormat="1">
      <c r="B114" s="2432"/>
      <c r="C114" s="2432"/>
      <c r="D114" s="2432"/>
      <c r="E114" s="2432"/>
      <c r="F114" s="2432"/>
      <c r="G114" s="2432"/>
      <c r="H114" s="2432"/>
      <c r="I114" s="2432"/>
      <c r="J114" s="2432"/>
      <c r="K114" s="2432"/>
      <c r="L114" s="2432"/>
      <c r="M114" s="2432"/>
      <c r="N114" s="2432"/>
      <c r="O114" s="2432"/>
      <c r="P114" s="2432"/>
      <c r="Q114" s="2432"/>
    </row>
    <row r="115" spans="2:17" s="2425" customFormat="1">
      <c r="B115" s="2432"/>
      <c r="C115" s="2432"/>
      <c r="D115" s="2432"/>
      <c r="E115" s="2432"/>
      <c r="F115" s="2432"/>
      <c r="G115" s="2432"/>
      <c r="H115" s="2432"/>
      <c r="I115" s="2432"/>
      <c r="J115" s="2432"/>
      <c r="K115" s="2432"/>
      <c r="L115" s="2432"/>
      <c r="M115" s="2432"/>
      <c r="N115" s="2432"/>
      <c r="O115" s="2432"/>
      <c r="P115" s="2432"/>
      <c r="Q115" s="2432"/>
    </row>
    <row r="116" spans="2:17" s="2425" customFormat="1">
      <c r="B116" s="2432"/>
      <c r="C116" s="2432"/>
      <c r="D116" s="2432"/>
      <c r="E116" s="2432"/>
      <c r="F116" s="2432"/>
      <c r="G116" s="2432"/>
      <c r="H116" s="2432"/>
      <c r="I116" s="2432"/>
      <c r="J116" s="2432"/>
      <c r="K116" s="2432"/>
      <c r="L116" s="2432"/>
      <c r="M116" s="2432"/>
      <c r="N116" s="2432"/>
      <c r="O116" s="2432"/>
      <c r="P116" s="2432"/>
      <c r="Q116" s="2432"/>
    </row>
    <row r="117" spans="2:17" s="2425" customFormat="1">
      <c r="B117" s="2432"/>
      <c r="C117" s="2432"/>
      <c r="D117" s="2432"/>
      <c r="E117" s="2432"/>
      <c r="F117" s="2432"/>
      <c r="G117" s="2432"/>
      <c r="H117" s="2432"/>
      <c r="I117" s="2432"/>
      <c r="J117" s="2432"/>
      <c r="K117" s="2432"/>
      <c r="L117" s="2432"/>
      <c r="M117" s="2432"/>
      <c r="N117" s="2432"/>
      <c r="O117" s="2432"/>
      <c r="P117" s="2432"/>
      <c r="Q117" s="2432"/>
    </row>
    <row r="118" spans="2:17" s="2425" customFormat="1">
      <c r="B118" s="2432"/>
      <c r="C118" s="2432"/>
      <c r="D118" s="2432"/>
      <c r="E118" s="2432"/>
      <c r="F118" s="2432"/>
      <c r="G118" s="2432"/>
      <c r="H118" s="2432"/>
      <c r="I118" s="2432"/>
      <c r="J118" s="2432"/>
      <c r="K118" s="2432"/>
      <c r="L118" s="2432"/>
      <c r="M118" s="2432"/>
      <c r="N118" s="2432"/>
      <c r="O118" s="2432"/>
      <c r="P118" s="2432"/>
      <c r="Q118" s="2432"/>
    </row>
    <row r="119" spans="2:17" s="2425" customFormat="1">
      <c r="B119" s="2432"/>
      <c r="C119" s="2432"/>
      <c r="D119" s="2432"/>
      <c r="E119" s="2432"/>
      <c r="F119" s="2432"/>
      <c r="G119" s="2432"/>
      <c r="H119" s="2432"/>
      <c r="I119" s="2432"/>
      <c r="J119" s="2432"/>
      <c r="K119" s="2432"/>
      <c r="L119" s="2432"/>
      <c r="M119" s="2432"/>
      <c r="N119" s="2432"/>
      <c r="O119" s="2432"/>
      <c r="P119" s="2432"/>
      <c r="Q119" s="2432"/>
    </row>
    <row r="120" spans="2:17" s="2425" customFormat="1">
      <c r="B120" s="2432"/>
      <c r="C120" s="2432"/>
      <c r="D120" s="2432"/>
      <c r="E120" s="2432"/>
      <c r="F120" s="2432"/>
      <c r="G120" s="2432"/>
      <c r="H120" s="2432"/>
      <c r="I120" s="2432"/>
      <c r="J120" s="2432"/>
      <c r="K120" s="2432"/>
      <c r="L120" s="2432"/>
      <c r="M120" s="2432"/>
      <c r="N120" s="2432"/>
      <c r="O120" s="2432"/>
      <c r="P120" s="2432"/>
      <c r="Q120" s="2432"/>
    </row>
    <row r="121" spans="2:17" s="2425" customFormat="1">
      <c r="B121" s="2432"/>
      <c r="C121" s="2432"/>
      <c r="D121" s="2432"/>
      <c r="E121" s="2432"/>
      <c r="F121" s="2432"/>
      <c r="G121" s="2432"/>
      <c r="H121" s="2432"/>
      <c r="I121" s="2432"/>
      <c r="J121" s="2432"/>
      <c r="K121" s="2432"/>
      <c r="L121" s="2432"/>
      <c r="M121" s="2432"/>
      <c r="N121" s="2432"/>
      <c r="O121" s="2432"/>
      <c r="P121" s="2432"/>
      <c r="Q121" s="2432"/>
    </row>
    <row r="122" spans="2:17" s="2425" customFormat="1">
      <c r="B122" s="2432"/>
      <c r="C122" s="2432"/>
      <c r="D122" s="2432"/>
      <c r="E122" s="2432"/>
      <c r="F122" s="2432"/>
      <c r="G122" s="2432"/>
      <c r="H122" s="2432"/>
      <c r="I122" s="2432"/>
      <c r="J122" s="2432"/>
      <c r="K122" s="2432"/>
      <c r="L122" s="2432"/>
      <c r="M122" s="2432"/>
      <c r="N122" s="2432"/>
      <c r="O122" s="2432"/>
      <c r="P122" s="2432"/>
      <c r="Q122" s="2432"/>
    </row>
    <row r="123" spans="2:17" s="2425" customFormat="1">
      <c r="B123" s="2432"/>
      <c r="C123" s="2432"/>
      <c r="D123" s="2432"/>
      <c r="E123" s="2432"/>
      <c r="F123" s="2432"/>
      <c r="G123" s="2432"/>
      <c r="H123" s="2432"/>
      <c r="I123" s="2432"/>
      <c r="J123" s="2432"/>
      <c r="K123" s="2432"/>
      <c r="L123" s="2432"/>
      <c r="M123" s="2432"/>
      <c r="N123" s="2432"/>
      <c r="O123" s="2432"/>
      <c r="P123" s="2432"/>
      <c r="Q123" s="2432"/>
    </row>
    <row r="124" spans="2:17" s="2425" customFormat="1">
      <c r="B124" s="2432"/>
      <c r="C124" s="2432"/>
      <c r="D124" s="2432"/>
      <c r="E124" s="2432"/>
      <c r="F124" s="2432"/>
      <c r="G124" s="2432"/>
      <c r="H124" s="2432"/>
      <c r="I124" s="2432"/>
      <c r="J124" s="2432"/>
      <c r="K124" s="2432"/>
      <c r="L124" s="2432"/>
      <c r="M124" s="2432"/>
      <c r="N124" s="2432"/>
      <c r="O124" s="2432"/>
      <c r="P124" s="2432"/>
      <c r="Q124" s="2432"/>
    </row>
    <row r="125" spans="2:17" s="2425" customFormat="1">
      <c r="B125" s="2432"/>
      <c r="C125" s="2432"/>
      <c r="D125" s="2432"/>
      <c r="E125" s="2432"/>
      <c r="F125" s="2432"/>
      <c r="G125" s="2432"/>
      <c r="H125" s="2432"/>
      <c r="I125" s="2432"/>
      <c r="J125" s="2432"/>
      <c r="K125" s="2432"/>
      <c r="L125" s="2432"/>
      <c r="M125" s="2432"/>
      <c r="N125" s="2432"/>
      <c r="O125" s="2432"/>
      <c r="P125" s="2432"/>
      <c r="Q125" s="2432"/>
    </row>
    <row r="126" spans="2:17" s="2425" customFormat="1">
      <c r="B126" s="2432"/>
      <c r="C126" s="2432"/>
      <c r="D126" s="2432"/>
      <c r="E126" s="2432"/>
      <c r="F126" s="2432"/>
      <c r="G126" s="2432"/>
      <c r="H126" s="2432"/>
      <c r="I126" s="2432"/>
      <c r="J126" s="2432"/>
      <c r="K126" s="2432"/>
      <c r="L126" s="2432"/>
      <c r="M126" s="2432"/>
      <c r="N126" s="2432"/>
      <c r="O126" s="2432"/>
      <c r="P126" s="2432"/>
      <c r="Q126" s="2432"/>
    </row>
    <row r="127" spans="2:17" s="2425" customFormat="1">
      <c r="B127" s="2432"/>
      <c r="C127" s="2432"/>
      <c r="D127" s="2432"/>
      <c r="E127" s="2432"/>
      <c r="F127" s="2432"/>
      <c r="G127" s="2432"/>
      <c r="H127" s="2432"/>
      <c r="I127" s="2432"/>
      <c r="J127" s="2432"/>
      <c r="K127" s="2432"/>
      <c r="L127" s="2432"/>
      <c r="M127" s="2432"/>
      <c r="N127" s="2432"/>
      <c r="O127" s="2432"/>
      <c r="P127" s="2432"/>
      <c r="Q127" s="2432"/>
    </row>
    <row r="128" spans="2:17" s="2425" customFormat="1">
      <c r="B128" s="2432"/>
      <c r="C128" s="2432"/>
      <c r="D128" s="2432"/>
      <c r="E128" s="2432"/>
      <c r="F128" s="2432"/>
      <c r="G128" s="2432"/>
      <c r="H128" s="2432"/>
      <c r="I128" s="2432"/>
      <c r="J128" s="2432"/>
      <c r="K128" s="2432"/>
      <c r="L128" s="2432"/>
      <c r="M128" s="2432"/>
      <c r="N128" s="2432"/>
      <c r="O128" s="2432"/>
      <c r="P128" s="2432"/>
      <c r="Q128" s="2432"/>
    </row>
    <row r="129" spans="2:17" s="2425" customFormat="1">
      <c r="B129" s="2432"/>
      <c r="C129" s="2432"/>
      <c r="D129" s="2432"/>
      <c r="E129" s="2432"/>
      <c r="F129" s="2432"/>
      <c r="G129" s="2432"/>
      <c r="H129" s="2432"/>
      <c r="I129" s="2432"/>
      <c r="J129" s="2432"/>
      <c r="K129" s="2432"/>
      <c r="L129" s="2432"/>
      <c r="M129" s="2432"/>
      <c r="N129" s="2432"/>
      <c r="O129" s="2432"/>
      <c r="P129" s="2432"/>
      <c r="Q129" s="2432"/>
    </row>
    <row r="130" spans="2:17" s="2425" customFormat="1">
      <c r="B130" s="2432"/>
      <c r="C130" s="2432"/>
      <c r="D130" s="2432"/>
      <c r="E130" s="2432"/>
      <c r="F130" s="2432"/>
      <c r="G130" s="2432"/>
      <c r="H130" s="2432"/>
      <c r="I130" s="2432"/>
      <c r="J130" s="2432"/>
      <c r="K130" s="2432"/>
      <c r="L130" s="2432"/>
      <c r="M130" s="2432"/>
      <c r="N130" s="2432"/>
      <c r="O130" s="2432"/>
      <c r="P130" s="2432"/>
      <c r="Q130" s="2432"/>
    </row>
    <row r="131" spans="2:17" s="2425" customFormat="1">
      <c r="B131" s="2432"/>
      <c r="C131" s="2432"/>
      <c r="D131" s="2432"/>
      <c r="E131" s="2432"/>
      <c r="F131" s="2432"/>
      <c r="G131" s="2432"/>
      <c r="H131" s="2432"/>
      <c r="I131" s="2432"/>
      <c r="J131" s="2432"/>
      <c r="K131" s="2432"/>
      <c r="L131" s="2432"/>
      <c r="M131" s="2432"/>
      <c r="N131" s="2432"/>
      <c r="O131" s="2432"/>
      <c r="P131" s="2432"/>
      <c r="Q131" s="2432"/>
    </row>
    <row r="132" spans="2:17" s="2425" customFormat="1">
      <c r="B132" s="2432"/>
      <c r="C132" s="2432"/>
      <c r="D132" s="2432"/>
      <c r="E132" s="2432"/>
      <c r="F132" s="2432"/>
      <c r="G132" s="2432"/>
      <c r="H132" s="2432"/>
      <c r="I132" s="2432"/>
      <c r="J132" s="2432"/>
      <c r="K132" s="2432"/>
      <c r="L132" s="2432"/>
      <c r="M132" s="2432"/>
      <c r="N132" s="2432"/>
      <c r="O132" s="2432"/>
      <c r="P132" s="2432"/>
      <c r="Q132" s="2432"/>
    </row>
    <row r="133" spans="2:17" s="2425" customFormat="1">
      <c r="B133" s="2432"/>
      <c r="C133" s="2432"/>
      <c r="D133" s="2432"/>
      <c r="E133" s="2432"/>
      <c r="F133" s="2432"/>
      <c r="G133" s="2432"/>
      <c r="H133" s="2432"/>
      <c r="I133" s="2432"/>
      <c r="J133" s="2432"/>
      <c r="K133" s="2432"/>
      <c r="L133" s="2432"/>
      <c r="M133" s="2432"/>
      <c r="N133" s="2432"/>
      <c r="O133" s="2432"/>
      <c r="P133" s="2432"/>
      <c r="Q133" s="2432"/>
    </row>
    <row r="134" spans="2:17" s="2425" customFormat="1">
      <c r="B134" s="2432"/>
      <c r="C134" s="2432"/>
      <c r="D134" s="2432"/>
      <c r="E134" s="2432"/>
      <c r="F134" s="2432"/>
      <c r="G134" s="2432"/>
      <c r="H134" s="2432"/>
      <c r="I134" s="2432"/>
      <c r="J134" s="2432"/>
      <c r="K134" s="2432"/>
      <c r="L134" s="2432"/>
      <c r="M134" s="2432"/>
      <c r="N134" s="2432"/>
      <c r="O134" s="2432"/>
      <c r="P134" s="2432"/>
      <c r="Q134" s="2432"/>
    </row>
    <row r="135" spans="2:17" s="2425" customFormat="1">
      <c r="B135" s="2432"/>
      <c r="C135" s="2432"/>
      <c r="D135" s="2432"/>
      <c r="E135" s="2432"/>
      <c r="F135" s="2432"/>
      <c r="G135" s="2432"/>
      <c r="H135" s="2432"/>
      <c r="I135" s="2432"/>
      <c r="J135" s="2432"/>
      <c r="K135" s="2432"/>
      <c r="L135" s="2432"/>
      <c r="M135" s="2432"/>
      <c r="N135" s="2432"/>
      <c r="O135" s="2432"/>
      <c r="P135" s="2432"/>
      <c r="Q135" s="2432"/>
    </row>
    <row r="136" spans="2:17" s="2425" customFormat="1">
      <c r="B136" s="2432"/>
      <c r="C136" s="2432"/>
      <c r="D136" s="2432"/>
      <c r="E136" s="2432"/>
      <c r="F136" s="2432"/>
      <c r="G136" s="2432"/>
      <c r="H136" s="2432"/>
      <c r="I136" s="2432"/>
      <c r="J136" s="2432"/>
      <c r="K136" s="2432"/>
      <c r="L136" s="2432"/>
      <c r="M136" s="2432"/>
      <c r="N136" s="2432"/>
      <c r="O136" s="2432"/>
      <c r="P136" s="2432"/>
      <c r="Q136" s="2432"/>
    </row>
    <row r="137" spans="2:17" s="2425" customFormat="1">
      <c r="B137" s="2432"/>
      <c r="C137" s="2432"/>
      <c r="D137" s="2432"/>
      <c r="E137" s="2432"/>
      <c r="F137" s="2432"/>
      <c r="G137" s="2432"/>
      <c r="H137" s="2432"/>
      <c r="I137" s="2432"/>
      <c r="J137" s="2432"/>
      <c r="K137" s="2432"/>
      <c r="L137" s="2432"/>
      <c r="M137" s="2432"/>
      <c r="N137" s="2432"/>
      <c r="O137" s="2432"/>
      <c r="P137" s="2432"/>
      <c r="Q137" s="2432"/>
    </row>
    <row r="138" spans="2:17" s="2425" customFormat="1">
      <c r="B138" s="2432"/>
      <c r="C138" s="2432"/>
      <c r="D138" s="2432"/>
      <c r="E138" s="2432"/>
      <c r="F138" s="2432"/>
      <c r="G138" s="2432"/>
      <c r="H138" s="2432"/>
      <c r="I138" s="2432"/>
      <c r="J138" s="2432"/>
      <c r="K138" s="2432"/>
      <c r="L138" s="2432"/>
      <c r="M138" s="2432"/>
      <c r="N138" s="2432"/>
      <c r="O138" s="2432"/>
      <c r="P138" s="2432"/>
      <c r="Q138" s="2432"/>
    </row>
    <row r="139" spans="2:17" s="2425" customFormat="1">
      <c r="B139" s="2432"/>
      <c r="C139" s="2432"/>
      <c r="D139" s="2432"/>
      <c r="E139" s="2432"/>
      <c r="F139" s="2432"/>
      <c r="G139" s="2432"/>
      <c r="H139" s="2432"/>
      <c r="I139" s="2432"/>
      <c r="J139" s="2432"/>
      <c r="K139" s="2432"/>
      <c r="L139" s="2432"/>
      <c r="M139" s="2432"/>
      <c r="N139" s="2432"/>
      <c r="O139" s="2432"/>
      <c r="P139" s="2432"/>
      <c r="Q139" s="2432"/>
    </row>
    <row r="140" spans="2:17" s="2425" customFormat="1">
      <c r="B140" s="2432"/>
      <c r="C140" s="2432"/>
      <c r="D140" s="2432"/>
      <c r="E140" s="2432"/>
      <c r="F140" s="2432"/>
      <c r="G140" s="2432"/>
      <c r="H140" s="2432"/>
      <c r="I140" s="2432"/>
      <c r="J140" s="2432"/>
      <c r="K140" s="2432"/>
      <c r="L140" s="2432"/>
      <c r="M140" s="2432"/>
      <c r="N140" s="2432"/>
      <c r="O140" s="2432"/>
      <c r="P140" s="2432"/>
      <c r="Q140" s="2432"/>
    </row>
    <row r="141" spans="2:17" s="2425" customFormat="1">
      <c r="B141" s="2432"/>
      <c r="C141" s="2432"/>
      <c r="D141" s="2432"/>
      <c r="E141" s="2432"/>
      <c r="F141" s="2432"/>
      <c r="G141" s="2432"/>
      <c r="H141" s="2432"/>
      <c r="I141" s="2432"/>
      <c r="J141" s="2432"/>
      <c r="K141" s="2432"/>
      <c r="L141" s="2432"/>
      <c r="M141" s="2432"/>
      <c r="N141" s="2432"/>
      <c r="O141" s="2432"/>
      <c r="P141" s="2432"/>
      <c r="Q141" s="2432"/>
    </row>
    <row r="142" spans="2:17" s="2425" customFormat="1">
      <c r="B142" s="2432"/>
      <c r="C142" s="2432"/>
      <c r="D142" s="2432"/>
      <c r="E142" s="2432"/>
      <c r="F142" s="2432"/>
      <c r="G142" s="2432"/>
      <c r="H142" s="2432"/>
      <c r="I142" s="2432"/>
      <c r="J142" s="2432"/>
      <c r="K142" s="2432"/>
      <c r="L142" s="2432"/>
      <c r="M142" s="2432"/>
      <c r="N142" s="2432"/>
      <c r="O142" s="2432"/>
      <c r="P142" s="2432"/>
      <c r="Q142" s="2432"/>
    </row>
    <row r="143" spans="2:17" s="2425" customFormat="1">
      <c r="B143" s="2432"/>
      <c r="C143" s="2432"/>
      <c r="D143" s="2432"/>
      <c r="E143" s="2432"/>
      <c r="F143" s="2432"/>
      <c r="G143" s="2432"/>
      <c r="H143" s="2432"/>
      <c r="I143" s="2432"/>
      <c r="J143" s="2432"/>
      <c r="K143" s="2432"/>
      <c r="L143" s="2432"/>
      <c r="M143" s="2432"/>
      <c r="N143" s="2432"/>
      <c r="O143" s="2432"/>
      <c r="P143" s="2432"/>
      <c r="Q143" s="2432"/>
    </row>
    <row r="144" spans="2:17" s="2425" customFormat="1">
      <c r="B144" s="2432"/>
      <c r="C144" s="2432"/>
      <c r="D144" s="2432"/>
      <c r="E144" s="2432"/>
      <c r="F144" s="2432"/>
      <c r="G144" s="2432"/>
      <c r="H144" s="2432"/>
      <c r="I144" s="2432"/>
      <c r="J144" s="2432"/>
      <c r="K144" s="2432"/>
      <c r="L144" s="2432"/>
      <c r="M144" s="2432"/>
      <c r="N144" s="2432"/>
      <c r="O144" s="2432"/>
      <c r="P144" s="2432"/>
      <c r="Q144" s="2432"/>
    </row>
    <row r="145" spans="2:17" s="2425" customFormat="1">
      <c r="B145" s="2432"/>
      <c r="C145" s="2432"/>
      <c r="D145" s="2432"/>
      <c r="E145" s="2432"/>
      <c r="F145" s="2432"/>
      <c r="G145" s="2432"/>
      <c r="H145" s="2432"/>
      <c r="I145" s="2432"/>
      <c r="J145" s="2432"/>
      <c r="K145" s="2432"/>
      <c r="L145" s="2432"/>
      <c r="M145" s="2432"/>
      <c r="N145" s="2432"/>
      <c r="O145" s="2432"/>
      <c r="P145" s="2432"/>
      <c r="Q145" s="2432"/>
    </row>
    <row r="146" spans="2:17" s="2425" customFormat="1">
      <c r="B146" s="2432"/>
      <c r="C146" s="2432"/>
      <c r="D146" s="2432"/>
      <c r="E146" s="2432"/>
      <c r="F146" s="2432"/>
      <c r="G146" s="2432"/>
      <c r="H146" s="2432"/>
      <c r="I146" s="2432"/>
      <c r="J146" s="2432"/>
      <c r="K146" s="2432"/>
      <c r="L146" s="2432"/>
      <c r="M146" s="2432"/>
      <c r="N146" s="2432"/>
      <c r="O146" s="2432"/>
      <c r="P146" s="2432"/>
      <c r="Q146" s="2432"/>
    </row>
    <row r="147" spans="2:17" s="2425" customFormat="1">
      <c r="B147" s="2432"/>
      <c r="C147" s="2432"/>
      <c r="D147" s="2432"/>
      <c r="E147" s="2432"/>
      <c r="F147" s="2432"/>
      <c r="G147" s="2432"/>
      <c r="H147" s="2432"/>
      <c r="I147" s="2432"/>
      <c r="J147" s="2432"/>
      <c r="K147" s="2432"/>
      <c r="L147" s="2432"/>
      <c r="M147" s="2432"/>
      <c r="N147" s="2432"/>
      <c r="O147" s="2432"/>
      <c r="P147" s="2432"/>
      <c r="Q147" s="2432"/>
    </row>
    <row r="148" spans="2:17" s="2425" customFormat="1">
      <c r="B148" s="2432"/>
      <c r="C148" s="2432"/>
      <c r="D148" s="2432"/>
      <c r="E148" s="2432"/>
      <c r="F148" s="2432"/>
      <c r="G148" s="2432"/>
      <c r="H148" s="2432"/>
      <c r="I148" s="2432"/>
      <c r="J148" s="2432"/>
      <c r="K148" s="2432"/>
      <c r="L148" s="2432"/>
      <c r="M148" s="2432"/>
      <c r="N148" s="2432"/>
      <c r="O148" s="2432"/>
      <c r="P148" s="2432"/>
      <c r="Q148" s="2432"/>
    </row>
    <row r="149" spans="2:17" s="2425" customFormat="1">
      <c r="B149" s="2432"/>
      <c r="C149" s="2432"/>
      <c r="D149" s="2432"/>
      <c r="E149" s="2432"/>
      <c r="F149" s="2432"/>
      <c r="G149" s="2432"/>
      <c r="H149" s="2432"/>
      <c r="I149" s="2432"/>
      <c r="J149" s="2432"/>
      <c r="K149" s="2432"/>
      <c r="L149" s="2432"/>
      <c r="M149" s="2432"/>
      <c r="N149" s="2432"/>
      <c r="O149" s="2432"/>
      <c r="P149" s="2432"/>
      <c r="Q149" s="2432"/>
    </row>
    <row r="150" spans="2:17" s="2425" customFormat="1">
      <c r="B150" s="2432"/>
      <c r="C150" s="2432"/>
      <c r="D150" s="2432"/>
      <c r="E150" s="2432"/>
      <c r="F150" s="2432"/>
      <c r="G150" s="2432"/>
      <c r="H150" s="2432"/>
      <c r="I150" s="2432"/>
      <c r="J150" s="2432"/>
      <c r="K150" s="2432"/>
      <c r="L150" s="2432"/>
      <c r="M150" s="2432"/>
      <c r="N150" s="2432"/>
      <c r="O150" s="2432"/>
      <c r="P150" s="2432"/>
      <c r="Q150" s="2432"/>
    </row>
    <row r="151" spans="2:17" s="2425" customFormat="1">
      <c r="B151" s="2432"/>
      <c r="C151" s="2432"/>
      <c r="D151" s="2432"/>
      <c r="E151" s="2432"/>
      <c r="F151" s="2432"/>
      <c r="G151" s="2432"/>
      <c r="H151" s="2432"/>
      <c r="I151" s="2432"/>
      <c r="J151" s="2432"/>
      <c r="K151" s="2432"/>
      <c r="L151" s="2432"/>
      <c r="M151" s="2432"/>
      <c r="N151" s="2432"/>
      <c r="O151" s="2432"/>
      <c r="P151" s="2432"/>
      <c r="Q151" s="2432"/>
    </row>
    <row r="152" spans="2:17" s="2425" customFormat="1">
      <c r="B152" s="2432"/>
      <c r="C152" s="2432"/>
      <c r="D152" s="2432"/>
      <c r="E152" s="2432"/>
      <c r="F152" s="2432"/>
      <c r="G152" s="2432"/>
      <c r="H152" s="2432"/>
      <c r="I152" s="2432"/>
      <c r="J152" s="2432"/>
      <c r="K152" s="2432"/>
      <c r="L152" s="2432"/>
      <c r="M152" s="2432"/>
      <c r="N152" s="2432"/>
      <c r="O152" s="2432"/>
      <c r="P152" s="2432"/>
      <c r="Q152" s="2432"/>
    </row>
    <row r="153" spans="2:17" s="2425" customFormat="1">
      <c r="B153" s="2432"/>
      <c r="C153" s="2432"/>
      <c r="D153" s="2432"/>
      <c r="E153" s="2432"/>
      <c r="F153" s="2432"/>
      <c r="G153" s="2432"/>
      <c r="H153" s="2432"/>
      <c r="I153" s="2432"/>
      <c r="J153" s="2432"/>
      <c r="K153" s="2432"/>
      <c r="L153" s="2432"/>
      <c r="M153" s="2432"/>
      <c r="N153" s="2432"/>
      <c r="O153" s="2432"/>
      <c r="P153" s="2432"/>
      <c r="Q153" s="2432"/>
    </row>
    <row r="154" spans="2:17" s="2425" customFormat="1">
      <c r="B154" s="2432"/>
      <c r="C154" s="2432"/>
      <c r="D154" s="2432"/>
      <c r="E154" s="2432"/>
      <c r="F154" s="2432"/>
      <c r="G154" s="2432"/>
      <c r="H154" s="2432"/>
      <c r="I154" s="2432"/>
      <c r="J154" s="2432"/>
      <c r="K154" s="2432"/>
      <c r="L154" s="2432"/>
      <c r="M154" s="2432"/>
      <c r="N154" s="2432"/>
      <c r="O154" s="2432"/>
      <c r="P154" s="2432"/>
      <c r="Q154" s="2432"/>
    </row>
    <row r="155" spans="2:17" s="2425" customFormat="1">
      <c r="B155" s="2432"/>
      <c r="C155" s="2432"/>
      <c r="D155" s="2432"/>
      <c r="E155" s="2432"/>
      <c r="F155" s="2432"/>
      <c r="G155" s="2432"/>
      <c r="H155" s="2432"/>
      <c r="I155" s="2432"/>
      <c r="J155" s="2432"/>
      <c r="K155" s="2432"/>
      <c r="L155" s="2432"/>
      <c r="M155" s="2432"/>
      <c r="N155" s="2432"/>
      <c r="O155" s="2432"/>
      <c r="P155" s="2432"/>
      <c r="Q155" s="2432"/>
    </row>
    <row r="156" spans="2:17" s="2425" customFormat="1">
      <c r="B156" s="2432"/>
      <c r="C156" s="2432"/>
      <c r="D156" s="2432"/>
      <c r="E156" s="2432"/>
      <c r="F156" s="2432"/>
      <c r="G156" s="2432"/>
      <c r="H156" s="2432"/>
      <c r="I156" s="2432"/>
      <c r="J156" s="2432"/>
      <c r="K156" s="2432"/>
      <c r="L156" s="2432"/>
      <c r="M156" s="2432"/>
      <c r="N156" s="2432"/>
      <c r="O156" s="2432"/>
      <c r="P156" s="2432"/>
      <c r="Q156" s="2432"/>
    </row>
    <row r="157" spans="2:17" s="2425" customFormat="1">
      <c r="B157" s="2432"/>
      <c r="C157" s="2432"/>
      <c r="D157" s="2432"/>
      <c r="E157" s="2432"/>
      <c r="F157" s="2432"/>
      <c r="G157" s="2432"/>
      <c r="H157" s="2432"/>
      <c r="I157" s="2432"/>
      <c r="J157" s="2432"/>
      <c r="K157" s="2432"/>
      <c r="L157" s="2432"/>
      <c r="M157" s="2432"/>
      <c r="N157" s="2432"/>
      <c r="O157" s="2432"/>
      <c r="P157" s="2432"/>
      <c r="Q157" s="2432"/>
    </row>
    <row r="158" spans="2:17" s="2425" customFormat="1">
      <c r="B158" s="2432"/>
      <c r="C158" s="2432"/>
      <c r="D158" s="2432"/>
      <c r="E158" s="2432"/>
      <c r="F158" s="2432"/>
      <c r="G158" s="2432"/>
      <c r="H158" s="2432"/>
      <c r="I158" s="2432"/>
      <c r="J158" s="2432"/>
      <c r="K158" s="2432"/>
      <c r="L158" s="2432"/>
      <c r="M158" s="2432"/>
      <c r="N158" s="2432"/>
      <c r="O158" s="2432"/>
      <c r="P158" s="2432"/>
      <c r="Q158" s="2432"/>
    </row>
    <row r="159" spans="2:17" s="2425" customFormat="1">
      <c r="B159" s="2432"/>
      <c r="C159" s="2432"/>
      <c r="D159" s="2432"/>
      <c r="E159" s="2432"/>
      <c r="F159" s="2432"/>
      <c r="G159" s="2432"/>
      <c r="H159" s="2432"/>
      <c r="I159" s="2432"/>
      <c r="J159" s="2432"/>
      <c r="K159" s="2432"/>
      <c r="L159" s="2432"/>
      <c r="M159" s="2432"/>
      <c r="N159" s="2432"/>
      <c r="O159" s="2432"/>
      <c r="P159" s="2432"/>
      <c r="Q159" s="2432"/>
    </row>
    <row r="160" spans="2:17" s="2425" customFormat="1">
      <c r="B160" s="2432"/>
      <c r="C160" s="2432"/>
      <c r="D160" s="2432"/>
      <c r="E160" s="2432"/>
      <c r="F160" s="2432"/>
      <c r="G160" s="2432"/>
      <c r="H160" s="2432"/>
      <c r="I160" s="2432"/>
      <c r="J160" s="2432"/>
      <c r="K160" s="2432"/>
      <c r="L160" s="2432"/>
      <c r="M160" s="2432"/>
      <c r="N160" s="2432"/>
      <c r="O160" s="2432"/>
      <c r="P160" s="2432"/>
      <c r="Q160" s="2432"/>
    </row>
    <row r="161" spans="2:17" s="2425" customFormat="1">
      <c r="B161" s="2432"/>
      <c r="C161" s="2432"/>
      <c r="D161" s="2432"/>
      <c r="E161" s="2432"/>
      <c r="F161" s="2432"/>
      <c r="G161" s="2432"/>
      <c r="H161" s="2432"/>
      <c r="I161" s="2432"/>
      <c r="J161" s="2432"/>
      <c r="K161" s="2432"/>
      <c r="L161" s="2432"/>
      <c r="M161" s="2432"/>
      <c r="N161" s="2432"/>
      <c r="O161" s="2432"/>
      <c r="P161" s="2432"/>
      <c r="Q161" s="2432"/>
    </row>
    <row r="162" spans="2:17" s="2425" customFormat="1">
      <c r="B162" s="2432"/>
      <c r="C162" s="2432"/>
      <c r="D162" s="2432"/>
      <c r="E162" s="2432"/>
      <c r="F162" s="2432"/>
      <c r="G162" s="2432"/>
      <c r="H162" s="2432"/>
      <c r="I162" s="2432"/>
      <c r="J162" s="2432"/>
      <c r="K162" s="2432"/>
      <c r="L162" s="2432"/>
      <c r="M162" s="2432"/>
      <c r="N162" s="2432"/>
      <c r="O162" s="2432"/>
      <c r="P162" s="2432"/>
      <c r="Q162" s="2432"/>
    </row>
    <row r="163" spans="2:17" s="2425" customFormat="1">
      <c r="B163" s="2432"/>
      <c r="C163" s="2432"/>
      <c r="D163" s="2432"/>
      <c r="E163" s="2432"/>
      <c r="F163" s="2432"/>
      <c r="G163" s="2432"/>
      <c r="H163" s="2432"/>
      <c r="I163" s="2432"/>
      <c r="J163" s="2432"/>
      <c r="K163" s="2432"/>
      <c r="L163" s="2432"/>
      <c r="M163" s="2432"/>
      <c r="N163" s="2432"/>
      <c r="O163" s="2432"/>
      <c r="P163" s="2432"/>
      <c r="Q163" s="2432"/>
    </row>
    <row r="164" spans="2:17" s="2425" customFormat="1">
      <c r="B164" s="2432"/>
      <c r="C164" s="2432"/>
      <c r="D164" s="2432"/>
      <c r="E164" s="2432"/>
      <c r="F164" s="2432"/>
      <c r="G164" s="2432"/>
      <c r="H164" s="2432"/>
      <c r="I164" s="2432"/>
      <c r="J164" s="2432"/>
      <c r="K164" s="2432"/>
      <c r="L164" s="2432"/>
      <c r="M164" s="2432"/>
      <c r="N164" s="2432"/>
      <c r="O164" s="2432"/>
      <c r="P164" s="2432"/>
      <c r="Q164" s="2432"/>
    </row>
    <row r="165" spans="2:17" s="2425" customFormat="1">
      <c r="B165" s="2432"/>
      <c r="C165" s="2432"/>
      <c r="D165" s="2432"/>
      <c r="E165" s="2432"/>
      <c r="F165" s="2432"/>
      <c r="G165" s="2432"/>
      <c r="H165" s="2432"/>
      <c r="I165" s="2432"/>
      <c r="J165" s="2432"/>
      <c r="K165" s="2432"/>
      <c r="L165" s="2432"/>
      <c r="M165" s="2432"/>
      <c r="N165" s="2432"/>
      <c r="O165" s="2432"/>
      <c r="P165" s="2432"/>
      <c r="Q165" s="2432"/>
    </row>
    <row r="166" spans="2:17" s="2425" customFormat="1">
      <c r="B166" s="2432"/>
      <c r="C166" s="2432"/>
      <c r="D166" s="2432"/>
      <c r="E166" s="2432"/>
      <c r="F166" s="2432"/>
      <c r="G166" s="2432"/>
      <c r="H166" s="2432"/>
      <c r="I166" s="2432"/>
      <c r="J166" s="2432"/>
      <c r="K166" s="2432"/>
      <c r="L166" s="2432"/>
      <c r="M166" s="2432"/>
      <c r="N166" s="2432"/>
      <c r="O166" s="2432"/>
      <c r="P166" s="2432"/>
      <c r="Q166" s="2432"/>
    </row>
    <row r="167" spans="2:17" s="2425" customFormat="1">
      <c r="B167" s="2432"/>
      <c r="C167" s="2432"/>
      <c r="D167" s="2432"/>
      <c r="E167" s="2432"/>
      <c r="F167" s="2432"/>
      <c r="G167" s="2432"/>
      <c r="H167" s="2432"/>
      <c r="I167" s="2432"/>
      <c r="J167" s="2432"/>
      <c r="K167" s="2432"/>
      <c r="L167" s="2432"/>
      <c r="M167" s="2432"/>
      <c r="N167" s="2432"/>
      <c r="O167" s="2432"/>
      <c r="P167" s="2432"/>
      <c r="Q167" s="2432"/>
    </row>
    <row r="168" spans="2:17" s="2425" customFormat="1">
      <c r="B168" s="2432"/>
      <c r="C168" s="2432"/>
      <c r="D168" s="2432"/>
      <c r="E168" s="2432"/>
      <c r="F168" s="2432"/>
      <c r="G168" s="2432"/>
      <c r="H168" s="2432"/>
      <c r="I168" s="2432"/>
      <c r="J168" s="2432"/>
      <c r="K168" s="2432"/>
      <c r="L168" s="2432"/>
      <c r="M168" s="2432"/>
      <c r="N168" s="2432"/>
      <c r="O168" s="2432"/>
      <c r="P168" s="2432"/>
      <c r="Q168" s="2432"/>
    </row>
    <row r="169" spans="2:17" s="2425" customFormat="1">
      <c r="B169" s="2432"/>
      <c r="C169" s="2432"/>
      <c r="D169" s="2432"/>
      <c r="E169" s="2432"/>
      <c r="F169" s="2432"/>
      <c r="G169" s="2432"/>
      <c r="H169" s="2432"/>
      <c r="I169" s="2432"/>
      <c r="J169" s="2432"/>
      <c r="K169" s="2432"/>
      <c r="L169" s="2432"/>
      <c r="M169" s="2432"/>
      <c r="N169" s="2432"/>
      <c r="O169" s="2432"/>
      <c r="P169" s="2432"/>
      <c r="Q169" s="2432"/>
    </row>
    <row r="170" spans="2:17" s="2425" customFormat="1">
      <c r="B170" s="2432"/>
      <c r="C170" s="2432"/>
      <c r="D170" s="2432"/>
      <c r="E170" s="2432"/>
      <c r="F170" s="2432"/>
      <c r="G170" s="2432"/>
      <c r="H170" s="2432"/>
      <c r="I170" s="2432"/>
      <c r="J170" s="2432"/>
      <c r="K170" s="2432"/>
      <c r="L170" s="2432"/>
      <c r="M170" s="2432"/>
      <c r="N170" s="2432"/>
      <c r="O170" s="2432"/>
      <c r="P170" s="2432"/>
      <c r="Q170" s="2432"/>
    </row>
    <row r="171" spans="2:17" s="2425" customFormat="1">
      <c r="B171" s="2432"/>
      <c r="C171" s="2432"/>
      <c r="D171" s="2432"/>
      <c r="E171" s="2432"/>
      <c r="F171" s="2432"/>
      <c r="G171" s="2432"/>
      <c r="H171" s="2432"/>
      <c r="I171" s="2432"/>
      <c r="J171" s="2432"/>
      <c r="K171" s="2432"/>
      <c r="L171" s="2432"/>
      <c r="M171" s="2432"/>
      <c r="N171" s="2432"/>
      <c r="O171" s="2432"/>
      <c r="P171" s="2432"/>
      <c r="Q171" s="2432"/>
    </row>
    <row r="172" spans="2:17" s="2425" customFormat="1">
      <c r="B172" s="2432"/>
      <c r="C172" s="2432"/>
      <c r="D172" s="2432"/>
      <c r="E172" s="2432"/>
      <c r="F172" s="2432"/>
      <c r="G172" s="2432"/>
      <c r="H172" s="2432"/>
      <c r="I172" s="2432"/>
      <c r="J172" s="2432"/>
      <c r="K172" s="2432"/>
      <c r="L172" s="2432"/>
      <c r="M172" s="2432"/>
      <c r="N172" s="2432"/>
      <c r="O172" s="2432"/>
      <c r="P172" s="2432"/>
      <c r="Q172" s="2432"/>
    </row>
    <row r="173" spans="2:17" s="2425" customFormat="1">
      <c r="B173" s="2432"/>
      <c r="C173" s="2432"/>
      <c r="D173" s="2432"/>
      <c r="E173" s="2432"/>
      <c r="F173" s="2432"/>
      <c r="G173" s="2432"/>
      <c r="H173" s="2432"/>
      <c r="I173" s="2432"/>
      <c r="J173" s="2432"/>
      <c r="K173" s="2432"/>
      <c r="L173" s="2432"/>
      <c r="M173" s="2432"/>
      <c r="N173" s="2432"/>
      <c r="O173" s="2432"/>
      <c r="P173" s="2432"/>
      <c r="Q173" s="2432"/>
    </row>
    <row r="174" spans="2:17" s="2425" customFormat="1">
      <c r="B174" s="2432"/>
      <c r="C174" s="2432"/>
      <c r="D174" s="2432"/>
      <c r="E174" s="2432"/>
      <c r="F174" s="2432"/>
      <c r="G174" s="2432"/>
      <c r="H174" s="2432"/>
      <c r="I174" s="2432"/>
      <c r="J174" s="2432"/>
      <c r="K174" s="2432"/>
      <c r="L174" s="2432"/>
      <c r="M174" s="2432"/>
      <c r="N174" s="2432"/>
      <c r="O174" s="2432"/>
      <c r="P174" s="2432"/>
      <c r="Q174" s="2432"/>
    </row>
    <row r="175" spans="2:17" s="2425" customFormat="1">
      <c r="B175" s="2432"/>
      <c r="C175" s="2432"/>
      <c r="D175" s="2432"/>
      <c r="E175" s="2432"/>
      <c r="F175" s="2432"/>
      <c r="G175" s="2432"/>
      <c r="H175" s="2432"/>
      <c r="I175" s="2432"/>
      <c r="J175" s="2432"/>
      <c r="K175" s="2432"/>
      <c r="L175" s="2432"/>
      <c r="M175" s="2432"/>
      <c r="N175" s="2432"/>
      <c r="O175" s="2432"/>
      <c r="P175" s="2432"/>
      <c r="Q175" s="2432"/>
    </row>
    <row r="176" spans="2:17" s="2425" customFormat="1">
      <c r="B176" s="2432"/>
      <c r="C176" s="2432"/>
      <c r="D176" s="2432"/>
      <c r="E176" s="2432"/>
      <c r="F176" s="2432"/>
      <c r="G176" s="2432"/>
      <c r="H176" s="2432"/>
      <c r="I176" s="2432"/>
      <c r="J176" s="2432"/>
      <c r="K176" s="2432"/>
      <c r="L176" s="2432"/>
      <c r="M176" s="2432"/>
      <c r="N176" s="2432"/>
      <c r="O176" s="2432"/>
      <c r="P176" s="2432"/>
      <c r="Q176" s="2432"/>
    </row>
    <row r="177" spans="1:17" s="2425" customFormat="1">
      <c r="B177" s="2432"/>
      <c r="C177" s="2432"/>
      <c r="D177" s="2432"/>
      <c r="E177" s="2432"/>
      <c r="F177" s="2432"/>
      <c r="G177" s="2432"/>
      <c r="H177" s="2432"/>
      <c r="I177" s="2432"/>
      <c r="J177" s="2432"/>
      <c r="K177" s="2432"/>
      <c r="L177" s="2432"/>
      <c r="M177" s="2432"/>
      <c r="N177" s="2432"/>
      <c r="O177" s="2432"/>
      <c r="P177" s="2432"/>
      <c r="Q177" s="2432"/>
    </row>
    <row r="178" spans="1:17" s="2425" customFormat="1">
      <c r="B178" s="2432"/>
      <c r="C178" s="2432"/>
      <c r="D178" s="2432"/>
      <c r="E178" s="2432"/>
      <c r="F178" s="2432"/>
      <c r="G178" s="2432"/>
      <c r="H178" s="2432"/>
      <c r="I178" s="2432"/>
      <c r="J178" s="2432"/>
      <c r="K178" s="2432"/>
      <c r="L178" s="2432"/>
      <c r="M178" s="2432"/>
      <c r="N178" s="2432"/>
      <c r="O178" s="2432"/>
      <c r="P178" s="2432"/>
      <c r="Q178" s="2432"/>
    </row>
    <row r="179" spans="1:17" s="2425" customFormat="1">
      <c r="B179" s="2432"/>
      <c r="C179" s="2432"/>
      <c r="D179" s="2432"/>
      <c r="E179" s="2432"/>
      <c r="F179" s="2432"/>
      <c r="G179" s="2432"/>
      <c r="H179" s="2432"/>
      <c r="I179" s="2432"/>
      <c r="J179" s="2432"/>
      <c r="K179" s="2432"/>
      <c r="L179" s="2432"/>
      <c r="M179" s="2432"/>
      <c r="N179" s="2432"/>
      <c r="O179" s="2432"/>
      <c r="P179" s="2432"/>
      <c r="Q179" s="2432"/>
    </row>
    <row r="180" spans="1:17" s="2425" customFormat="1">
      <c r="B180" s="2432"/>
      <c r="C180" s="2432"/>
      <c r="D180" s="2432"/>
      <c r="E180" s="2432"/>
      <c r="F180" s="2432"/>
      <c r="G180" s="2432"/>
      <c r="H180" s="2432"/>
      <c r="I180" s="2432"/>
      <c r="J180" s="2432"/>
      <c r="K180" s="2432"/>
      <c r="L180" s="2432"/>
      <c r="M180" s="2432"/>
      <c r="N180" s="2432"/>
      <c r="O180" s="2432"/>
      <c r="P180" s="2432"/>
      <c r="Q180" s="2432"/>
    </row>
    <row r="181" spans="1:17" s="2425" customFormat="1">
      <c r="B181" s="2432"/>
      <c r="C181" s="2432"/>
      <c r="D181" s="2432"/>
      <c r="E181" s="2432"/>
      <c r="F181" s="2432"/>
      <c r="G181" s="2432"/>
      <c r="H181" s="2432"/>
      <c r="I181" s="2432"/>
      <c r="J181" s="2432"/>
      <c r="K181" s="2432"/>
      <c r="L181" s="2432"/>
      <c r="M181" s="2432"/>
      <c r="N181" s="2432"/>
      <c r="O181" s="2432"/>
      <c r="P181" s="2432"/>
      <c r="Q181" s="2432"/>
    </row>
    <row r="182" spans="1:17" s="2425" customFormat="1">
      <c r="B182" s="2432"/>
      <c r="C182" s="2432"/>
      <c r="D182" s="2432"/>
      <c r="E182" s="2432"/>
      <c r="F182" s="2432"/>
      <c r="G182" s="2432"/>
      <c r="H182" s="2432"/>
      <c r="I182" s="2432"/>
      <c r="J182" s="2432"/>
      <c r="K182" s="2432"/>
      <c r="L182" s="2432"/>
      <c r="M182" s="2432"/>
      <c r="N182" s="2432"/>
      <c r="O182" s="2432"/>
      <c r="P182" s="2432"/>
      <c r="Q182" s="2432"/>
    </row>
    <row r="183" spans="1:17" s="2425" customFormat="1">
      <c r="B183" s="2432"/>
      <c r="C183" s="2432"/>
      <c r="D183" s="2432"/>
      <c r="E183" s="2432"/>
      <c r="F183" s="2432"/>
      <c r="G183" s="2432"/>
      <c r="H183" s="2432"/>
      <c r="I183" s="2432"/>
      <c r="J183" s="2432"/>
      <c r="K183" s="2432"/>
      <c r="L183" s="2432"/>
      <c r="M183" s="2432"/>
      <c r="N183" s="2432"/>
      <c r="O183" s="2432"/>
      <c r="P183" s="2432"/>
      <c r="Q183" s="2432"/>
    </row>
    <row r="184" spans="1:17" s="2425" customFormat="1">
      <c r="B184" s="2432"/>
      <c r="C184" s="2432"/>
      <c r="D184" s="2432"/>
      <c r="E184" s="2432"/>
      <c r="F184" s="2432"/>
      <c r="G184" s="2432"/>
      <c r="H184" s="2432"/>
      <c r="I184" s="2432"/>
      <c r="J184" s="2432"/>
      <c r="K184" s="2432"/>
      <c r="L184" s="2432"/>
      <c r="M184" s="2432"/>
      <c r="N184" s="2432"/>
      <c r="O184" s="2432"/>
      <c r="P184" s="2432"/>
      <c r="Q184" s="2432"/>
    </row>
    <row r="185" spans="1:17" s="2425" customFormat="1">
      <c r="B185" s="2432"/>
      <c r="C185" s="2432"/>
      <c r="D185" s="2432"/>
      <c r="E185" s="2432"/>
      <c r="F185" s="2432"/>
      <c r="G185" s="2432"/>
      <c r="H185" s="2432"/>
      <c r="I185" s="2432"/>
      <c r="J185" s="2432"/>
      <c r="K185" s="2432"/>
      <c r="L185" s="2432"/>
      <c r="M185" s="2432"/>
      <c r="N185" s="2432"/>
      <c r="O185" s="2432"/>
      <c r="P185" s="2432"/>
      <c r="Q185" s="2432"/>
    </row>
    <row r="186" spans="1:17">
      <c r="A186" s="2425"/>
      <c r="B186" s="2432"/>
      <c r="C186" s="2432"/>
      <c r="E186" s="2432"/>
      <c r="F186" s="2432"/>
      <c r="G186" s="2432"/>
    </row>
    <row r="187" spans="1:17">
      <c r="A187" s="2425"/>
      <c r="B187" s="2432"/>
      <c r="C187" s="2432"/>
      <c r="E187" s="2432"/>
      <c r="F187" s="2432"/>
      <c r="G187" s="2432"/>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640625" defaultRowHeight="14.4"/>
  <cols>
    <col min="1" max="1" width="24.33203125" style="2322" customWidth="1"/>
    <col min="2" max="16384" width="14.6640625" style="2322"/>
  </cols>
  <sheetData>
    <row r="1" spans="1:9" ht="15.6">
      <c r="A1" s="2320" t="s">
        <v>973</v>
      </c>
      <c r="B1" s="2320">
        <f>SUM(B14:B23)</f>
        <v>165.59</v>
      </c>
      <c r="C1" s="1471"/>
      <c r="D1" s="1471"/>
      <c r="E1" s="1471"/>
      <c r="F1" s="1471"/>
      <c r="G1" s="2321"/>
    </row>
    <row r="2" spans="1:9" ht="15.6">
      <c r="A2" s="2320" t="s">
        <v>974</v>
      </c>
      <c r="B2" s="2320">
        <f>SUM(C14:C23)</f>
        <v>0</v>
      </c>
      <c r="C2" s="1471"/>
      <c r="D2" s="1471"/>
      <c r="E2" s="1471"/>
      <c r="F2" s="1471"/>
      <c r="G2" s="2321"/>
    </row>
    <row r="3" spans="1:9" ht="15.6">
      <c r="A3" s="2320" t="s">
        <v>975</v>
      </c>
      <c r="B3" s="2323">
        <f>项目基本情况!D2</f>
        <v>44901</v>
      </c>
      <c r="C3" s="1471"/>
      <c r="D3" s="1471"/>
      <c r="E3" s="1471"/>
      <c r="F3" s="1471"/>
      <c r="G3" s="2321"/>
    </row>
    <row r="4" spans="1:9" ht="31.2">
      <c r="A4" s="2320" t="s">
        <v>976</v>
      </c>
      <c r="B4" s="2320" t="s">
        <v>977</v>
      </c>
      <c r="C4" s="2320" t="s">
        <v>978</v>
      </c>
      <c r="D4" s="2320" t="s">
        <v>979</v>
      </c>
      <c r="E4" s="1471"/>
      <c r="F4" s="2321"/>
      <c r="G4" s="2321"/>
    </row>
    <row r="5" spans="1:9" ht="15.6">
      <c r="A5" s="2320" t="s">
        <v>980</v>
      </c>
      <c r="B5" s="2320">
        <f ca="1">SUM(D14:D23)</f>
        <v>640.66769999999997</v>
      </c>
      <c r="C5" s="2320">
        <f ca="1">ROUND(B5*10000/$B$1,0)</f>
        <v>38690</v>
      </c>
      <c r="D5" s="2320" t="e">
        <f ca="1">ROUND(B5*10000/$B$2,0)</f>
        <v>#DIV/0!</v>
      </c>
      <c r="E5" s="1471"/>
      <c r="F5" s="2321"/>
      <c r="G5" s="2321"/>
    </row>
    <row r="6" spans="1:9" ht="15.6">
      <c r="A6" s="2320" t="s">
        <v>981</v>
      </c>
      <c r="B6" s="2320">
        <f ca="1">SUM(G14:G23)</f>
        <v>640.66769999999997</v>
      </c>
      <c r="C6" s="2320">
        <f t="shared" ref="C6:C8" ca="1" si="0">ROUND(B6*10000/$B$1,0)</f>
        <v>38690</v>
      </c>
      <c r="D6" s="2320" t="e">
        <f t="shared" ref="D6:D8" ca="1" si="1">ROUND(B6*10000/$B$2,0)</f>
        <v>#DIV/0!</v>
      </c>
      <c r="E6" s="1471"/>
      <c r="F6" s="2321"/>
      <c r="G6" s="2321"/>
    </row>
    <row r="7" spans="1:9" ht="15.6">
      <c r="A7" s="2320" t="s">
        <v>982</v>
      </c>
      <c r="B7" s="2320" t="e">
        <f>SUM(H14:H23)</f>
        <v>#VALUE!</v>
      </c>
      <c r="C7" s="2320" t="e">
        <f>ROUND(B7*10000/$B$1,0)</f>
        <v>#VALUE!</v>
      </c>
      <c r="D7" s="2320" t="e">
        <f t="shared" si="1"/>
        <v>#VALUE!</v>
      </c>
      <c r="E7" s="1471"/>
      <c r="F7" s="2321"/>
      <c r="G7" s="2321"/>
    </row>
    <row r="8" spans="1:9" ht="15.6">
      <c r="A8" s="2320" t="s">
        <v>983</v>
      </c>
      <c r="B8" s="2320" t="e">
        <f>SUM(I14:I23)</f>
        <v>#VALUE!</v>
      </c>
      <c r="C8" s="2320" t="e">
        <f t="shared" si="0"/>
        <v>#VALUE!</v>
      </c>
      <c r="D8" s="2320" t="e">
        <f t="shared" si="1"/>
        <v>#VALUE!</v>
      </c>
      <c r="E8" s="1471"/>
      <c r="F8" s="2321"/>
      <c r="G8" s="2321"/>
    </row>
    <row r="9" spans="1:9" ht="15.6">
      <c r="A9" s="2320" t="s">
        <v>984</v>
      </c>
      <c r="B9" s="2324"/>
      <c r="C9" s="1471"/>
      <c r="D9" s="1471"/>
      <c r="E9" s="1471"/>
      <c r="F9" s="2321"/>
      <c r="G9" s="2321"/>
    </row>
    <row r="10" spans="1:9" ht="15.6">
      <c r="A10" s="2320" t="s">
        <v>985</v>
      </c>
      <c r="B10" s="2324"/>
      <c r="C10" s="1471"/>
      <c r="D10" s="1471"/>
      <c r="E10" s="1471"/>
      <c r="F10" s="2321"/>
      <c r="G10" s="2321"/>
    </row>
    <row r="11" spans="1:9" ht="15.6">
      <c r="A11" s="2320" t="s">
        <v>1000</v>
      </c>
      <c r="B11" s="2324"/>
      <c r="C11" s="1471"/>
      <c r="D11" s="1471"/>
      <c r="E11" s="1471"/>
      <c r="F11" s="2321"/>
      <c r="G11" s="2321"/>
    </row>
    <row r="12" spans="1:9" ht="15.6">
      <c r="A12" s="1471"/>
      <c r="B12" s="1471"/>
      <c r="C12" s="1471"/>
      <c r="D12" s="1471"/>
      <c r="E12" s="1471"/>
      <c r="F12" s="2321"/>
      <c r="G12" s="2321"/>
    </row>
    <row r="13" spans="1:9" ht="31.2">
      <c r="A13" s="2325" t="s">
        <v>999</v>
      </c>
      <c r="B13" s="2326" t="s">
        <v>973</v>
      </c>
      <c r="C13" s="2326" t="s">
        <v>974</v>
      </c>
      <c r="D13" s="2326" t="s">
        <v>986</v>
      </c>
      <c r="E13" s="2320" t="s">
        <v>978</v>
      </c>
      <c r="F13" s="2320" t="s">
        <v>979</v>
      </c>
      <c r="G13" s="2326" t="s">
        <v>987</v>
      </c>
      <c r="H13" s="2326" t="s">
        <v>988</v>
      </c>
      <c r="I13" s="2326" t="s">
        <v>989</v>
      </c>
    </row>
    <row r="14" spans="1:9" ht="15.6">
      <c r="A14" s="2599" t="s">
        <v>3030</v>
      </c>
      <c r="B14" s="2624">
        <f>项目基本情况!C12</f>
        <v>165.59</v>
      </c>
      <c r="C14" s="2624">
        <f>项目基本情况!C13</f>
        <v>0</v>
      </c>
      <c r="D14" s="2624">
        <f ca="1">IF('数据-取费表'!B3="万元",IF(A14="估价对象1（结果表）",结果表!H121,'结果表 (1修多)'!H125),IF(A14="估价对象1（结果表）",结果表!H121,'结果表 (1修多)'!H125)/10000)</f>
        <v>640.66769999999997</v>
      </c>
      <c r="E14" s="2624">
        <f ca="1">ROUND(D14*10000/B14,0)</f>
        <v>38690</v>
      </c>
      <c r="F14" s="2624" t="e">
        <f ca="1">ROUND(D14*10000/C14,0)</f>
        <v>#DIV/0!</v>
      </c>
      <c r="G14" s="2624">
        <f ca="1">IF('数据-取费表'!B3="万元",IF(A14="估价对象1（结果表）",结果表!D125,'结果表 (1修多)'!D129),IF(A14="估价对象1（结果表）",结果表!D125,'结果表 (1修多)'!D129)/10000)</f>
        <v>640.66769999999997</v>
      </c>
      <c r="H14" s="2624" t="e">
        <f>IF('数据-取费表'!B3="万元",IF(A14="估价对象1（结果表）",结果表!D127,'结果表 (1修多)'!D131),IF(A14="估价对象1（结果表）",结果表!D127,'结果表 (1修多)'!D131)/10000)</f>
        <v>#VALUE!</v>
      </c>
      <c r="I14" s="2624" t="e">
        <f>IF('数据-取费表'!B3="万元",IF(A14="估价对象1（结果表）",结果表!D129,'结果表 (1修多)'!D133),IF(A14="估价对象1（结果表）",结果表!D129,'结果表 (1修多)'!D133)/10000)</f>
        <v>#VALUE!</v>
      </c>
    </row>
    <row r="15" spans="1:9" ht="15.6">
      <c r="A15" s="2327" t="s">
        <v>990</v>
      </c>
      <c r="B15" s="2328"/>
      <c r="C15" s="2328"/>
      <c r="D15" s="2328"/>
      <c r="E15" s="2624" t="e">
        <f t="shared" ref="E15:E23" si="2">ROUND(D15*10000/B15,0)</f>
        <v>#DIV/0!</v>
      </c>
      <c r="F15" s="2624" t="e">
        <f t="shared" ref="F15:F23" si="3">ROUND(D15*10000/C15,0)</f>
        <v>#DIV/0!</v>
      </c>
      <c r="G15" s="1174"/>
      <c r="H15" s="1174"/>
      <c r="I15" s="2328"/>
    </row>
    <row r="16" spans="1:9" ht="15.6">
      <c r="A16" s="2327" t="s">
        <v>991</v>
      </c>
      <c r="B16" s="2328"/>
      <c r="C16" s="2328"/>
      <c r="D16" s="2328"/>
      <c r="E16" s="2624" t="e">
        <f t="shared" si="2"/>
        <v>#DIV/0!</v>
      </c>
      <c r="F16" s="2624" t="e">
        <f t="shared" si="3"/>
        <v>#DIV/0!</v>
      </c>
      <c r="G16" s="1174"/>
      <c r="H16" s="1174"/>
      <c r="I16" s="2328"/>
    </row>
    <row r="17" spans="1:9" ht="15.6">
      <c r="A17" s="2327" t="s">
        <v>992</v>
      </c>
      <c r="B17" s="2328"/>
      <c r="C17" s="2328"/>
      <c r="D17" s="2328"/>
      <c r="E17" s="2624" t="e">
        <f t="shared" si="2"/>
        <v>#DIV/0!</v>
      </c>
      <c r="F17" s="2624" t="e">
        <f t="shared" si="3"/>
        <v>#DIV/0!</v>
      </c>
      <c r="G17" s="1174"/>
      <c r="H17" s="1174"/>
      <c r="I17" s="2328"/>
    </row>
    <row r="18" spans="1:9" ht="15.6">
      <c r="A18" s="2327" t="s">
        <v>993</v>
      </c>
      <c r="B18" s="2328"/>
      <c r="C18" s="2328"/>
      <c r="D18" s="2328"/>
      <c r="E18" s="2624" t="e">
        <f t="shared" si="2"/>
        <v>#DIV/0!</v>
      </c>
      <c r="F18" s="2624" t="e">
        <f t="shared" si="3"/>
        <v>#DIV/0!</v>
      </c>
      <c r="G18" s="2328"/>
      <c r="H18" s="2328"/>
      <c r="I18" s="2328"/>
    </row>
    <row r="19" spans="1:9" ht="15.6">
      <c r="A19" s="2327" t="s">
        <v>994</v>
      </c>
      <c r="B19" s="2328"/>
      <c r="C19" s="2328"/>
      <c r="D19" s="2328"/>
      <c r="E19" s="2624" t="e">
        <f t="shared" si="2"/>
        <v>#DIV/0!</v>
      </c>
      <c r="F19" s="2624" t="e">
        <f t="shared" si="3"/>
        <v>#DIV/0!</v>
      </c>
      <c r="G19" s="2328"/>
      <c r="H19" s="2328"/>
      <c r="I19" s="2328"/>
    </row>
    <row r="20" spans="1:9" ht="15.6">
      <c r="A20" s="2327" t="s">
        <v>995</v>
      </c>
      <c r="B20" s="2328"/>
      <c r="C20" s="2328"/>
      <c r="D20" s="2328"/>
      <c r="E20" s="2624" t="e">
        <f t="shared" si="2"/>
        <v>#DIV/0!</v>
      </c>
      <c r="F20" s="2624" t="e">
        <f t="shared" si="3"/>
        <v>#DIV/0!</v>
      </c>
      <c r="G20" s="2328"/>
      <c r="H20" s="2328"/>
      <c r="I20" s="2328"/>
    </row>
    <row r="21" spans="1:9" ht="15.6">
      <c r="A21" s="2327" t="s">
        <v>996</v>
      </c>
      <c r="B21" s="2328"/>
      <c r="C21" s="2328"/>
      <c r="D21" s="2328"/>
      <c r="E21" s="2624" t="e">
        <f t="shared" si="2"/>
        <v>#DIV/0!</v>
      </c>
      <c r="F21" s="2624" t="e">
        <f t="shared" si="3"/>
        <v>#DIV/0!</v>
      </c>
      <c r="G21" s="2328"/>
      <c r="H21" s="2328"/>
      <c r="I21" s="2328"/>
    </row>
    <row r="22" spans="1:9" ht="15.6">
      <c r="A22" s="2327" t="s">
        <v>997</v>
      </c>
      <c r="B22" s="2328"/>
      <c r="C22" s="2328"/>
      <c r="D22" s="2328"/>
      <c r="E22" s="2624" t="e">
        <f t="shared" si="2"/>
        <v>#DIV/0!</v>
      </c>
      <c r="F22" s="2624" t="e">
        <f t="shared" si="3"/>
        <v>#DIV/0!</v>
      </c>
      <c r="G22" s="2328"/>
      <c r="H22" s="2328"/>
      <c r="I22" s="2328"/>
    </row>
    <row r="23" spans="1:9" ht="15.6">
      <c r="A23" s="2327" t="s">
        <v>998</v>
      </c>
      <c r="B23" s="2328"/>
      <c r="C23" s="2328"/>
      <c r="D23" s="2328"/>
      <c r="E23" s="1174" t="e">
        <f t="shared" si="2"/>
        <v>#DIV/0!</v>
      </c>
      <c r="F23" s="1174" t="e">
        <f t="shared" si="3"/>
        <v>#DIV/0!</v>
      </c>
      <c r="G23" s="2328"/>
      <c r="H23" s="2328"/>
      <c r="I23" s="2328"/>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A100" zoomScaleNormal="100" zoomScaleSheetLayoutView="100" zoomScalePageLayoutView="80" workbookViewId="0">
      <selection activeCell="J19" sqref="J19"/>
    </sheetView>
  </sheetViews>
  <sheetFormatPr defaultColWidth="12.6640625" defaultRowHeight="21.75" customHeight="1"/>
  <cols>
    <col min="1" max="2" width="12.6640625" style="734"/>
    <col min="3" max="4" width="12.6640625" style="734" customWidth="1"/>
    <col min="5" max="9" width="12.6640625" style="734"/>
    <col min="10" max="10" width="3.6640625" style="2558" customWidth="1"/>
    <col min="11" max="12" width="12.6640625" style="629" customWidth="1"/>
    <col min="13" max="13" width="12.6640625" style="629"/>
    <col min="14" max="14" width="14.109375" style="629" bestFit="1" customWidth="1"/>
    <col min="15" max="27" width="12.6640625" style="629"/>
    <col min="28" max="36" width="12.6640625" style="1177"/>
    <col min="37" max="16384" width="12.6640625" style="734"/>
  </cols>
  <sheetData>
    <row r="1" spans="1:15" ht="21.75" customHeight="1">
      <c r="A1" s="1312" t="s">
        <v>1470</v>
      </c>
      <c r="B1" s="1313"/>
      <c r="C1" s="1313"/>
      <c r="D1" s="1313"/>
      <c r="E1" s="1313"/>
      <c r="F1" s="1313"/>
      <c r="G1" s="1313"/>
      <c r="H1" s="1313"/>
      <c r="I1" s="1313"/>
    </row>
    <row r="2" spans="1:15" ht="21.75" customHeight="1">
      <c r="A2" s="3204" t="str">
        <f>项目基本情况!B1</f>
        <v>北京市房地产抵押价值预评估</v>
      </c>
      <c r="B2" s="3204"/>
      <c r="C2" s="3204"/>
      <c r="D2" s="3204"/>
      <c r="E2" s="3204"/>
      <c r="F2" s="3204"/>
      <c r="G2" s="3204"/>
      <c r="H2" s="3204"/>
      <c r="I2" s="3204"/>
      <c r="J2" s="2559"/>
    </row>
    <row r="3" spans="1:15" ht="13.2">
      <c r="A3" s="3207" t="s">
        <v>1471</v>
      </c>
      <c r="B3" s="3208"/>
      <c r="C3" s="3208"/>
      <c r="D3" s="3208"/>
      <c r="E3" s="3208"/>
      <c r="F3" s="3208"/>
      <c r="G3" s="3208"/>
      <c r="H3" s="3208"/>
      <c r="I3" s="3208"/>
      <c r="J3" s="2560"/>
    </row>
    <row r="4" spans="1:15" ht="14.4">
      <c r="A4" s="2433" t="s">
        <v>1472</v>
      </c>
      <c r="B4" s="2433" t="s">
        <v>1473</v>
      </c>
      <c r="C4" s="2434" t="s">
        <v>3044</v>
      </c>
      <c r="D4" s="2434" t="s">
        <v>3045</v>
      </c>
      <c r="E4" s="3153" t="s">
        <v>1474</v>
      </c>
      <c r="F4" s="3191"/>
      <c r="G4" s="3191"/>
      <c r="H4" s="3191"/>
      <c r="I4" s="3192"/>
      <c r="J4" s="2561"/>
      <c r="L4" s="1313" t="str">
        <f>IF(ISNUMBER(FIND("比较法",结果表!C4)),"比较法",IF(ISNUMBER(FIND("成本法",结果表!C4)),"成本法",IF(ISNUMBER(FIND("假设开发法",结果表!C4)),"假设开发法",IF(ISNUMBER(FIND("收益法",结果表!C4)),"收益法","基准地价系数修正法"))))</f>
        <v>成本法</v>
      </c>
      <c r="M4" s="1313" t="str">
        <f>IF(ISNUMBER(FIND("比较法",结果表!D4)),"比较法",IF(ISNUMBER(FIND("成本法",结果表!D4)),"成本法",IF(ISNUMBER(FIND("假设开发法",结果表!D4)),"假设开发法",IF(ISNUMBER(FIND("收益法",结果表!D4)),"收益法","基准地价系数修正法"))))</f>
        <v>收益法</v>
      </c>
      <c r="N4" s="1313"/>
      <c r="O4" s="1313"/>
    </row>
    <row r="5" spans="1:15" ht="13.2">
      <c r="A5" s="3184" t="s">
        <v>1475</v>
      </c>
      <c r="B5" s="3184">
        <v>25</v>
      </c>
      <c r="C5" s="3193"/>
      <c r="D5" s="3206"/>
      <c r="E5" s="11" t="s">
        <v>1476</v>
      </c>
      <c r="F5" s="1197"/>
      <c r="G5" s="1197"/>
      <c r="H5" s="1197"/>
      <c r="I5" s="1878"/>
      <c r="J5" s="2561"/>
    </row>
    <row r="6" spans="1:15" ht="13.2">
      <c r="A6" s="3184"/>
      <c r="B6" s="3184"/>
      <c r="C6" s="3209"/>
      <c r="D6" s="3206"/>
      <c r="E6" s="11" t="s">
        <v>1477</v>
      </c>
      <c r="F6" s="1197"/>
      <c r="G6" s="1197"/>
      <c r="H6" s="1197"/>
      <c r="I6" s="1878"/>
      <c r="J6" s="2561"/>
    </row>
    <row r="7" spans="1:15" ht="13.2">
      <c r="A7" s="3184"/>
      <c r="B7" s="3184"/>
      <c r="C7" s="3194"/>
      <c r="D7" s="3206"/>
      <c r="E7" s="11" t="s">
        <v>1478</v>
      </c>
      <c r="F7" s="1197"/>
      <c r="G7" s="1197"/>
      <c r="H7" s="1197"/>
      <c r="I7" s="1878"/>
      <c r="J7" s="2561"/>
    </row>
    <row r="8" spans="1:15" ht="13.2">
      <c r="A8" s="3184" t="s">
        <v>1479</v>
      </c>
      <c r="B8" s="3184">
        <v>15</v>
      </c>
      <c r="C8" s="3193"/>
      <c r="D8" s="3206"/>
      <c r="E8" s="11" t="s">
        <v>1480</v>
      </c>
      <c r="F8" s="1197"/>
      <c r="G8" s="1197"/>
      <c r="H8" s="1197"/>
      <c r="I8" s="1878"/>
      <c r="J8" s="2561"/>
    </row>
    <row r="9" spans="1:15" ht="13.2">
      <c r="A9" s="3184"/>
      <c r="B9" s="3184"/>
      <c r="C9" s="3194"/>
      <c r="D9" s="3206"/>
      <c r="E9" s="11" t="s">
        <v>1481</v>
      </c>
      <c r="F9" s="1197"/>
      <c r="G9" s="1197"/>
      <c r="H9" s="1197"/>
      <c r="I9" s="1878"/>
      <c r="J9" s="2561"/>
    </row>
    <row r="10" spans="1:15" ht="13.2">
      <c r="A10" s="3184" t="s">
        <v>1482</v>
      </c>
      <c r="B10" s="3184">
        <v>15</v>
      </c>
      <c r="C10" s="3193"/>
      <c r="D10" s="3206"/>
      <c r="E10" s="11" t="s">
        <v>1483</v>
      </c>
      <c r="F10" s="1197"/>
      <c r="G10" s="1197"/>
      <c r="H10" s="1197"/>
      <c r="I10" s="1878"/>
      <c r="J10" s="2561"/>
    </row>
    <row r="11" spans="1:15" ht="13.2">
      <c r="A11" s="3184"/>
      <c r="B11" s="3184"/>
      <c r="C11" s="3194"/>
      <c r="D11" s="3206"/>
      <c r="E11" s="11" t="s">
        <v>1484</v>
      </c>
      <c r="F11" s="1197"/>
      <c r="G11" s="1197"/>
      <c r="H11" s="1197"/>
      <c r="I11" s="1878"/>
      <c r="J11" s="2561"/>
    </row>
    <row r="12" spans="1:15" ht="13.2">
      <c r="A12" s="3184" t="s">
        <v>1485</v>
      </c>
      <c r="B12" s="3184">
        <v>15</v>
      </c>
      <c r="C12" s="3193"/>
      <c r="D12" s="3206"/>
      <c r="E12" s="11" t="s">
        <v>1486</v>
      </c>
      <c r="F12" s="1197"/>
      <c r="G12" s="1197"/>
      <c r="H12" s="1197"/>
      <c r="I12" s="1878"/>
      <c r="J12" s="2561"/>
    </row>
    <row r="13" spans="1:15" ht="13.2">
      <c r="A13" s="3184"/>
      <c r="B13" s="3184"/>
      <c r="C13" s="3194"/>
      <c r="D13" s="3206"/>
      <c r="E13" s="11" t="s">
        <v>1487</v>
      </c>
      <c r="F13" s="1197"/>
      <c r="G13" s="1197"/>
      <c r="H13" s="1197"/>
      <c r="I13" s="1878"/>
      <c r="J13" s="2561"/>
    </row>
    <row r="14" spans="1:15" ht="13.2">
      <c r="A14" s="3184" t="s">
        <v>1488</v>
      </c>
      <c r="B14" s="3184">
        <v>30</v>
      </c>
      <c r="C14" s="3193">
        <v>7</v>
      </c>
      <c r="D14" s="3206">
        <v>3</v>
      </c>
      <c r="E14" s="11" t="s">
        <v>1489</v>
      </c>
      <c r="F14" s="1197"/>
      <c r="G14" s="1197"/>
      <c r="H14" s="1197"/>
      <c r="I14" s="1878"/>
      <c r="J14" s="2561"/>
    </row>
    <row r="15" spans="1:15" ht="13.2">
      <c r="A15" s="3184"/>
      <c r="B15" s="3184"/>
      <c r="C15" s="3209"/>
      <c r="D15" s="3206"/>
      <c r="E15" s="11" t="s">
        <v>1490</v>
      </c>
      <c r="F15" s="1197"/>
      <c r="G15" s="1197"/>
      <c r="H15" s="1197"/>
      <c r="I15" s="1878"/>
      <c r="J15" s="2561"/>
    </row>
    <row r="16" spans="1:15" ht="13.2">
      <c r="A16" s="3184"/>
      <c r="B16" s="3184"/>
      <c r="C16" s="3194"/>
      <c r="D16" s="3206"/>
      <c r="E16" s="11" t="s">
        <v>1491</v>
      </c>
      <c r="F16" s="1197"/>
      <c r="G16" s="1197"/>
      <c r="H16" s="1197"/>
      <c r="I16" s="1878"/>
      <c r="J16" s="2561"/>
    </row>
    <row r="17" spans="1:36" ht="14.4">
      <c r="A17" s="2435" t="s">
        <v>1492</v>
      </c>
      <c r="B17" s="1885"/>
      <c r="C17" s="2436">
        <f>SUM(C5:C16)</f>
        <v>7</v>
      </c>
      <c r="D17" s="2436">
        <f>SUM(D5:D16)</f>
        <v>3</v>
      </c>
      <c r="E17" s="1330"/>
      <c r="F17" s="1330"/>
      <c r="G17" s="1330"/>
      <c r="H17" s="1330"/>
      <c r="I17" s="1330"/>
      <c r="J17" s="2562"/>
    </row>
    <row r="18" spans="1:36" ht="30" customHeight="1" thickBot="1">
      <c r="A18" s="2437" t="s">
        <v>1493</v>
      </c>
      <c r="B18" s="2438"/>
      <c r="C18" s="2439">
        <f>ROUND(C17/SUM(C17:D17),2)</f>
        <v>0.7</v>
      </c>
      <c r="D18" s="2439">
        <f>1-C18</f>
        <v>0.30000000000000004</v>
      </c>
      <c r="E18" s="3202" t="s">
        <v>2576</v>
      </c>
      <c r="F18" s="3203"/>
      <c r="G18" s="3203"/>
      <c r="H18" s="3203"/>
      <c r="I18" s="3203"/>
      <c r="J18" s="2562"/>
    </row>
    <row r="19" spans="1:36" ht="14.4">
      <c r="A19" s="1856" t="s">
        <v>1494</v>
      </c>
      <c r="B19" s="2440" t="s">
        <v>1495</v>
      </c>
      <c r="C19" s="2441">
        <f ca="1">SUMIF(INDIRECT("'"&amp;C4&amp;"'"&amp;"!A:A"),结果表!B19,INDIRECT("'"&amp;C4&amp;"'"&amp;"!B:B"))</f>
        <v>7532452</v>
      </c>
      <c r="D19" s="2442">
        <f ca="1">SUMIF(INDIRECT("'"&amp;D4&amp;"'"&amp;"!A:A"),结果表!B19,INDIRECT("'"&amp;D4&amp;"'"&amp;"!B:B"))</f>
        <v>3779482</v>
      </c>
      <c r="E19" s="1856" t="s">
        <v>1496</v>
      </c>
      <c r="F19" s="2440" t="s">
        <v>1495</v>
      </c>
      <c r="G19" s="2443">
        <f ca="1">ROUND(C19*$C$18+D19*$D$18,0)</f>
        <v>6406561</v>
      </c>
      <c r="H19" s="2444" t="str">
        <f>'数据-取费表'!B3</f>
        <v>元</v>
      </c>
      <c r="I19" s="2489"/>
      <c r="J19" s="2563"/>
    </row>
    <row r="20" spans="1:36" ht="14.4">
      <c r="A20" s="2445"/>
      <c r="B20" s="1519" t="s">
        <v>1497</v>
      </c>
      <c r="C20" s="1737">
        <f ca="1">SUMIF(INDIRECT("'"&amp;C4&amp;"'"&amp;"!A:A"),结果表!B20,INDIRECT("'"&amp;C4&amp;"'"&amp;"!B:B"))</f>
        <v>45489</v>
      </c>
      <c r="D20" s="1740">
        <f ca="1">SUMIF(INDIRECT("'"&amp;D4&amp;"'"&amp;"!A:A"),结果表!B20,INDIRECT("'"&amp;D4&amp;"'"&amp;"!B:B"))</f>
        <v>22824</v>
      </c>
      <c r="E20" s="2445"/>
      <c r="F20" s="1519" t="s">
        <v>1497</v>
      </c>
      <c r="G20" s="1884">
        <f ca="1">ROUND(C20*$C$18+D20*$D$18,0)</f>
        <v>38690</v>
      </c>
      <c r="H20" s="2446" t="s">
        <v>1498</v>
      </c>
      <c r="I20" s="1330"/>
      <c r="J20" s="2562"/>
    </row>
    <row r="21" spans="1:36" ht="15" customHeight="1" thickBot="1">
      <c r="A21" s="1660"/>
      <c r="B21" s="2447"/>
      <c r="C21" s="2447"/>
      <c r="D21" s="2448"/>
      <c r="E21" s="1660"/>
      <c r="F21" s="2447"/>
      <c r="G21" s="2449"/>
      <c r="H21" s="2450"/>
      <c r="I21" s="1330"/>
      <c r="J21" s="2562"/>
    </row>
    <row r="22" spans="1:36" ht="15" thickBot="1">
      <c r="A22" s="2451" t="s">
        <v>1499</v>
      </c>
      <c r="B22" s="2452"/>
      <c r="C22" s="2380"/>
      <c r="D22" s="2453">
        <f ca="1">IF(C19&lt;D19,D19/C19-1,C19/D19-1)</f>
        <v>0.99298528211008819</v>
      </c>
      <c r="E22" s="862"/>
      <c r="F22" s="862"/>
      <c r="G22" s="862"/>
      <c r="H22" s="862"/>
      <c r="I22" s="862"/>
      <c r="J22" s="2562"/>
    </row>
    <row r="23" spans="1:36" ht="13.8" thickBot="1">
      <c r="A23" s="1330"/>
      <c r="B23" s="1330"/>
      <c r="C23" s="1330"/>
      <c r="D23" s="1330"/>
      <c r="E23" s="862"/>
      <c r="F23" s="862"/>
      <c r="G23" s="862"/>
      <c r="H23" s="862"/>
      <c r="I23" s="862"/>
      <c r="J23" s="2562"/>
    </row>
    <row r="24" spans="1:36" ht="21.75" customHeight="1">
      <c r="A24" s="3195" t="s">
        <v>1500</v>
      </c>
      <c r="B24" s="2440" t="s">
        <v>1495</v>
      </c>
      <c r="C24" s="2443">
        <f>D30</f>
        <v>0</v>
      </c>
      <c r="D24" s="2407"/>
      <c r="E24" s="862"/>
      <c r="F24" s="862"/>
      <c r="G24" s="862"/>
      <c r="H24" s="862"/>
      <c r="I24" s="862"/>
      <c r="J24" s="2562"/>
    </row>
    <row r="25" spans="1:36" ht="21.75" customHeight="1">
      <c r="A25" s="3212"/>
      <c r="B25" s="1519" t="s">
        <v>1497</v>
      </c>
      <c r="C25" s="2454">
        <f>IF(B30=0,0,C30)</f>
        <v>0</v>
      </c>
      <c r="D25" s="2455"/>
      <c r="E25" s="862"/>
      <c r="F25" s="862"/>
      <c r="G25" s="862"/>
      <c r="H25" s="862"/>
      <c r="I25" s="862"/>
      <c r="J25" s="2562"/>
    </row>
    <row r="26" spans="1:36" ht="13.5" customHeight="1">
      <c r="A26" s="2456" t="s">
        <v>1501</v>
      </c>
      <c r="B26" s="2457" t="s">
        <v>1502</v>
      </c>
      <c r="C26" s="2457" t="s">
        <v>1503</v>
      </c>
      <c r="D26" s="2458" t="s">
        <v>1504</v>
      </c>
      <c r="E26" s="862"/>
      <c r="F26" s="862"/>
      <c r="G26" s="862"/>
      <c r="H26" s="862"/>
      <c r="I26" s="862"/>
      <c r="J26" s="2562"/>
    </row>
    <row r="27" spans="1:36" ht="13.8">
      <c r="A27" s="2459"/>
      <c r="B27" s="2457">
        <v>0</v>
      </c>
      <c r="C27" s="2457">
        <v>0</v>
      </c>
      <c r="D27" s="2458">
        <f>ROUND(C27*B27/10000,0)</f>
        <v>0</v>
      </c>
      <c r="E27" s="862"/>
      <c r="F27" s="862"/>
      <c r="G27" s="862"/>
      <c r="H27" s="862"/>
      <c r="I27" s="862"/>
      <c r="J27" s="2562"/>
    </row>
    <row r="28" spans="1:36" ht="13.8">
      <c r="A28" s="2456"/>
      <c r="B28" s="2457"/>
      <c r="C28" s="2457"/>
      <c r="D28" s="2458">
        <f t="shared" ref="D28:D29" si="0">ROUND(C28*B28/10000,0)</f>
        <v>0</v>
      </c>
      <c r="E28" s="862"/>
      <c r="F28" s="862"/>
      <c r="G28" s="862"/>
      <c r="H28" s="862"/>
      <c r="I28" s="862"/>
      <c r="J28" s="2562"/>
    </row>
    <row r="29" spans="1:36" ht="13.8">
      <c r="A29" s="2456"/>
      <c r="B29" s="2457"/>
      <c r="C29" s="2457"/>
      <c r="D29" s="2458">
        <f t="shared" si="0"/>
        <v>0</v>
      </c>
      <c r="E29" s="862"/>
      <c r="F29" s="862"/>
      <c r="G29" s="862"/>
      <c r="H29" s="862"/>
      <c r="I29" s="862"/>
      <c r="J29" s="2562"/>
    </row>
    <row r="30" spans="1:36" ht="15" thickBot="1">
      <c r="A30" s="2491" t="s">
        <v>1505</v>
      </c>
      <c r="B30" s="2491"/>
      <c r="C30" s="2491"/>
      <c r="D30" s="2491"/>
      <c r="E30" s="2460" t="s">
        <v>2580</v>
      </c>
      <c r="F30" s="1330"/>
      <c r="G30" s="1330"/>
      <c r="H30" s="1330"/>
      <c r="I30" s="1330"/>
      <c r="J30" s="2562"/>
    </row>
    <row r="31" spans="1:36" s="2555" customFormat="1" ht="26.4" customHeight="1" thickTop="1" thickBot="1">
      <c r="A31" s="2550"/>
      <c r="B31" s="2551"/>
      <c r="C31" s="2551"/>
      <c r="D31" s="2551"/>
      <c r="E31" s="2551"/>
      <c r="F31" s="2551"/>
      <c r="G31" s="2551"/>
      <c r="H31" s="2551"/>
      <c r="I31" s="2552" t="s">
        <v>2581</v>
      </c>
      <c r="J31" s="2564"/>
      <c r="K31" s="2553"/>
      <c r="L31" s="2553"/>
      <c r="M31" s="2553"/>
      <c r="N31" s="2553"/>
      <c r="O31" s="2553"/>
      <c r="P31" s="2553"/>
      <c r="Q31" s="2553"/>
      <c r="R31" s="2553"/>
      <c r="S31" s="2553"/>
      <c r="T31" s="2553"/>
      <c r="U31" s="2553"/>
      <c r="V31" s="2553"/>
      <c r="W31" s="2553"/>
      <c r="X31" s="2553"/>
      <c r="Y31" s="2553"/>
      <c r="Z31" s="2553"/>
      <c r="AA31" s="2553"/>
      <c r="AB31" s="2554"/>
      <c r="AC31" s="2554"/>
      <c r="AD31" s="2554"/>
      <c r="AE31" s="2554"/>
      <c r="AF31" s="2554"/>
      <c r="AG31" s="2554"/>
      <c r="AH31" s="2554"/>
      <c r="AI31" s="2554"/>
      <c r="AJ31" s="2554"/>
    </row>
    <row r="32" spans="1:36" s="2549" customFormat="1" ht="15.6" thickTop="1" thickBot="1">
      <c r="A32" s="2543" t="s">
        <v>1506</v>
      </c>
      <c r="B32" s="2544" t="str">
        <f>'数据-取费表'!B4</f>
        <v>楼面单价</v>
      </c>
      <c r="C32" s="2545">
        <f ca="1">IF(B32="总价",G19-C24,G20-C25)</f>
        <v>38690</v>
      </c>
      <c r="D32" s="2546" t="str">
        <f>IF(B32="楼面单价","元/平方米",H19)</f>
        <v>元/平方米</v>
      </c>
      <c r="E32" s="2677"/>
      <c r="F32" s="2677"/>
      <c r="G32" s="2677"/>
      <c r="H32" s="2677"/>
      <c r="I32" s="2677"/>
      <c r="J32" s="2565"/>
      <c r="K32" s="2547"/>
      <c r="L32" s="2547"/>
      <c r="M32" s="2547"/>
      <c r="N32" s="2547"/>
      <c r="O32" s="2547"/>
      <c r="P32" s="2547"/>
      <c r="Q32" s="2547"/>
      <c r="R32" s="2547"/>
      <c r="S32" s="2547"/>
      <c r="T32" s="2547"/>
      <c r="U32" s="2547"/>
      <c r="V32" s="2547"/>
      <c r="W32" s="2547"/>
      <c r="X32" s="2547"/>
      <c r="Y32" s="2547"/>
      <c r="Z32" s="2547"/>
      <c r="AA32" s="2547"/>
      <c r="AB32" s="2548"/>
      <c r="AC32" s="2548"/>
      <c r="AD32" s="2548"/>
      <c r="AE32" s="2548"/>
      <c r="AF32" s="2548"/>
      <c r="AG32" s="2548"/>
      <c r="AH32" s="2548"/>
      <c r="AI32" s="2548"/>
      <c r="AJ32" s="2548"/>
    </row>
    <row r="33" spans="1:17" ht="14.4">
      <c r="A33" s="2461" t="s">
        <v>1507</v>
      </c>
      <c r="B33" s="251"/>
      <c r="C33" s="2462"/>
      <c r="D33" s="2463"/>
      <c r="E33" s="2464" t="s">
        <v>1508</v>
      </c>
      <c r="F33" s="2465" t="str">
        <f>IF(B32="楼面单价","取值（单价）","取值（总价）")</f>
        <v>取值（单价）</v>
      </c>
      <c r="G33" s="862"/>
      <c r="H33" s="862"/>
      <c r="I33" s="862"/>
      <c r="J33" s="2562"/>
    </row>
    <row r="34" spans="1:17" ht="14.4">
      <c r="A34" s="1316"/>
      <c r="B34" s="2466" t="s">
        <v>1509</v>
      </c>
      <c r="C34" s="2467">
        <f ca="1">IF(D33="自定义",F34,C32-C35)</f>
        <v>31068</v>
      </c>
      <c r="D34" s="2468">
        <f ca="1">IF(D33="自定义",ROUND(C34/C32,3),1-D35)</f>
        <v>0.80299999999999994</v>
      </c>
      <c r="E34" s="1287" t="s">
        <v>1510</v>
      </c>
      <c r="F34" s="2469">
        <v>2000</v>
      </c>
      <c r="G34" s="862"/>
      <c r="H34" s="862"/>
      <c r="I34" s="862"/>
      <c r="J34" s="2562"/>
    </row>
    <row r="35" spans="1:17" ht="15" thickBot="1">
      <c r="A35" s="1317"/>
      <c r="B35" s="2470" t="s">
        <v>1511</v>
      </c>
      <c r="C35" s="2471">
        <f ca="1">IF(D33="自定义",F35,ROUND(C32*D35,0))</f>
        <v>7622</v>
      </c>
      <c r="D35" s="2472">
        <f ca="1">IF(D33="自定义",ROUND(C35/C32,3),IF(D33="成本法成本比率",成本法!C56,IF(D33="收益法收益比率",收益法!J38,收益法!J41)))</f>
        <v>0.19700000000000001</v>
      </c>
      <c r="E35" s="2473" t="s">
        <v>1512</v>
      </c>
      <c r="F35" s="2474">
        <v>4460</v>
      </c>
      <c r="G35" s="862"/>
      <c r="H35" s="862"/>
      <c r="I35" s="862"/>
      <c r="J35" s="2562"/>
    </row>
    <row r="36" spans="1:17" ht="15" thickBot="1">
      <c r="A36" s="3195" t="s">
        <v>1513</v>
      </c>
      <c r="B36" s="1318" t="s">
        <v>1514</v>
      </c>
      <c r="C36" s="2475">
        <v>0</v>
      </c>
      <c r="D36" s="2476"/>
      <c r="E36" s="1180"/>
      <c r="F36" s="1180"/>
      <c r="G36" s="862"/>
      <c r="H36" s="862"/>
      <c r="I36" s="862"/>
      <c r="J36" s="2562"/>
    </row>
    <row r="37" spans="1:17" ht="15" thickBot="1">
      <c r="A37" s="3196"/>
      <c r="B37" s="1885" t="s">
        <v>1515</v>
      </c>
      <c r="C37" s="2477">
        <v>0</v>
      </c>
      <c r="D37" s="1180"/>
      <c r="E37" s="1180"/>
      <c r="F37" s="1180"/>
      <c r="G37" s="1180"/>
      <c r="H37" s="1180"/>
      <c r="I37" s="1180"/>
      <c r="J37" s="2566"/>
    </row>
    <row r="38" spans="1:17" ht="15" thickBot="1">
      <c r="A38" s="3197"/>
      <c r="B38" s="1319" t="s">
        <v>1516</v>
      </c>
      <c r="C38" s="2478">
        <v>0</v>
      </c>
      <c r="D38" s="2479" t="s">
        <v>1517</v>
      </c>
      <c r="E38" s="1180"/>
      <c r="F38" s="1180"/>
      <c r="G38" s="1180"/>
      <c r="H38" s="1180"/>
      <c r="I38" s="1180"/>
      <c r="J38" s="2566"/>
    </row>
    <row r="39" spans="1:17" ht="14.4">
      <c r="A39" s="2445" t="s">
        <v>1518</v>
      </c>
      <c r="B39" s="2480" t="s">
        <v>1502</v>
      </c>
      <c r="C39" s="2481" t="s">
        <v>1503</v>
      </c>
      <c r="D39" s="2481" t="s">
        <v>1519</v>
      </c>
      <c r="E39" s="2482" t="s">
        <v>1504</v>
      </c>
      <c r="F39" s="1180"/>
      <c r="G39" s="1180"/>
      <c r="H39" s="1180"/>
      <c r="I39" s="1180"/>
      <c r="J39" s="2566"/>
    </row>
    <row r="40" spans="1:17" ht="13.8">
      <c r="A40" s="2483" t="s">
        <v>1520</v>
      </c>
      <c r="B40" s="2484"/>
      <c r="C40" s="2485"/>
      <c r="D40" s="2485"/>
      <c r="E40" s="2469"/>
      <c r="F40" s="1180"/>
      <c r="G40" s="1180"/>
      <c r="H40" s="1180"/>
      <c r="I40" s="1180"/>
      <c r="J40" s="2566"/>
    </row>
    <row r="41" spans="1:17" ht="13.8">
      <c r="A41" s="2483" t="s">
        <v>1521</v>
      </c>
      <c r="B41" s="2484"/>
      <c r="C41" s="2485"/>
      <c r="D41" s="2485"/>
      <c r="E41" s="2469"/>
      <c r="F41" s="1180"/>
      <c r="G41" s="1180"/>
      <c r="H41" s="1180"/>
      <c r="I41" s="1180"/>
      <c r="J41" s="2566"/>
    </row>
    <row r="42" spans="1:17" ht="14.4" thickBot="1">
      <c r="A42" s="2486"/>
      <c r="B42" s="2487"/>
      <c r="C42" s="2488"/>
      <c r="D42" s="2488"/>
      <c r="E42" s="2474"/>
      <c r="F42" s="1180"/>
      <c r="G42" s="1180"/>
      <c r="H42" s="1180"/>
      <c r="I42" s="1180"/>
      <c r="J42" s="2566"/>
    </row>
    <row r="43" spans="1:17" ht="13.2">
      <c r="A43" s="862"/>
      <c r="B43" s="862"/>
      <c r="C43" s="862"/>
      <c r="D43" s="862"/>
      <c r="E43" s="862"/>
      <c r="F43" s="2395"/>
      <c r="G43" s="2395"/>
      <c r="H43" s="2395"/>
      <c r="I43" s="2395"/>
      <c r="J43" s="2567"/>
    </row>
    <row r="44" spans="1:17" ht="17.399999999999999">
      <c r="A44" s="1320" t="s">
        <v>1522</v>
      </c>
      <c r="B44" s="1321"/>
      <c r="C44" s="1321"/>
      <c r="D44" s="1322"/>
      <c r="E44" s="1322"/>
      <c r="F44" s="1323"/>
      <c r="G44" s="1323"/>
      <c r="H44" s="1323"/>
      <c r="I44" s="2556" t="s">
        <v>2575</v>
      </c>
      <c r="J44" s="2568"/>
      <c r="K44" s="1324" t="s">
        <v>1523</v>
      </c>
      <c r="L44" s="1325"/>
      <c r="M44" s="1325"/>
      <c r="N44" s="1325"/>
      <c r="O44" s="1325"/>
      <c r="P44" s="1325"/>
      <c r="Q44" s="1177"/>
    </row>
    <row r="45" spans="1:17" ht="14.25" customHeight="1" thickBot="1">
      <c r="A45" s="3199" t="s">
        <v>1524</v>
      </c>
      <c r="B45" s="3200"/>
      <c r="C45" s="3159"/>
      <c r="D45" s="242">
        <f ca="1">ROUND(I102*F45,0)</f>
        <v>6406677</v>
      </c>
      <c r="E45" s="1386" t="s">
        <v>1525</v>
      </c>
      <c r="F45" s="2301">
        <v>1</v>
      </c>
      <c r="G45" s="2302" t="s">
        <v>1526</v>
      </c>
      <c r="H45" s="862"/>
      <c r="I45" s="862"/>
      <c r="J45" s="2562"/>
      <c r="K45" s="3253" t="s">
        <v>2505</v>
      </c>
      <c r="L45" s="3253"/>
      <c r="M45" s="3253"/>
      <c r="N45" s="3253"/>
      <c r="O45" s="3253"/>
      <c r="P45" s="3253"/>
      <c r="Q45" s="1177"/>
    </row>
    <row r="46" spans="1:17" ht="14.25" customHeight="1">
      <c r="A46" s="3188" t="s">
        <v>1528</v>
      </c>
      <c r="B46" s="3189"/>
      <c r="C46" s="3189"/>
      <c r="D46" s="3189"/>
      <c r="E46" s="3189"/>
      <c r="F46" s="3189"/>
      <c r="G46" s="3190"/>
      <c r="H46" s="2678"/>
      <c r="I46" s="862"/>
      <c r="J46" s="2562"/>
      <c r="K46" s="2276">
        <v>1</v>
      </c>
      <c r="L46" s="3254" t="s">
        <v>2506</v>
      </c>
      <c r="M46" s="3254"/>
      <c r="N46" s="3255" t="str">
        <f>项目基本情况!B1</f>
        <v>北京市房地产抵押价值预评估</v>
      </c>
      <c r="O46" s="3255"/>
      <c r="P46" s="3255"/>
      <c r="Q46" s="1177"/>
    </row>
    <row r="47" spans="1:17" ht="12" customHeight="1">
      <c r="A47" s="34" t="s">
        <v>1530</v>
      </c>
      <c r="B47" s="35"/>
      <c r="C47" s="36"/>
      <c r="D47" s="979" t="s">
        <v>1531</v>
      </c>
      <c r="E47" s="231" t="s">
        <v>1532</v>
      </c>
      <c r="F47" s="37" t="s">
        <v>1533</v>
      </c>
      <c r="G47" s="2303" t="s">
        <v>1534</v>
      </c>
      <c r="H47" s="2678"/>
      <c r="I47" s="862"/>
      <c r="J47" s="2562"/>
      <c r="K47" s="2276">
        <v>2</v>
      </c>
      <c r="L47" s="3254" t="s">
        <v>2507</v>
      </c>
      <c r="M47" s="3254"/>
      <c r="N47" s="3256">
        <f>'数据-取费表'!B2</f>
        <v>44901</v>
      </c>
      <c r="O47" s="3256"/>
      <c r="P47" s="3256"/>
      <c r="Q47" s="1177"/>
    </row>
    <row r="48" spans="1:17" ht="26.4">
      <c r="A48" s="3198" t="s">
        <v>1536</v>
      </c>
      <c r="B48" s="3152"/>
      <c r="C48" s="3152"/>
      <c r="D48" s="11">
        <f ca="1">IF(H48="情况1",0,IF(H48="情况2",D52,IF(H48="情况3",D53,IF(H48="情况4",D54))))</f>
        <v>341689</v>
      </c>
      <c r="E48" s="1199" t="str">
        <f>IF(H48="情况4","(销售额-原购置价)×税（费）率","销售额×税（费）率")</f>
        <v>销售额×税（费）率</v>
      </c>
      <c r="F48" s="2304">
        <f>IF(H48="情况1","免征",'数据-取费表'!E29)</f>
        <v>5.6000000000000001E-2</v>
      </c>
      <c r="G48" s="2305" t="s">
        <v>1537</v>
      </c>
      <c r="H48" s="2306" t="s">
        <v>1538</v>
      </c>
      <c r="I48" s="2678"/>
      <c r="J48" s="2569"/>
      <c r="K48" s="2276">
        <v>3</v>
      </c>
      <c r="L48" s="3254" t="s">
        <v>2508</v>
      </c>
      <c r="M48" s="3254"/>
      <c r="N48" s="3255">
        <f ca="1">I102</f>
        <v>6406677</v>
      </c>
      <c r="O48" s="3255"/>
      <c r="P48" s="3255"/>
      <c r="Q48" s="1177"/>
    </row>
    <row r="49" spans="1:17" ht="25.5" customHeight="1">
      <c r="A49" s="1883" t="s">
        <v>1540</v>
      </c>
      <c r="B49" s="3191" t="s">
        <v>1541</v>
      </c>
      <c r="C49" s="3191"/>
      <c r="D49" s="2307">
        <v>0</v>
      </c>
      <c r="E49" s="257" t="s">
        <v>1542</v>
      </c>
      <c r="F49" s="2308" t="s">
        <v>48</v>
      </c>
      <c r="G49" s="3248"/>
      <c r="H49" s="2309" t="s">
        <v>2582</v>
      </c>
      <c r="I49" s="2310"/>
      <c r="J49" s="2570"/>
      <c r="K49" s="2276">
        <v>4</v>
      </c>
      <c r="L49" s="3254" t="str">
        <f>IF(项目基本情况!F5="房地产抵押价值","房地产抵押价值","抵押担保权已注销时的房地产抵押价值")</f>
        <v>房地产抵押价值</v>
      </c>
      <c r="M49" s="3254"/>
      <c r="N49" s="3255">
        <f ca="1">IF(项目基本情况!F5="房地产抵押价值",I110,I112)</f>
        <v>6406677</v>
      </c>
      <c r="O49" s="3255"/>
      <c r="P49" s="3255"/>
      <c r="Q49" s="1177"/>
    </row>
    <row r="50" spans="1:17" ht="25.5" customHeight="1">
      <c r="A50" s="1875"/>
      <c r="B50" s="3191" t="s">
        <v>1543</v>
      </c>
      <c r="C50" s="3191"/>
      <c r="D50" s="2311"/>
      <c r="E50" s="265"/>
      <c r="F50" s="2308"/>
      <c r="G50" s="3249"/>
      <c r="H50" s="2312" t="s">
        <v>2501</v>
      </c>
      <c r="I50" s="2310"/>
      <c r="J50" s="2570"/>
      <c r="K50" s="3254" t="s">
        <v>2509</v>
      </c>
      <c r="L50" s="3254"/>
      <c r="M50" s="3254"/>
      <c r="N50" s="3254"/>
      <c r="O50" s="3254"/>
      <c r="P50" s="3254"/>
      <c r="Q50" s="1177"/>
    </row>
    <row r="51" spans="1:17" ht="20.399999999999999" customHeight="1">
      <c r="A51" s="2313"/>
      <c r="B51" s="3191" t="s">
        <v>1545</v>
      </c>
      <c r="C51" s="3191"/>
      <c r="D51" s="979"/>
      <c r="E51" s="260"/>
      <c r="F51" s="2308"/>
      <c r="G51" s="3250"/>
      <c r="H51" s="2312" t="s">
        <v>2502</v>
      </c>
      <c r="I51" s="2310"/>
      <c r="J51" s="2570"/>
      <c r="K51" s="2277" t="s">
        <v>2510</v>
      </c>
      <c r="L51" s="3254" t="s">
        <v>2511</v>
      </c>
      <c r="M51" s="3254"/>
      <c r="N51" s="2277" t="s">
        <v>2512</v>
      </c>
      <c r="O51" s="2277" t="s">
        <v>2513</v>
      </c>
      <c r="P51" s="2277" t="s">
        <v>2514</v>
      </c>
      <c r="Q51" s="1177"/>
    </row>
    <row r="52" spans="1:17" ht="24" customHeight="1">
      <c r="A52" s="1876" t="s">
        <v>1551</v>
      </c>
      <c r="B52" s="3191" t="s">
        <v>1552</v>
      </c>
      <c r="C52" s="3191"/>
      <c r="D52" s="979">
        <f ca="1">ROUND(D45*'数据-取费表'!E29/(1+'数据-取费表'!F30),0)</f>
        <v>341689</v>
      </c>
      <c r="E52" s="1199" t="s">
        <v>1553</v>
      </c>
      <c r="F52" s="2314">
        <f>'数据-取费表'!E29</f>
        <v>5.6000000000000001E-2</v>
      </c>
      <c r="G52" s="2315"/>
      <c r="H52" s="862"/>
      <c r="I52" s="2679"/>
      <c r="J52" s="2570"/>
      <c r="K52" s="2276">
        <v>1</v>
      </c>
      <c r="L52" s="3221" t="s">
        <v>2515</v>
      </c>
      <c r="M52" s="3221"/>
      <c r="N52" s="2278">
        <f ca="1">D48</f>
        <v>341689</v>
      </c>
      <c r="O52" s="2276" t="str">
        <f>E48</f>
        <v>销售额×税（费）率</v>
      </c>
      <c r="P52" s="2279">
        <f>F48</f>
        <v>5.6000000000000001E-2</v>
      </c>
      <c r="Q52" s="1177"/>
    </row>
    <row r="53" spans="1:17" ht="12" customHeight="1">
      <c r="A53" s="1876" t="s">
        <v>1555</v>
      </c>
      <c r="B53" s="3153" t="s">
        <v>2593</v>
      </c>
      <c r="C53" s="3192"/>
      <c r="D53" s="979">
        <f ca="1">ROUND(D45*'数据-取费表'!E29/(1+'数据-取费表'!F30),0)</f>
        <v>341689</v>
      </c>
      <c r="E53" s="1199" t="s">
        <v>1553</v>
      </c>
      <c r="F53" s="2314">
        <f>'数据-取费表'!E29</f>
        <v>5.6000000000000001E-2</v>
      </c>
      <c r="G53" s="2315"/>
      <c r="H53" s="862"/>
      <c r="I53" s="2679"/>
      <c r="J53" s="2570"/>
      <c r="K53" s="2276">
        <v>2</v>
      </c>
      <c r="L53" s="3221" t="s">
        <v>2516</v>
      </c>
      <c r="M53" s="3221"/>
      <c r="N53" s="2278">
        <f t="shared" ref="N53:P54" si="1">D55</f>
        <v>0</v>
      </c>
      <c r="O53" s="2276" t="str">
        <f t="shared" si="1"/>
        <v>销售额×税（费）率</v>
      </c>
      <c r="P53" s="2279" t="str">
        <f t="shared" si="1"/>
        <v>免征</v>
      </c>
      <c r="Q53" s="1177"/>
    </row>
    <row r="54" spans="1:17" ht="12" customHeight="1">
      <c r="A54" s="1876" t="s">
        <v>1557</v>
      </c>
      <c r="B54" s="3153" t="s">
        <v>2594</v>
      </c>
      <c r="C54" s="3192"/>
      <c r="D54" s="979">
        <f ca="1">C68</f>
        <v>341689</v>
      </c>
      <c r="E54" s="260" t="s">
        <v>1558</v>
      </c>
      <c r="F54" s="2314">
        <f>'数据-取费表'!E29</f>
        <v>5.6000000000000001E-2</v>
      </c>
      <c r="G54" s="2315"/>
      <c r="H54" s="2680"/>
      <c r="I54" s="2679"/>
      <c r="J54" s="2570"/>
      <c r="K54" s="2276">
        <v>3</v>
      </c>
      <c r="L54" s="3221" t="s">
        <v>2517</v>
      </c>
      <c r="M54" s="3221"/>
      <c r="N54" s="2278">
        <f t="shared" si="1"/>
        <v>0</v>
      </c>
      <c r="O54" s="2276" t="str">
        <f t="shared" si="1"/>
        <v>增值额×税（费）率</v>
      </c>
      <c r="P54" s="2280" t="str">
        <f t="shared" si="1"/>
        <v>免征</v>
      </c>
      <c r="Q54" s="1177"/>
    </row>
    <row r="55" spans="1:17" ht="24" customHeight="1">
      <c r="A55" s="3151" t="s">
        <v>1560</v>
      </c>
      <c r="B55" s="3152"/>
      <c r="C55" s="3152"/>
      <c r="D55" s="11">
        <f>IF(H55="个人住宅",0,ROUND(D45*I55,0))</f>
        <v>0</v>
      </c>
      <c r="E55" s="1199" t="s">
        <v>1561</v>
      </c>
      <c r="F55" s="2314" t="str">
        <f>IF(H55="正常",I55,"免征")</f>
        <v>免征</v>
      </c>
      <c r="G55" s="2315"/>
      <c r="H55" s="2306" t="s">
        <v>2498</v>
      </c>
      <c r="I55" s="70">
        <f>'数据-取费表'!E37</f>
        <v>5.0000000000000001E-4</v>
      </c>
      <c r="J55" s="2570"/>
      <c r="K55" s="2276" t="str">
        <f>IF(H59="非个人房产","",4)</f>
        <v/>
      </c>
      <c r="L55" s="3221" t="str">
        <f>IF(H59="非个人房产","——","个人所得税")</f>
        <v>——</v>
      </c>
      <c r="M55" s="3221"/>
      <c r="N55" s="2281" t="str">
        <f>D59</f>
        <v>——</v>
      </c>
      <c r="O55" s="2282" t="str">
        <f>E59</f>
        <v>——</v>
      </c>
      <c r="P55" s="2283" t="str">
        <f>F59</f>
        <v>——</v>
      </c>
      <c r="Q55" s="1177"/>
    </row>
    <row r="56" spans="1:17" ht="25.2">
      <c r="A56" s="3151" t="s">
        <v>1563</v>
      </c>
      <c r="B56" s="3152"/>
      <c r="C56" s="3152"/>
      <c r="D56" s="11">
        <f>IF(H56="个人住宅",D57,D58)</f>
        <v>0</v>
      </c>
      <c r="E56" s="1199" t="s">
        <v>1564</v>
      </c>
      <c r="F56" s="2314" t="str">
        <f>IF(H56="正常",F58,"免征")</f>
        <v>免征</v>
      </c>
      <c r="G56" s="2316" t="s">
        <v>1565</v>
      </c>
      <c r="H56" s="2317" t="s">
        <v>2498</v>
      </c>
      <c r="I56" s="2681"/>
      <c r="J56" s="2570"/>
      <c r="K56" s="2276" t="str">
        <f>IF(项目基本情况!I6="上海银行",IF(K55="",4,K55+1),"")</f>
        <v/>
      </c>
      <c r="L56" s="3235" t="str">
        <f>IF(项目基本情况!I6="上海银行","其他处置费用","")</f>
        <v/>
      </c>
      <c r="M56" s="3236"/>
      <c r="N56" s="2278" t="str">
        <f>IF(项目基本情况!I6="上海银行",N69,"")</f>
        <v/>
      </c>
      <c r="O56" s="3235" t="str">
        <f>IF(项目基本情况!I6="上海银行","包含处置中涉及的律师、诉讼、拍卖、评估等费用","")</f>
        <v/>
      </c>
      <c r="P56" s="3247"/>
      <c r="Q56" s="1177"/>
    </row>
    <row r="57" spans="1:17" ht="13.2">
      <c r="A57" s="1876" t="s">
        <v>1540</v>
      </c>
      <c r="B57" s="3153" t="s">
        <v>1566</v>
      </c>
      <c r="C57" s="3192"/>
      <c r="D57" s="2307">
        <v>0</v>
      </c>
      <c r="E57" s="257" t="s">
        <v>1542</v>
      </c>
      <c r="F57" s="231"/>
      <c r="G57" s="2315"/>
      <c r="H57" s="2681"/>
      <c r="I57" s="2681"/>
      <c r="J57" s="2570"/>
      <c r="K57" s="3221">
        <f>IF(AND(K55="",K56=""),4,IF(项目基本情况!I6="上海银行",K56+1,K55+1))</f>
        <v>4</v>
      </c>
      <c r="L57" s="3221" t="s">
        <v>2518</v>
      </c>
      <c r="M57" s="2284" t="s">
        <v>2519</v>
      </c>
      <c r="N57" s="2285"/>
      <c r="O57" s="2286">
        <f ca="1">SUMIF(N52:N56,"&lt;9e307")</f>
        <v>341689</v>
      </c>
      <c r="P57" s="2287"/>
      <c r="Q57" s="1175">
        <f ca="1">O57/N49</f>
        <v>5.3333264654984169E-2</v>
      </c>
    </row>
    <row r="58" spans="1:17" ht="25.2">
      <c r="A58" s="1876" t="s">
        <v>1551</v>
      </c>
      <c r="B58" s="3153" t="s">
        <v>1569</v>
      </c>
      <c r="C58" s="3191"/>
      <c r="D58" s="11">
        <f ca="1">IF(H58="转让取得",C81,C97)</f>
        <v>3626179</v>
      </c>
      <c r="E58" s="1199" t="s">
        <v>1564</v>
      </c>
      <c r="F58" s="231" t="s">
        <v>48</v>
      </c>
      <c r="G58" s="2315"/>
      <c r="H58" s="2317" t="s">
        <v>1570</v>
      </c>
      <c r="I58" s="2681"/>
      <c r="J58" s="2570"/>
      <c r="K58" s="3221"/>
      <c r="L58" s="3221"/>
      <c r="M58" s="2284" t="s">
        <v>2520</v>
      </c>
      <c r="N58" s="2288"/>
      <c r="O58" s="2289" t="str">
        <f ca="1">IF(H19="元",NUMBERSTRING(INT(O57),2)&amp;"元整",NUMBERSTRING(INT(O57*10000),2)&amp;"元整")</f>
        <v>叁拾肆万壹仟陆佰捌拾玖元整</v>
      </c>
      <c r="P58" s="2290"/>
      <c r="Q58" s="1177"/>
    </row>
    <row r="59" spans="1:17" ht="24.6" thickBot="1">
      <c r="A59" s="3175" t="s">
        <v>1572</v>
      </c>
      <c r="B59" s="3176"/>
      <c r="C59" s="3176"/>
      <c r="D59" s="2318" t="str">
        <f>IF(H59="非个人房产","——",IF(H59="个人住宅（满五唯一有凭证）",0,IF(H59="个人其他（无凭证）",ROUND(D45*F59,0),ROUND(C67*F59,0))))</f>
        <v>——</v>
      </c>
      <c r="E59" s="1877" t="str">
        <f>IF(H59="非个人房产","——",IF(H59="个人其他（无凭证）","销售额×税（费）率",IF(H59="个人住宅（满五唯一有凭证）","免征","差额计税")))</f>
        <v>——</v>
      </c>
      <c r="F59" s="2319" t="str">
        <f>IF(OR(H59="非个人房产",H59="个人住宅（满五唯一有凭证）"),"——",IF(H59="个人其他（有凭证）",20%,1%))</f>
        <v>——</v>
      </c>
      <c r="G59" s="2540" t="s">
        <v>2573</v>
      </c>
      <c r="H59" s="1887" t="s">
        <v>2583</v>
      </c>
      <c r="I59" s="2597" t="s">
        <v>2584</v>
      </c>
      <c r="J59" s="2570"/>
      <c r="K59" s="3219">
        <f>K57+1</f>
        <v>5</v>
      </c>
      <c r="L59" s="3221" t="s">
        <v>2521</v>
      </c>
      <c r="M59" s="2276" t="s">
        <v>2519</v>
      </c>
      <c r="N59" s="2291"/>
      <c r="O59" s="2292">
        <f ca="1">N49-O57</f>
        <v>6064988</v>
      </c>
      <c r="P59" s="2293"/>
      <c r="Q59" s="1177"/>
    </row>
    <row r="60" spans="1:17" ht="12" customHeight="1">
      <c r="A60" s="1309"/>
      <c r="B60" s="1313"/>
      <c r="C60" s="1313"/>
      <c r="D60" s="1313"/>
      <c r="E60" s="735"/>
      <c r="F60" s="2682"/>
      <c r="G60" s="2682"/>
      <c r="H60" s="2683"/>
      <c r="I60" s="27"/>
      <c r="K60" s="3220"/>
      <c r="L60" s="3221"/>
      <c r="M60" s="2284" t="s">
        <v>2520</v>
      </c>
      <c r="N60" s="2288"/>
      <c r="O60" s="2289" t="str">
        <f ca="1">IF(H19="元",NUMBERSTRING(INT(O59),2)&amp;"元整",NUMBERSTRING(INT(O59*10000),2)&amp;"元整")</f>
        <v>陆佰零陆万肆仟玖佰捌拾捌元整</v>
      </c>
      <c r="P60" s="2290"/>
      <c r="Q60" s="1177"/>
    </row>
    <row r="61" spans="1:17" ht="13.8" thickBot="1">
      <c r="A61" s="3201" t="s">
        <v>1574</v>
      </c>
      <c r="B61" s="3201"/>
      <c r="C61" s="3201"/>
      <c r="D61" s="3201"/>
      <c r="E61" s="3201"/>
      <c r="F61" s="2682"/>
      <c r="G61" s="2682"/>
      <c r="H61" s="33"/>
      <c r="I61" s="27"/>
      <c r="K61" s="2276">
        <f>K59+1</f>
        <v>6</v>
      </c>
      <c r="L61" s="3221" t="s">
        <v>2522</v>
      </c>
      <c r="M61" s="3221"/>
      <c r="N61" s="2294"/>
      <c r="O61" s="2295">
        <f ca="1">IF(H19="元",ROUND(O59/项目基本情况!C12,0),ROUND(O59*10000/项目基本情况!C12,0))</f>
        <v>36627</v>
      </c>
      <c r="P61" s="2296"/>
      <c r="Q61" s="1177"/>
    </row>
    <row r="62" spans="1:17" ht="13.2">
      <c r="A62" s="3210" t="s">
        <v>1576</v>
      </c>
      <c r="B62" s="3211"/>
      <c r="C62" s="1445"/>
      <c r="D62" s="1445" t="s">
        <v>1577</v>
      </c>
      <c r="E62" s="41" t="s">
        <v>1578</v>
      </c>
      <c r="F62" s="2682"/>
      <c r="G62" s="2682"/>
      <c r="H62" s="33"/>
      <c r="I62" s="27"/>
      <c r="K62" s="2297"/>
      <c r="L62" s="2297"/>
      <c r="M62" s="2297"/>
      <c r="N62" s="2297"/>
      <c r="O62" s="2297"/>
      <c r="P62" s="2297"/>
      <c r="Q62" s="1177"/>
    </row>
    <row r="63" spans="1:17" ht="13.2">
      <c r="A63" s="42">
        <v>1</v>
      </c>
      <c r="B63" s="43" t="s">
        <v>1579</v>
      </c>
      <c r="C63" s="2501">
        <f ca="1">ROUND((C64+C65)/(1+'数据-取费表'!F30),0)</f>
        <v>6101597</v>
      </c>
      <c r="D63" s="43"/>
      <c r="E63" s="44"/>
      <c r="F63" s="2682"/>
      <c r="G63" s="2682"/>
      <c r="H63" s="33"/>
      <c r="I63" s="27"/>
      <c r="K63" s="3237" t="s">
        <v>2523</v>
      </c>
      <c r="L63" s="2298" t="s">
        <v>2524</v>
      </c>
      <c r="M63" s="2298">
        <f ca="1">IF(N49&gt;10000,N49*0.5%,IF(AND(N49&gt;1000,N49&lt;=10000),N49*1%,IF(AND(N49&gt;100,N49&lt;=1000),N49*3%,IF(AND(N49&gt;10,N49&lt;=100),N49*5%,N49*8%))))</f>
        <v>32033.385000000002</v>
      </c>
      <c r="N63" s="2299">
        <f ca="1">ROUND(M63,1)</f>
        <v>32033.4</v>
      </c>
      <c r="O63" s="2297"/>
      <c r="P63" s="2297"/>
      <c r="Q63" s="1177"/>
    </row>
    <row r="64" spans="1:17" ht="13.2">
      <c r="A64" s="45" t="s">
        <v>71</v>
      </c>
      <c r="B64" s="46" t="s">
        <v>1582</v>
      </c>
      <c r="C64" s="2502">
        <f ca="1">D45</f>
        <v>6406677</v>
      </c>
      <c r="D64" s="46" t="s">
        <v>41</v>
      </c>
      <c r="E64" s="48"/>
      <c r="F64" s="2682"/>
      <c r="G64" s="2682"/>
      <c r="H64" s="33"/>
      <c r="I64" s="27"/>
      <c r="K64" s="3237"/>
      <c r="L64" s="2298" t="s">
        <v>2525</v>
      </c>
      <c r="M64" s="2298">
        <f ca="1">IF(N49&gt;2000,N49*0.5%,IF(AND(N49&gt;1000,N49&lt;=2000),N49*0.6%,IF(AND(N49&gt;500,N49&lt;=1000),N49*0.7%,IF(AND(N49&gt;200,N49&lt;=500),N49*0.8%,IF(AND(N49&gt;100,N49&lt;=200),N49*0.9%,IF(AND(N49&gt;50,N49&lt;=100),N49*1%,IF(AND(N49&gt;20,N49&lt;=50),N49*1.5%,IF(AND(N49&gt;10,N49&lt;=20),N49*2%,IF(AND(N49&gt;1,N49&lt;=10),N49*2.5%)))))))))</f>
        <v>32033.385000000002</v>
      </c>
      <c r="N64" s="2299">
        <f t="shared" ref="N64:N65" ca="1" si="2">ROUND(M64,1)</f>
        <v>32033.4</v>
      </c>
      <c r="O64" s="2297" t="s">
        <v>2526</v>
      </c>
      <c r="P64" s="2297"/>
      <c r="Q64" s="1177"/>
    </row>
    <row r="65" spans="1:36" ht="13.2">
      <c r="A65" s="45" t="s">
        <v>72</v>
      </c>
      <c r="B65" s="46" t="s">
        <v>1585</v>
      </c>
      <c r="C65" s="2503"/>
      <c r="D65" s="46"/>
      <c r="E65" s="48"/>
      <c r="F65" s="2682"/>
      <c r="G65" s="2682"/>
      <c r="H65" s="33"/>
      <c r="I65" s="27"/>
      <c r="K65" s="3237"/>
      <c r="L65" s="2298" t="s">
        <v>2527</v>
      </c>
      <c r="M65" s="2298">
        <f ca="1">IF(N49&gt;1000,N49*0.1%,IF(AND(N49&gt;500,N49&lt;=1000),N49*0.5%,IF(AND(N49&gt;50,N49&lt;=500),N49*1%,IF(AND(N49&gt;1,N49&lt;=50),N49*1.5%))))</f>
        <v>6406.6769999999997</v>
      </c>
      <c r="N65" s="2299">
        <f t="shared" ca="1" si="2"/>
        <v>6406.7</v>
      </c>
      <c r="O65" s="2297" t="s">
        <v>2526</v>
      </c>
      <c r="P65" s="2297"/>
      <c r="Q65" s="1177"/>
    </row>
    <row r="66" spans="1:36" ht="25.2">
      <c r="A66" s="49" t="s">
        <v>47</v>
      </c>
      <c r="B66" s="50" t="s">
        <v>1587</v>
      </c>
      <c r="C66" s="2504"/>
      <c r="D66" s="50" t="s">
        <v>41</v>
      </c>
      <c r="E66" s="1185" t="s">
        <v>1588</v>
      </c>
      <c r="F66" s="2682"/>
      <c r="G66" s="2682"/>
      <c r="H66" s="33"/>
      <c r="I66" s="27"/>
      <c r="K66" s="3237"/>
      <c r="L66" s="2298" t="s">
        <v>2528</v>
      </c>
      <c r="M66" s="2298">
        <f ca="1">N49*0.5%</f>
        <v>32033.385000000002</v>
      </c>
      <c r="N66" s="2299">
        <f ca="1">IF(M66&gt;0.5,0.5,ROUND(M66,0))</f>
        <v>0.5</v>
      </c>
      <c r="O66" s="2297" t="s">
        <v>2529</v>
      </c>
      <c r="P66" s="2297"/>
      <c r="Q66" s="1177"/>
    </row>
    <row r="67" spans="1:36" ht="13.2">
      <c r="A67" s="49" t="s">
        <v>42</v>
      </c>
      <c r="B67" s="50" t="s">
        <v>1591</v>
      </c>
      <c r="C67" s="2505">
        <f ca="1">C63-C66</f>
        <v>6101597</v>
      </c>
      <c r="D67" s="46" t="s">
        <v>41</v>
      </c>
      <c r="E67" s="48"/>
      <c r="F67" s="2682"/>
      <c r="G67" s="2682"/>
      <c r="H67" s="33"/>
      <c r="I67" s="27"/>
      <c r="K67" s="3237"/>
      <c r="L67" s="2298" t="s">
        <v>2530</v>
      </c>
      <c r="M67" s="2298">
        <f ca="1">IF(N49&gt;=10000,(8.25+(N49-10000)*0.01%),IF(AND(N49&gt;=8000,N49&lt;10000),(7.85+(N49-8000)*0.02%),IF(AND(N49&gt;=5000,N49&lt;8000),(6.65+(N49-5000)*0.04%),IF(AND(N49&gt;=2000,N49&lt;5000),(4.25+(PN49-2000)*0.08%),IF(AND(N49&gt;=1000,N49&lt;2000),(2.75+(N49-1000)*0.15%),IF(AND(N49&gt;=100,N49&lt;1000),(0.5+(N49-100)*0.25%),IF(AND(N49&gt;0,N49&lt;100),N49*0.5%)))))))</f>
        <v>647.91770000000008</v>
      </c>
      <c r="N67" s="2299">
        <f ca="1">ROUND(M67*0.9,1)</f>
        <v>583.1</v>
      </c>
      <c r="O67" s="2297"/>
      <c r="P67" s="2297"/>
      <c r="Q67" s="1177"/>
    </row>
    <row r="68" spans="1:36" ht="13.8" thickBot="1">
      <c r="A68" s="51" t="s">
        <v>46</v>
      </c>
      <c r="B68" s="52" t="s">
        <v>1593</v>
      </c>
      <c r="C68" s="2506">
        <f ca="1">IF(C67&lt;=0,0,ROUND(C67*D68,0))</f>
        <v>341689</v>
      </c>
      <c r="D68" s="2023">
        <f>'数据-取费表'!E29</f>
        <v>5.6000000000000001E-2</v>
      </c>
      <c r="E68" s="53"/>
      <c r="F68" s="2682"/>
      <c r="G68" s="2682"/>
      <c r="H68" s="33"/>
      <c r="I68" s="27"/>
      <c r="K68" s="3237"/>
      <c r="L68" s="2298" t="s">
        <v>2531</v>
      </c>
      <c r="M68" s="2298">
        <f ca="1">IF(N49&gt;10000,N49*0.5%,IF(AND(N49&gt;5000,N49&lt;=10000),N49*1%,IF(AND(N49&gt;1000,N49&lt;=5000),N49*2%,IF(AND(N49&gt;200,N49&lt;=1000),N49*3%,N49*5%))))</f>
        <v>32033.385000000002</v>
      </c>
      <c r="N68" s="2299">
        <f ca="1">ROUND(M68,1)</f>
        <v>32033.4</v>
      </c>
      <c r="O68" s="2297"/>
      <c r="P68" s="2297"/>
      <c r="Q68" s="1177"/>
    </row>
    <row r="69" spans="1:36" ht="7.5" customHeight="1">
      <c r="A69" s="1326"/>
      <c r="B69" s="1327"/>
      <c r="C69" s="1328"/>
      <c r="D69" s="1329"/>
      <c r="E69" s="1330"/>
      <c r="F69" s="735"/>
      <c r="G69" s="735"/>
      <c r="H69" s="786"/>
      <c r="I69" s="1313"/>
      <c r="K69" s="3237"/>
      <c r="L69" s="2298" t="s">
        <v>54</v>
      </c>
      <c r="M69" s="2298"/>
      <c r="N69" s="2299">
        <f ca="1">ROUND(SUM(N63:N68),0)</f>
        <v>103091</v>
      </c>
      <c r="O69" s="2300">
        <f ca="1">N69/N49</f>
        <v>1.6091181122444599E-2</v>
      </c>
      <c r="P69" s="2297"/>
      <c r="Q69" s="1177"/>
    </row>
    <row r="70" spans="1:36" s="582" customFormat="1" ht="14.4" thickBot="1">
      <c r="A70" s="3213" t="s">
        <v>1596</v>
      </c>
      <c r="B70" s="3214"/>
      <c r="C70" s="3214"/>
      <c r="D70" s="3214"/>
      <c r="E70" s="3214"/>
      <c r="F70" s="3214"/>
      <c r="G70" s="3214"/>
      <c r="H70" s="3214"/>
      <c r="I70" s="1331"/>
      <c r="J70" s="2571"/>
      <c r="P70" s="888"/>
      <c r="Q70" s="888"/>
      <c r="R70" s="888"/>
      <c r="S70" s="888"/>
      <c r="T70" s="888"/>
      <c r="U70" s="888"/>
      <c r="V70" s="888"/>
      <c r="W70" s="888"/>
      <c r="X70" s="888"/>
      <c r="Y70" s="888"/>
      <c r="Z70" s="888"/>
      <c r="AA70" s="888"/>
      <c r="AB70" s="1325"/>
      <c r="AC70" s="1325"/>
      <c r="AD70" s="1325"/>
      <c r="AE70" s="1325"/>
      <c r="AF70" s="1325"/>
      <c r="AG70" s="1325"/>
      <c r="AH70" s="1325"/>
      <c r="AI70" s="1325"/>
      <c r="AJ70" s="1325"/>
    </row>
    <row r="71" spans="1:36" s="582" customFormat="1" ht="13.8">
      <c r="A71" s="3210" t="s">
        <v>1576</v>
      </c>
      <c r="B71" s="3211"/>
      <c r="C71" s="1445"/>
      <c r="D71" s="1445" t="s">
        <v>1577</v>
      </c>
      <c r="E71" s="54" t="s">
        <v>1578</v>
      </c>
      <c r="F71" s="55"/>
      <c r="G71" s="55"/>
      <c r="H71" s="56"/>
      <c r="I71" s="1332"/>
      <c r="J71" s="2572"/>
      <c r="P71" s="888"/>
      <c r="Q71" s="888"/>
      <c r="R71" s="888"/>
      <c r="S71" s="888"/>
      <c r="T71" s="888"/>
      <c r="U71" s="888"/>
      <c r="V71" s="888"/>
      <c r="W71" s="888"/>
      <c r="X71" s="888"/>
      <c r="Y71" s="888"/>
      <c r="Z71" s="888"/>
      <c r="AA71" s="888"/>
      <c r="AB71" s="1325"/>
      <c r="AC71" s="1325"/>
      <c r="AD71" s="1325"/>
      <c r="AE71" s="1325"/>
      <c r="AF71" s="1325"/>
      <c r="AG71" s="1325"/>
      <c r="AH71" s="1325"/>
      <c r="AI71" s="1325"/>
      <c r="AJ71" s="1325"/>
    </row>
    <row r="72" spans="1:36" s="582" customFormat="1" ht="13.8">
      <c r="A72" s="57">
        <v>1</v>
      </c>
      <c r="B72" s="50" t="s">
        <v>1597</v>
      </c>
      <c r="C72" s="2505">
        <f ca="1">ROUND(D45/(1+'数据-取费表'!F30),0)</f>
        <v>6101597</v>
      </c>
      <c r="D72" s="46" t="s">
        <v>41</v>
      </c>
      <c r="E72" s="11" t="s">
        <v>1598</v>
      </c>
      <c r="F72" s="1197"/>
      <c r="G72" s="1197"/>
      <c r="H72" s="58"/>
      <c r="I72" s="1332"/>
      <c r="J72" s="2572"/>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3.8">
      <c r="A73" s="59">
        <v>2</v>
      </c>
      <c r="B73" s="37" t="s">
        <v>1599</v>
      </c>
      <c r="C73" s="2505">
        <f ca="1">C74+C78</f>
        <v>36610</v>
      </c>
      <c r="D73" s="46" t="s">
        <v>41</v>
      </c>
      <c r="E73" s="1196"/>
      <c r="F73" s="1197"/>
      <c r="G73" s="1197"/>
      <c r="H73" s="58"/>
      <c r="I73" s="1332"/>
      <c r="J73" s="2572"/>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24">
      <c r="A74" s="45" t="s">
        <v>73</v>
      </c>
      <c r="B74" s="46" t="s">
        <v>1600</v>
      </c>
      <c r="C74" s="46">
        <f>ROUND(IF(G77="2016年5月1日后购买",C75/(1+'数据-取费表'!F30)+C76+C77,C75+C76+C77),0)</f>
        <v>0</v>
      </c>
      <c r="D74" s="46" t="s">
        <v>41</v>
      </c>
      <c r="E74" s="1196"/>
      <c r="F74" s="1197"/>
      <c r="G74" s="1197"/>
      <c r="H74" s="58"/>
      <c r="I74" s="1332"/>
      <c r="J74" s="2572"/>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28.8">
      <c r="A75" s="45" t="s">
        <v>74</v>
      </c>
      <c r="B75" s="46" t="s">
        <v>1601</v>
      </c>
      <c r="C75" s="2025"/>
      <c r="D75" s="46" t="s">
        <v>41</v>
      </c>
      <c r="E75" s="60" t="s">
        <v>1602</v>
      </c>
      <c r="F75" s="2509" t="s">
        <v>1603</v>
      </c>
      <c r="G75" s="60" t="s">
        <v>1604</v>
      </c>
      <c r="H75" s="2510"/>
      <c r="I75" s="8"/>
      <c r="J75" s="2573"/>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24.75" customHeight="1">
      <c r="A76" s="45" t="s">
        <v>75</v>
      </c>
      <c r="B76" s="61" t="s">
        <v>1605</v>
      </c>
      <c r="C76" s="46">
        <f>IF(F75="购房发票",ROUND(C75*H75*D76,0),0)</f>
        <v>0</v>
      </c>
      <c r="D76" s="2511">
        <v>0.05</v>
      </c>
      <c r="E76" s="3153" t="s">
        <v>1606</v>
      </c>
      <c r="F76" s="3191"/>
      <c r="G76" s="3191"/>
      <c r="H76" s="3205"/>
      <c r="I76" s="1332"/>
      <c r="J76" s="2572"/>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24.75" customHeight="1">
      <c r="A77" s="45" t="s">
        <v>76</v>
      </c>
      <c r="B77" s="46" t="s">
        <v>1607</v>
      </c>
      <c r="C77" s="46">
        <f>ROUND(IF(G77="个人住宅",0,IF(G77="2016年5月1日前购买",C75*D77,C75*D77/(1+'数据-取费表'!F30))),0)</f>
        <v>0</v>
      </c>
      <c r="D77" s="2512">
        <f>'数据-取费表'!E36+'数据-取费表'!E37</f>
        <v>3.0499999999999999E-2</v>
      </c>
      <c r="E77" s="11" t="s">
        <v>1608</v>
      </c>
      <c r="F77" s="1886"/>
      <c r="G77" s="1333" t="s">
        <v>1609</v>
      </c>
      <c r="H77" s="1882" t="str">
        <f>IF(G77="个人买卖住房","免征印花税"," ")</f>
        <v xml:space="preserve"> </v>
      </c>
      <c r="I77" s="1332"/>
      <c r="J77" s="2572"/>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77</v>
      </c>
      <c r="B78" s="46" t="s">
        <v>1610</v>
      </c>
      <c r="C78" s="2513">
        <f ca="1">ROUND(D45*D78/(1+'数据-取费表'!F30),0)</f>
        <v>36610</v>
      </c>
      <c r="D78" s="2514">
        <f>'数据-取费表'!E31</f>
        <v>6.000000000000001E-3</v>
      </c>
      <c r="E78" s="3185" t="s">
        <v>1611</v>
      </c>
      <c r="F78" s="3186"/>
      <c r="G78" s="3186"/>
      <c r="H78" s="3187"/>
      <c r="I78" s="1334"/>
      <c r="J78" s="2574"/>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13.8">
      <c r="A79" s="49" t="s">
        <v>42</v>
      </c>
      <c r="B79" s="50" t="s">
        <v>1612</v>
      </c>
      <c r="C79" s="2505">
        <f ca="1">C72-C73</f>
        <v>6064987</v>
      </c>
      <c r="D79" s="46" t="s">
        <v>41</v>
      </c>
      <c r="E79" s="1196"/>
      <c r="F79" s="1197"/>
      <c r="G79" s="1197"/>
      <c r="H79" s="58"/>
      <c r="I79" s="1332"/>
      <c r="J79" s="2572"/>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
      <c r="A80" s="49" t="s">
        <v>43</v>
      </c>
      <c r="B80" s="50" t="s">
        <v>1613</v>
      </c>
      <c r="C80" s="2515">
        <f ca="1">IF(C79&lt;=0,0,C79/C73)</f>
        <v>165.66476372575798</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7"/>
      <c r="G80" s="1197"/>
      <c r="H80" s="58"/>
      <c r="I80" s="1332"/>
      <c r="J80" s="2572"/>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24.6" thickBot="1">
      <c r="A81" s="51" t="s">
        <v>44</v>
      </c>
      <c r="B81" s="52" t="s">
        <v>1614</v>
      </c>
      <c r="C81" s="2516">
        <f ca="1">ROUND(IF(C79&lt;=0,0,IF(C80&gt;=200%,C79*60%-C73*35%,IF(C80&gt;=100%,C79*50%-C73*15%,IF(C80&gt;=50%,C79*40%-C73*5%,IF(C80&lt;50%,C79*30%,0))))),0)</f>
        <v>3626179</v>
      </c>
      <c r="D81" s="1957"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2"/>
      <c r="J81" s="2572"/>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7.5" customHeight="1">
      <c r="A82" s="8"/>
      <c r="B82" s="584"/>
      <c r="C82" s="8"/>
      <c r="D82" s="8"/>
      <c r="E82" s="584"/>
      <c r="F82" s="584"/>
      <c r="G82" s="584"/>
      <c r="H82" s="585"/>
      <c r="I82" s="1334"/>
      <c r="J82" s="2574"/>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4.4" thickBot="1">
      <c r="A83" s="3213" t="s">
        <v>1615</v>
      </c>
      <c r="B83" s="3214"/>
      <c r="C83" s="3214"/>
      <c r="D83" s="3214"/>
      <c r="E83" s="3214"/>
      <c r="F83" s="3214"/>
      <c r="G83" s="3214"/>
      <c r="H83" s="3214"/>
      <c r="I83" s="8"/>
      <c r="J83" s="2573"/>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13.8">
      <c r="A84" s="3210" t="s">
        <v>1576</v>
      </c>
      <c r="B84" s="3211"/>
      <c r="C84" s="1445"/>
      <c r="D84" s="1445" t="s">
        <v>1577</v>
      </c>
      <c r="E84" s="54" t="s">
        <v>1578</v>
      </c>
      <c r="F84" s="55"/>
      <c r="G84" s="55"/>
      <c r="H84" s="68"/>
      <c r="I84" s="8"/>
      <c r="J84" s="2573"/>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24">
      <c r="A85" s="57">
        <v>1</v>
      </c>
      <c r="B85" s="50" t="s">
        <v>1597</v>
      </c>
      <c r="C85" s="2505">
        <f ca="1">ROUND(D45/(1+'数据-取费表'!F30),0)</f>
        <v>6101597</v>
      </c>
      <c r="D85" s="46" t="s">
        <v>41</v>
      </c>
      <c r="E85" s="1196" t="s">
        <v>1598</v>
      </c>
      <c r="F85" s="1197"/>
      <c r="G85" s="1197"/>
      <c r="H85" s="69"/>
      <c r="I85" s="8"/>
      <c r="J85" s="2573"/>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3.8">
      <c r="A86" s="59">
        <v>2</v>
      </c>
      <c r="B86" s="37" t="s">
        <v>1599</v>
      </c>
      <c r="C86" s="2505">
        <f ca="1">IF(H88="仅含出让金",C87+C90+C91+C92+C93+C94,C87+C91+C92+C93+C94)</f>
        <v>36610</v>
      </c>
      <c r="D86" s="2517"/>
      <c r="E86" s="1196"/>
      <c r="F86" s="1197"/>
      <c r="G86" s="1197"/>
      <c r="H86" s="69"/>
      <c r="I86" s="8"/>
      <c r="J86" s="2573"/>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3.8">
      <c r="A87" s="45" t="s">
        <v>73</v>
      </c>
      <c r="B87" s="46" t="s">
        <v>1616</v>
      </c>
      <c r="C87" s="2513">
        <f>C88+C89</f>
        <v>0</v>
      </c>
      <c r="D87" s="2514"/>
      <c r="E87" s="1879"/>
      <c r="F87" s="1880"/>
      <c r="G87" s="1880"/>
      <c r="H87" s="1881"/>
      <c r="I87" s="8"/>
      <c r="J87" s="2573"/>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4.4">
      <c r="A88" s="45" t="s">
        <v>74</v>
      </c>
      <c r="B88" s="46" t="s">
        <v>1617</v>
      </c>
      <c r="C88" s="2518"/>
      <c r="D88" s="2514"/>
      <c r="E88" s="70" t="s">
        <v>1618</v>
      </c>
      <c r="F88" s="1880"/>
      <c r="G88" s="71" t="s">
        <v>1619</v>
      </c>
      <c r="H88" s="1335"/>
      <c r="I88" s="8"/>
      <c r="J88" s="2573"/>
      <c r="K88" s="2675" t="s">
        <v>2577</v>
      </c>
      <c r="L88" s="1325"/>
      <c r="M88" s="1325"/>
      <c r="N88" s="1325"/>
      <c r="O88" s="1325"/>
      <c r="P88" s="1325"/>
      <c r="Q88" s="1325"/>
      <c r="R88" s="1325"/>
      <c r="S88" s="1325"/>
      <c r="T88" s="888"/>
      <c r="U88" s="888"/>
      <c r="V88" s="888"/>
      <c r="W88" s="888"/>
      <c r="X88" s="888"/>
      <c r="Y88" s="888"/>
      <c r="Z88" s="888"/>
      <c r="AA88" s="888"/>
      <c r="AB88" s="1325"/>
      <c r="AC88" s="1325"/>
      <c r="AD88" s="1325"/>
      <c r="AE88" s="1325"/>
      <c r="AF88" s="1325"/>
      <c r="AG88" s="1325"/>
      <c r="AH88" s="1325"/>
      <c r="AI88" s="1325"/>
      <c r="AJ88" s="1325"/>
    </row>
    <row r="89" spans="1:36" s="582" customFormat="1" ht="13.8">
      <c r="A89" s="45" t="s">
        <v>75</v>
      </c>
      <c r="B89" s="46" t="s">
        <v>1607</v>
      </c>
      <c r="C89" s="2513">
        <f>ROUND(C88*D89,0)</f>
        <v>0</v>
      </c>
      <c r="D89" s="2514">
        <f>'数据-取费表'!E36+'数据-取费表'!E37</f>
        <v>3.0499999999999999E-2</v>
      </c>
      <c r="E89" s="70" t="s">
        <v>1620</v>
      </c>
      <c r="F89" s="1880"/>
      <c r="G89" s="1880"/>
      <c r="H89" s="1881"/>
      <c r="I89" s="8"/>
      <c r="J89" s="2573"/>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24" customHeight="1">
      <c r="A90" s="45" t="s">
        <v>77</v>
      </c>
      <c r="B90" s="46" t="s">
        <v>1621</v>
      </c>
      <c r="C90" s="2518"/>
      <c r="D90" s="2514"/>
      <c r="E90" s="70" t="str">
        <f>IF(H88="-","土地取得成本中已包含该笔费用"," ")</f>
        <v xml:space="preserve"> </v>
      </c>
      <c r="F90" s="1880"/>
      <c r="G90" s="3246" t="s">
        <v>2493</v>
      </c>
      <c r="H90" s="3246"/>
      <c r="I90" s="8"/>
      <c r="J90" s="2573"/>
      <c r="K90" s="2675" t="s">
        <v>2578</v>
      </c>
      <c r="L90" s="1325"/>
      <c r="M90" s="1325"/>
      <c r="N90" s="1325"/>
      <c r="O90" s="1325"/>
      <c r="P90" s="1325"/>
      <c r="Q90" s="1325"/>
      <c r="R90" s="1325"/>
      <c r="S90" s="1325"/>
      <c r="T90" s="1325"/>
      <c r="U90" s="888"/>
      <c r="V90" s="888"/>
      <c r="W90" s="888"/>
      <c r="X90" s="888"/>
      <c r="Y90" s="888"/>
      <c r="Z90" s="888"/>
      <c r="AA90" s="888"/>
      <c r="AB90" s="1325"/>
      <c r="AC90" s="1325"/>
      <c r="AD90" s="1325"/>
      <c r="AE90" s="1325"/>
      <c r="AF90" s="1325"/>
      <c r="AG90" s="1325"/>
      <c r="AH90" s="1325"/>
      <c r="AI90" s="1325"/>
      <c r="AJ90" s="1325"/>
    </row>
    <row r="91" spans="1:36" s="582" customFormat="1" ht="30.75" customHeight="1">
      <c r="A91" s="45" t="s">
        <v>78</v>
      </c>
      <c r="B91" s="46" t="s">
        <v>1622</v>
      </c>
      <c r="C91" s="2513">
        <f>IF(H91="——",成本法!C33,I91)</f>
        <v>0</v>
      </c>
      <c r="D91" s="2514"/>
      <c r="E91" s="3185" t="s">
        <v>1623</v>
      </c>
      <c r="F91" s="3186"/>
      <c r="G91" s="3186"/>
      <c r="H91" s="1336" t="s">
        <v>1624</v>
      </c>
      <c r="I91" s="1337"/>
      <c r="J91" s="2575"/>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25.5" customHeight="1">
      <c r="A92" s="45" t="s">
        <v>79</v>
      </c>
      <c r="B92" s="46" t="s">
        <v>1625</v>
      </c>
      <c r="C92" s="2513">
        <f>ROUND((C87+C90+C91)*D92,0)</f>
        <v>0</v>
      </c>
      <c r="D92" s="2557">
        <v>0.1</v>
      </c>
      <c r="E92" s="3185" t="s">
        <v>1626</v>
      </c>
      <c r="F92" s="3186"/>
      <c r="G92" s="3186"/>
      <c r="H92" s="3187"/>
      <c r="I92" s="8"/>
      <c r="J92" s="2573"/>
      <c r="K92" s="2676" t="s">
        <v>2579</v>
      </c>
      <c r="L92" s="1325"/>
      <c r="M92" s="1325"/>
      <c r="N92" s="1325"/>
      <c r="O92" s="1325"/>
      <c r="P92" s="1325"/>
      <c r="Q92" s="888"/>
      <c r="R92" s="888"/>
      <c r="S92" s="888"/>
      <c r="T92" s="888"/>
      <c r="U92" s="888"/>
      <c r="V92" s="888"/>
      <c r="W92" s="888"/>
      <c r="X92" s="888"/>
      <c r="Y92" s="888"/>
      <c r="Z92" s="888"/>
      <c r="AA92" s="888"/>
      <c r="AB92" s="1325"/>
      <c r="AC92" s="1325"/>
      <c r="AD92" s="1325"/>
      <c r="AE92" s="1325"/>
      <c r="AF92" s="1325"/>
      <c r="AG92" s="1325"/>
      <c r="AH92" s="1325"/>
      <c r="AI92" s="1325"/>
      <c r="AJ92" s="1325"/>
    </row>
    <row r="93" spans="1:36" s="582" customFormat="1" ht="25.5" customHeight="1">
      <c r="A93" s="45" t="s">
        <v>80</v>
      </c>
      <c r="B93" s="46" t="s">
        <v>1610</v>
      </c>
      <c r="C93" s="2513">
        <f ca="1">ROUND(D45*D93/(1+'数据-取费表'!F30),0)</f>
        <v>36610</v>
      </c>
      <c r="D93" s="2514">
        <f>'数据-取费表'!E31</f>
        <v>6.000000000000001E-3</v>
      </c>
      <c r="E93" s="3185" t="s">
        <v>1611</v>
      </c>
      <c r="F93" s="3186"/>
      <c r="G93" s="3186"/>
      <c r="H93" s="3187"/>
      <c r="I93" s="8"/>
      <c r="J93" s="2573"/>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81</v>
      </c>
      <c r="B94" s="46" t="s">
        <v>1627</v>
      </c>
      <c r="C94" s="2513">
        <f>ROUND((C87+C90+C91)*D94,0)</f>
        <v>0</v>
      </c>
      <c r="D94" s="2514">
        <v>0.2</v>
      </c>
      <c r="E94" s="3185" t="s">
        <v>1628</v>
      </c>
      <c r="F94" s="3186"/>
      <c r="G94" s="3186"/>
      <c r="H94" s="3187"/>
      <c r="I94" s="8"/>
      <c r="J94" s="2573"/>
      <c r="K94" s="888"/>
      <c r="L94" s="888"/>
      <c r="M94" s="888"/>
      <c r="N94" s="888"/>
      <c r="O94" s="888"/>
      <c r="P94" s="888"/>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13.8">
      <c r="A95" s="49" t="s">
        <v>42</v>
      </c>
      <c r="B95" s="50" t="s">
        <v>1612</v>
      </c>
      <c r="C95" s="2505">
        <f ca="1">ROUND(C85-C86,0)</f>
        <v>6064987</v>
      </c>
      <c r="D95" s="46" t="s">
        <v>41</v>
      </c>
      <c r="E95" s="1196"/>
      <c r="F95" s="1197"/>
      <c r="G95" s="1197"/>
      <c r="H95" s="69"/>
      <c r="I95" s="8"/>
      <c r="J95" s="2573"/>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4">
      <c r="A96" s="49" t="s">
        <v>43</v>
      </c>
      <c r="B96" s="50" t="s">
        <v>1613</v>
      </c>
      <c r="C96" s="2515">
        <f ca="1">IF(C95&lt;=0,0,C95/C86)</f>
        <v>165.66476372575798</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7"/>
      <c r="G96" s="1197"/>
      <c r="H96" s="69"/>
      <c r="I96" s="8"/>
      <c r="J96" s="2573"/>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24.6" thickBot="1">
      <c r="A97" s="51" t="s">
        <v>44</v>
      </c>
      <c r="B97" s="52" t="s">
        <v>1614</v>
      </c>
      <c r="C97" s="2516">
        <f ca="1">ROUND(IF(C95&lt;=0,0,IF(C96&gt;=200%,C95*60%-C86*35%,IF(C96&gt;=100%,C95*50%-C86*15%,IF(C96&gt;=50%,C95*40%-C86*5%,IF(C96&lt;50%,C95*30%,0))))),0)</f>
        <v>3626179</v>
      </c>
      <c r="D97" s="1957"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3"/>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ht="21.75" customHeight="1" thickBot="1">
      <c r="A98" s="1320" t="s">
        <v>1629</v>
      </c>
      <c r="B98" s="1313"/>
      <c r="C98" s="1313"/>
      <c r="D98" s="1313"/>
      <c r="E98" s="735"/>
      <c r="F98" s="735"/>
      <c r="G98" s="735"/>
      <c r="H98" s="786"/>
      <c r="I98" s="1313"/>
    </row>
    <row r="99" spans="1:36" ht="15.6">
      <c r="A99" s="3232" t="s">
        <v>1630</v>
      </c>
      <c r="B99" s="3233"/>
      <c r="C99" s="3233"/>
      <c r="D99" s="3234"/>
      <c r="E99" s="1313"/>
      <c r="F99" s="3241" t="s">
        <v>1631</v>
      </c>
      <c r="G99" s="3242"/>
      <c r="H99" s="3242"/>
      <c r="I99" s="3243"/>
      <c r="J99" s="2576"/>
    </row>
    <row r="100" spans="1:36" ht="15">
      <c r="A100" s="3244" t="s">
        <v>1632</v>
      </c>
      <c r="B100" s="3245"/>
      <c r="C100" s="1176" t="str">
        <f>C4</f>
        <v>成本法</v>
      </c>
      <c r="D100" s="2524" t="str">
        <f>D4</f>
        <v>收益法</v>
      </c>
      <c r="E100" s="1313"/>
      <c r="F100" s="3156" t="s">
        <v>2537</v>
      </c>
      <c r="G100" s="3157"/>
      <c r="H100" s="3156" t="s">
        <v>2538</v>
      </c>
      <c r="I100" s="3155"/>
      <c r="J100" s="2577"/>
    </row>
    <row r="101" spans="1:36" ht="13.2">
      <c r="A101" s="3224" t="s">
        <v>2570</v>
      </c>
      <c r="B101" s="1840" t="str">
        <f>IF(H19="元","总价（元）","总价（万元）")</f>
        <v>总价（元）</v>
      </c>
      <c r="C101" s="1176">
        <f ca="1">C19</f>
        <v>7532452</v>
      </c>
      <c r="D101" s="2524">
        <f ca="1">D19</f>
        <v>3779482</v>
      </c>
      <c r="E101" s="1313"/>
      <c r="F101" s="3156" t="str">
        <f>项目基本情况!I1</f>
        <v>北京市房地产</v>
      </c>
      <c r="G101" s="3157"/>
      <c r="H101" s="3154">
        <f>项目基本情况!C12</f>
        <v>165.59</v>
      </c>
      <c r="I101" s="3155"/>
      <c r="J101" s="2577"/>
    </row>
    <row r="102" spans="1:36" ht="13.2">
      <c r="A102" s="3224"/>
      <c r="B102" s="1840" t="s">
        <v>2571</v>
      </c>
      <c r="C102" s="2525">
        <f ca="1">C20</f>
        <v>45489</v>
      </c>
      <c r="D102" s="2526">
        <f ca="1">D20</f>
        <v>22824</v>
      </c>
      <c r="E102" s="1313"/>
      <c r="F102" s="3166" t="s">
        <v>2567</v>
      </c>
      <c r="G102" s="3167"/>
      <c r="H102" s="2534" t="str">
        <f>C106</f>
        <v>总价（元）</v>
      </c>
      <c r="I102" s="2535">
        <f ca="1">H121</f>
        <v>6406677</v>
      </c>
      <c r="J102" s="2577"/>
    </row>
    <row r="103" spans="1:36" ht="13.2">
      <c r="A103" s="3224" t="s">
        <v>2572</v>
      </c>
      <c r="B103" s="2026" t="str">
        <f>B101</f>
        <v>总价（元）</v>
      </c>
      <c r="C103" s="2529">
        <f ca="1">H121</f>
        <v>6406677</v>
      </c>
      <c r="D103" s="2527"/>
      <c r="E103" s="1313"/>
      <c r="F103" s="3166"/>
      <c r="G103" s="3167"/>
      <c r="H103" s="2534" t="s">
        <v>2540</v>
      </c>
      <c r="I103" s="48">
        <f ca="1">I121</f>
        <v>38690</v>
      </c>
      <c r="J103" s="2561"/>
    </row>
    <row r="104" spans="1:36" ht="13.8" thickBot="1">
      <c r="A104" s="3225"/>
      <c r="B104" s="2531" t="s">
        <v>2571</v>
      </c>
      <c r="C104" s="2532">
        <f ca="1">I121</f>
        <v>38690</v>
      </c>
      <c r="D104" s="2533"/>
      <c r="E104" s="1313"/>
      <c r="F104" s="3166"/>
      <c r="G104" s="3167"/>
      <c r="H104" s="3226"/>
      <c r="I104" s="3227"/>
      <c r="J104" s="2578"/>
    </row>
    <row r="105" spans="1:36" ht="13.8">
      <c r="A105" s="3232" t="s">
        <v>1633</v>
      </c>
      <c r="B105" s="3233"/>
      <c r="C105" s="3233"/>
      <c r="D105" s="3234"/>
      <c r="E105" s="1313"/>
      <c r="F105" s="3230" t="s">
        <v>2541</v>
      </c>
      <c r="G105" s="3231"/>
      <c r="H105" s="2536" t="str">
        <f>C108</f>
        <v>总额（元）</v>
      </c>
      <c r="I105" s="2535">
        <f>SUMIF(I106:I108,"&lt;9E307")</f>
        <v>0</v>
      </c>
      <c r="J105" s="2577"/>
    </row>
    <row r="106" spans="1:36" ht="13.8">
      <c r="A106" s="3166" t="s">
        <v>2564</v>
      </c>
      <c r="B106" s="3167"/>
      <c r="C106" s="2534" t="str">
        <f>B101</f>
        <v>总价（元）</v>
      </c>
      <c r="D106" s="2535">
        <f ca="1">H121</f>
        <v>6406677</v>
      </c>
      <c r="E106" s="1313"/>
      <c r="F106" s="3168" t="s">
        <v>2542</v>
      </c>
      <c r="G106" s="3169"/>
      <c r="H106" s="2536" t="str">
        <f>C109</f>
        <v>总额（元）</v>
      </c>
      <c r="I106" s="2537">
        <f>IF(D36="同一抵押权人同一抵押物续贷",C36&amp;"（续贷，未扣减，详见特别提示）",C36)</f>
        <v>0</v>
      </c>
      <c r="J106" s="2561"/>
      <c r="L106" s="1315" t="str">
        <f>IF(D123=0,"本次评估不存在"&amp;A123&amp;"。","本次评估"&amp;A123&amp;"为"&amp;D123&amp;"元人民币。")</f>
        <v>本次评估不存在估价师所知悉的法定优先受偿款。</v>
      </c>
      <c r="M106" s="1313"/>
      <c r="N106" s="1313"/>
      <c r="O106" s="1313"/>
      <c r="P106" s="1313"/>
      <c r="Q106" s="1313"/>
    </row>
    <row r="107" spans="1:36" ht="13.2">
      <c r="A107" s="3166"/>
      <c r="B107" s="3167"/>
      <c r="C107" s="2534" t="s">
        <v>2565</v>
      </c>
      <c r="D107" s="48">
        <f ca="1">I121</f>
        <v>38690</v>
      </c>
      <c r="E107" s="1313"/>
      <c r="F107" s="3168" t="s">
        <v>2543</v>
      </c>
      <c r="G107" s="3169"/>
      <c r="H107" s="2536" t="str">
        <f>C110</f>
        <v>总额（元）</v>
      </c>
      <c r="I107" s="48">
        <f>C37</f>
        <v>0</v>
      </c>
      <c r="J107" s="2561"/>
    </row>
    <row r="108" spans="1:36" ht="13.2">
      <c r="A108" s="3173" t="s">
        <v>2541</v>
      </c>
      <c r="B108" s="3174"/>
      <c r="C108" s="2536" t="str">
        <f>IF(H19="元","总额（元）","总额（万元）")</f>
        <v>总额（元）</v>
      </c>
      <c r="D108" s="2535">
        <f>IF(D36="正常操作",I106+I107+I108,I107+I108)</f>
        <v>0</v>
      </c>
      <c r="E108" s="1313"/>
      <c r="F108" s="3168" t="s">
        <v>2568</v>
      </c>
      <c r="G108" s="3169"/>
      <c r="H108" s="2536" t="str">
        <f>C111</f>
        <v>总额（元）</v>
      </c>
      <c r="I108" s="48">
        <f>C38</f>
        <v>0</v>
      </c>
      <c r="J108" s="2561"/>
    </row>
    <row r="109" spans="1:36" ht="13.2">
      <c r="A109" s="3168" t="s">
        <v>2542</v>
      </c>
      <c r="B109" s="3169"/>
      <c r="C109" s="2536" t="str">
        <f>C108</f>
        <v>总额（元）</v>
      </c>
      <c r="D109" s="48">
        <f>IF(D36="同一抵押权人同一抵押物续贷",C36&amp;"（未扣减，详见特别提示）",C36)</f>
        <v>0</v>
      </c>
      <c r="E109" s="1313"/>
      <c r="F109" s="3166"/>
      <c r="G109" s="3167"/>
      <c r="H109" s="3228"/>
      <c r="I109" s="3229"/>
      <c r="J109" s="2579"/>
    </row>
    <row r="110" spans="1:36" ht="28.5" customHeight="1">
      <c r="A110" s="3168" t="s">
        <v>2566</v>
      </c>
      <c r="B110" s="3169"/>
      <c r="C110" s="2536" t="str">
        <f>C108</f>
        <v>总额（元）</v>
      </c>
      <c r="D110" s="48">
        <f>C37</f>
        <v>0</v>
      </c>
      <c r="E110" s="1313"/>
      <c r="F110" s="3158" t="str">
        <f>IF(项目基本情况!F5="已注销","——","3.房地产抵押价值")</f>
        <v>3.房地产抵押价值</v>
      </c>
      <c r="G110" s="3159"/>
      <c r="H110" s="2522" t="str">
        <f>C112</f>
        <v>总价（元）</v>
      </c>
      <c r="I110" s="2535">
        <f ca="1">IF(F110="——","——",I102-I105)</f>
        <v>6406677</v>
      </c>
      <c r="J110" s="2577"/>
    </row>
    <row r="111" spans="1:36" ht="13.2">
      <c r="A111" s="3168" t="s">
        <v>2545</v>
      </c>
      <c r="B111" s="3169"/>
      <c r="C111" s="2536" t="str">
        <f>C108</f>
        <v>总额（元）</v>
      </c>
      <c r="D111" s="48">
        <f>C38</f>
        <v>0</v>
      </c>
      <c r="E111" s="1313"/>
      <c r="F111" s="3257"/>
      <c r="G111" s="3258"/>
      <c r="H111" s="2534" t="s">
        <v>2540</v>
      </c>
      <c r="I111" s="2538">
        <f ca="1">D113</f>
        <v>38690</v>
      </c>
      <c r="J111" s="2580"/>
    </row>
    <row r="112" spans="1:36" ht="26.25" customHeight="1">
      <c r="A112" s="3166" t="str">
        <f>IF(项目基本情况!F5="已注销","——","3.房地产抵押价值")</f>
        <v>3.房地产抵押价值</v>
      </c>
      <c r="B112" s="3167"/>
      <c r="C112" s="2534" t="str">
        <f>B101</f>
        <v>总价（元）</v>
      </c>
      <c r="D112" s="2535">
        <f ca="1">IF(A112="——","——",D106-D108)</f>
        <v>6406677</v>
      </c>
      <c r="E112" s="1313"/>
      <c r="F112" s="3158" t="str">
        <f>IF(项目基本情况!F5="已注销及未注销","4.抵押担保权已注销时的房地产抵押价值",IF(项目基本情况!F5="已注销","3.抵押担保权已注销时的房地产抵押价值","——"))</f>
        <v>——</v>
      </c>
      <c r="G112" s="3159"/>
      <c r="H112" s="2522" t="str">
        <f>C114</f>
        <v>总价（元）</v>
      </c>
      <c r="I112" s="2535" t="str">
        <f>IF(F112="——","——",I102-I107-I108)</f>
        <v>——</v>
      </c>
      <c r="J112" s="2577"/>
    </row>
    <row r="113" spans="1:16" ht="13.2">
      <c r="A113" s="3166"/>
      <c r="B113" s="3167"/>
      <c r="C113" s="2534" t="s">
        <v>2533</v>
      </c>
      <c r="D113" s="48">
        <f ca="1">ROUND(IF(D112=D106,D107,IF(H19="元",D112/项目基本情况!C12,D112*10000/项目基本情况!C12)),0)</f>
        <v>38690</v>
      </c>
      <c r="E113" s="1313"/>
      <c r="F113" s="3257"/>
      <c r="G113" s="3258"/>
      <c r="H113" s="2534" t="s">
        <v>2569</v>
      </c>
      <c r="I113" s="48" t="str">
        <f>D115</f>
        <v>——</v>
      </c>
      <c r="J113" s="2561"/>
    </row>
    <row r="114" spans="1:16" ht="13.2">
      <c r="A114" s="3166" t="str">
        <f>IF(项目基本情况!F5="已注销及未注销","4.抵押担保权已注销时的房地产抵押价值",IF(项目基本情况!F5="已注销","3.抵押担保权已注销时的房地产抵押价值","——"))</f>
        <v>——</v>
      </c>
      <c r="B114" s="3167"/>
      <c r="C114" s="2534" t="str">
        <f>B101</f>
        <v>总价（元）</v>
      </c>
      <c r="D114" s="2535" t="str">
        <f>IF(A114="——","——",D106-D110-D111)</f>
        <v>——</v>
      </c>
      <c r="E114" s="1313"/>
      <c r="F114" s="3158" t="str">
        <f>IF(项目基本情况!G5="抵押净值",IF(OR(项目基本情况!F5="已注销",项目基本情况!F5="房地产抵押价值"),"4.抵押净值","5.抵押净值"),"——")</f>
        <v>——</v>
      </c>
      <c r="G114" s="3159"/>
      <c r="H114" s="2534" t="str">
        <f>C116</f>
        <v>总价（元）</v>
      </c>
      <c r="I114" s="2535" t="str">
        <f>IF(F114="——","——",O59)</f>
        <v>——</v>
      </c>
      <c r="J114" s="2577"/>
    </row>
    <row r="115" spans="1:16" ht="13.8" thickBot="1">
      <c r="A115" s="3166"/>
      <c r="B115" s="3167"/>
      <c r="C115" s="2534" t="s">
        <v>2533</v>
      </c>
      <c r="D115" s="48" t="str">
        <f>IF(A114="——","——",ROUND(IF(D114=D106,D107,IF(H19="元",D114/项目基本情况!C12,D114*10000/项目基本情况!C12)),0))</f>
        <v>——</v>
      </c>
      <c r="E115" s="1313"/>
      <c r="F115" s="3160"/>
      <c r="G115" s="3161"/>
      <c r="H115" s="2539" t="s">
        <v>2533</v>
      </c>
      <c r="I115" s="2523" t="str">
        <f ca="1">D117</f>
        <v>——</v>
      </c>
      <c r="J115" s="2561"/>
    </row>
    <row r="116" spans="1:16" ht="15.6">
      <c r="A116" s="3166" t="str">
        <f>IF(项目基本情况!G5="抵押净值",IF(OR(项目基本情况!F5="已注销",项目基本情况!F5="房地产抵押价值"),"4.抵押净值","5.抵押净值"),"——")</f>
        <v>——</v>
      </c>
      <c r="B116" s="3167"/>
      <c r="C116" s="2534" t="str">
        <f>B101</f>
        <v>总价（元）</v>
      </c>
      <c r="D116" s="2535" t="str">
        <f>IF(A116="——","——",O59)</f>
        <v>——</v>
      </c>
      <c r="E116" s="1313"/>
      <c r="F116" s="3252"/>
      <c r="G116" s="3252"/>
      <c r="H116" s="3216"/>
      <c r="I116" s="3216"/>
      <c r="J116" s="2581"/>
      <c r="O116" s="28"/>
      <c r="P116" s="28"/>
    </row>
    <row r="117" spans="1:16" ht="13.8" thickBot="1">
      <c r="A117" s="3171"/>
      <c r="B117" s="3172"/>
      <c r="C117" s="2539" t="s">
        <v>2533</v>
      </c>
      <c r="D117" s="2523" t="str">
        <f ca="1">IF(D116=D112,D113,IF(A116="——","——",O61))</f>
        <v>——</v>
      </c>
      <c r="E117" s="1313"/>
      <c r="F117" s="3150" t="str">
        <f>IF(B32="总价","（以上估价结果中单价为总价除以建筑面积得出）","（以上估价结果中总价为楼面单价乘以建筑面积得出）")</f>
        <v>（以上估价结果中总价为楼面单价乘以建筑面积得出）</v>
      </c>
      <c r="G117" s="3150"/>
      <c r="H117" s="3150"/>
      <c r="I117" s="3150"/>
      <c r="J117" s="2582"/>
      <c r="O117" s="28"/>
      <c r="P117" s="28"/>
    </row>
    <row r="118" spans="1:16" ht="14.4">
      <c r="A118" s="3217" t="s">
        <v>1634</v>
      </c>
      <c r="B118" s="3218"/>
      <c r="C118" s="3218"/>
      <c r="D118" s="3218"/>
      <c r="E118" s="3218"/>
      <c r="F118" s="3218"/>
      <c r="G118" s="3218"/>
      <c r="H118" s="3218"/>
      <c r="I118" s="3218"/>
      <c r="J118" s="2583"/>
    </row>
    <row r="119" spans="1:16" ht="13.2">
      <c r="A119" s="3151" t="s">
        <v>2551</v>
      </c>
      <c r="B119" s="3177" t="s">
        <v>2561</v>
      </c>
      <c r="C119" s="3177" t="s">
        <v>2562</v>
      </c>
      <c r="D119" s="3239" t="s">
        <v>2553</v>
      </c>
      <c r="E119" s="3240"/>
      <c r="F119" s="3152" t="s">
        <v>2563</v>
      </c>
      <c r="G119" s="3152"/>
      <c r="H119" s="3152" t="s">
        <v>2554</v>
      </c>
      <c r="I119" s="3238"/>
      <c r="J119" s="2561"/>
    </row>
    <row r="120" spans="1:16" ht="13.2">
      <c r="A120" s="3151"/>
      <c r="B120" s="3178"/>
      <c r="C120" s="3178"/>
      <c r="D120" s="1199" t="s">
        <v>2555</v>
      </c>
      <c r="E120" s="1199" t="s">
        <v>2560</v>
      </c>
      <c r="F120" s="1199" t="s">
        <v>2555</v>
      </c>
      <c r="G120" s="1199" t="s">
        <v>2556</v>
      </c>
      <c r="H120" s="1199" t="s">
        <v>2555</v>
      </c>
      <c r="I120" s="48" t="s">
        <v>2556</v>
      </c>
      <c r="J120" s="2561"/>
    </row>
    <row r="121" spans="1:16" ht="13.2">
      <c r="A121" s="1876" t="str">
        <f>项目基本情况!I1</f>
        <v>北京市房地产</v>
      </c>
      <c r="B121" s="1199">
        <f>项目基本情况!C12</f>
        <v>165.59</v>
      </c>
      <c r="C121" s="1199">
        <f>项目基本情况!C13</f>
        <v>0</v>
      </c>
      <c r="D121" s="1199">
        <f ca="1">ROUND(IF(B32="总价",C34,IF('数据-取费表'!B3="万元",E121*B121/10000,E121*B121)),0)</f>
        <v>5144550</v>
      </c>
      <c r="E121" s="1199">
        <f ca="1">ROUND(IF(B32="楼面单价",C34,IF(H19="元",D121/B121,D121*10000/B121)),0)</f>
        <v>31068</v>
      </c>
      <c r="F121" s="1199">
        <f ca="1">ROUND(IF(B32="总价",C35,IF('数据-取费表'!B3="万元",G121*B121/10000,G121*B121)),0)</f>
        <v>1262127</v>
      </c>
      <c r="G121" s="1199">
        <f ca="1">ROUND(IF(B32="楼面单价",C35,IF(H19="元",F121/B121,F121*10000/B121)),0)</f>
        <v>7622</v>
      </c>
      <c r="H121" s="1199">
        <f ca="1">ROUND(IF(B32="总价",C32,IF('数据-取费表'!B3="万元",I121*B121/10000,I121*B121)),0)</f>
        <v>6406677</v>
      </c>
      <c r="I121" s="48">
        <f ca="1">ROUND(IF(B32="楼面单价",C32,IF(H19="元",H121/B121,H121*10000/B121)),0)</f>
        <v>38690</v>
      </c>
      <c r="J121" s="2561"/>
    </row>
    <row r="122" spans="1:16" ht="13.2">
      <c r="A122" s="3151" t="s">
        <v>2557</v>
      </c>
      <c r="B122" s="3152"/>
      <c r="C122" s="3152"/>
      <c r="D122" s="3179" t="str">
        <f ca="1">IF(H19="元",NUMBERSTRING(INT(D121),2)&amp;"元整",NUMBERSTRING(INT(D121*10000),2)&amp;"元整")</f>
        <v>伍佰壹拾肆万肆仟伍佰伍拾元整</v>
      </c>
      <c r="E122" s="3222"/>
      <c r="F122" s="3179" t="str">
        <f ca="1">IF(H19="元",NUMBERSTRING(INT(F121),2)&amp;"元整",NUMBERSTRING(INT(F121*10000),2)&amp;"元整")</f>
        <v>壹佰贰拾陆万贰仟壹佰贰拾柒元整</v>
      </c>
      <c r="G122" s="3222"/>
      <c r="H122" s="3179" t="str">
        <f ca="1">IF(H19="元",NUMBERSTRING(INT(H121),2)&amp;"元整",NUMBERSTRING(INT(H121*10000),2)&amp;"元整")</f>
        <v>陆佰肆拾万陆仟陆佰柒拾柒元整</v>
      </c>
      <c r="I122" s="3180"/>
      <c r="J122" s="2584"/>
    </row>
    <row r="123" spans="1:16" ht="13.2">
      <c r="A123" s="3156" t="str">
        <f>IF(项目基本情况!D5="房地产市场价值","——",MID(A108,3,LEN(A108)-2))</f>
        <v>估价师所知悉的法定优先受偿款</v>
      </c>
      <c r="B123" s="3162"/>
      <c r="C123" s="3157"/>
      <c r="D123" s="3154">
        <f>I105</f>
        <v>0</v>
      </c>
      <c r="E123" s="3162"/>
      <c r="F123" s="3162"/>
      <c r="G123" s="3162"/>
      <c r="H123" s="3162"/>
      <c r="I123" s="3155"/>
      <c r="J123" s="2577"/>
    </row>
    <row r="124" spans="1:16" ht="13.2">
      <c r="A124" s="3223" t="s">
        <v>2557</v>
      </c>
      <c r="B124" s="3191"/>
      <c r="C124" s="3192"/>
      <c r="D124" s="3163">
        <f>H109</f>
        <v>0</v>
      </c>
      <c r="E124" s="3164"/>
      <c r="F124" s="3164"/>
      <c r="G124" s="3164"/>
      <c r="H124" s="3164"/>
      <c r="I124" s="3165"/>
      <c r="J124" s="2585"/>
    </row>
    <row r="125" spans="1:16" ht="13.2">
      <c r="A125" s="3166" t="str">
        <f>IF(项目基本情况!D5="房地产市场价值","——",MID(A112,3,LEN(A112)-2))</f>
        <v>房地产抵押价值</v>
      </c>
      <c r="B125" s="3167"/>
      <c r="C125" s="3167"/>
      <c r="D125" s="3154">
        <f ca="1">I110</f>
        <v>6406677</v>
      </c>
      <c r="E125" s="3162"/>
      <c r="F125" s="3162"/>
      <c r="G125" s="3162"/>
      <c r="H125" s="3162"/>
      <c r="I125" s="3155"/>
      <c r="J125" s="2577"/>
    </row>
    <row r="126" spans="1:16" ht="13.2">
      <c r="A126" s="3151" t="s">
        <v>2557</v>
      </c>
      <c r="B126" s="3152"/>
      <c r="C126" s="3152"/>
      <c r="D126" s="3163">
        <f ca="1">I111</f>
        <v>38690</v>
      </c>
      <c r="E126" s="3164"/>
      <c r="F126" s="3164"/>
      <c r="G126" s="3164"/>
      <c r="H126" s="3164"/>
      <c r="I126" s="3165"/>
      <c r="J126" s="2585"/>
    </row>
    <row r="127" spans="1:16" ht="13.8" thickBot="1">
      <c r="A127" s="3166" t="str">
        <f>IF(项目基本情况!D5="房地产市场价值","——",MID(A114,3,LEN(A114)-2))</f>
        <v/>
      </c>
      <c r="B127" s="3167"/>
      <c r="C127" s="3167"/>
      <c r="D127" s="3199" t="str">
        <f>I112</f>
        <v>——</v>
      </c>
      <c r="E127" s="3200"/>
      <c r="F127" s="3200"/>
      <c r="G127" s="3200"/>
      <c r="H127" s="3200"/>
      <c r="I127" s="3251"/>
      <c r="J127" s="2577"/>
    </row>
    <row r="128" spans="1:16" ht="14.4" thickTop="1" thickBot="1">
      <c r="A128" s="3151" t="s">
        <v>2557</v>
      </c>
      <c r="B128" s="3152"/>
      <c r="C128" s="3153"/>
      <c r="D128" s="3215" t="str">
        <f>I113</f>
        <v>——</v>
      </c>
      <c r="E128" s="3215"/>
      <c r="F128" s="3215"/>
      <c r="G128" s="3215"/>
      <c r="H128" s="3215"/>
      <c r="I128" s="3215"/>
      <c r="J128" s="2585"/>
    </row>
    <row r="129" spans="1:10" ht="14.4" thickTop="1" thickBot="1">
      <c r="A129" s="3166" t="str">
        <f>IF(项目基本情况!D5="房地产市场价值","——",MID(F114,3,LEN(F114)-2))</f>
        <v/>
      </c>
      <c r="B129" s="3167"/>
      <c r="C129" s="3154"/>
      <c r="D129" s="3170" t="str">
        <f>I114</f>
        <v>——</v>
      </c>
      <c r="E129" s="3170"/>
      <c r="F129" s="3170"/>
      <c r="G129" s="3170"/>
      <c r="H129" s="3170"/>
      <c r="I129" s="3170"/>
      <c r="J129" s="2577"/>
    </row>
    <row r="130" spans="1:10" ht="14.4" thickTop="1" thickBot="1">
      <c r="A130" s="3175" t="s">
        <v>2557</v>
      </c>
      <c r="B130" s="3176"/>
      <c r="C130" s="3176"/>
      <c r="D130" s="3181">
        <f>H116</f>
        <v>0</v>
      </c>
      <c r="E130" s="3182"/>
      <c r="F130" s="3182"/>
      <c r="G130" s="3182"/>
      <c r="H130" s="3182"/>
      <c r="I130" s="3183"/>
      <c r="J130" s="2585"/>
    </row>
    <row r="131" spans="1:10" ht="13.2">
      <c r="A131" s="1330" t="str">
        <f>IF(H19="元","单位：平方米、元、元/平方米（币种：人民币）","单位：平方米、万元、元/平方米（币种：人民币）")</f>
        <v>单位：平方米、元、元/平方米（币种：人民币）</v>
      </c>
      <c r="B131" s="1330"/>
      <c r="C131" s="1330"/>
      <c r="D131" s="1330"/>
      <c r="E131" s="1330"/>
      <c r="F131" s="1330"/>
      <c r="G131" s="1330"/>
      <c r="H131" s="1330"/>
      <c r="I131" s="1330"/>
      <c r="J131" s="2562"/>
    </row>
    <row r="132" spans="1:10" ht="13.8" thickBot="1">
      <c r="A132" s="3149" t="str">
        <f>IF(B32="总价","（以上估价结果中楼面单价为总价除以建筑面积得出）","（以上估价结果中总价为楼面单价乘以建筑面积得出）")</f>
        <v>（以上估价结果中总价为楼面单价乘以建筑面积得出）</v>
      </c>
      <c r="B132" s="3149"/>
      <c r="C132" s="3149"/>
      <c r="D132" s="3149"/>
      <c r="E132" s="3149"/>
      <c r="F132" s="3149"/>
      <c r="G132" s="3149"/>
      <c r="H132" s="3149"/>
      <c r="I132" s="3149"/>
      <c r="J132" s="2579"/>
    </row>
    <row r="133" spans="1:10" ht="21.75" customHeight="1">
      <c r="A133" s="1338" t="s">
        <v>1635</v>
      </c>
      <c r="B133" s="1339"/>
      <c r="C133" s="1340" t="s">
        <v>1636</v>
      </c>
      <c r="D133" s="633"/>
      <c r="E133" s="633"/>
      <c r="F133" s="633"/>
      <c r="G133" s="633"/>
      <c r="H133" s="632"/>
      <c r="I133" s="1341"/>
      <c r="J133" s="2586"/>
    </row>
    <row r="134" spans="1:10" ht="21.75" customHeight="1">
      <c r="A134" s="1342">
        <v>1</v>
      </c>
      <c r="B134" s="1343"/>
      <c r="C134" s="1343"/>
      <c r="D134" s="633"/>
      <c r="E134" s="633"/>
      <c r="F134" s="633"/>
      <c r="G134" s="633"/>
      <c r="H134" s="632"/>
      <c r="I134" s="1341"/>
      <c r="J134" s="2586"/>
    </row>
    <row r="135" spans="1:10" ht="21.75" customHeight="1">
      <c r="A135" s="1342">
        <v>2</v>
      </c>
      <c r="B135" s="1343"/>
      <c r="C135" s="1343"/>
      <c r="D135" s="633"/>
      <c r="E135" s="633"/>
      <c r="F135" s="633"/>
      <c r="G135" s="633"/>
      <c r="H135" s="632"/>
      <c r="I135" s="1341"/>
      <c r="J135" s="2586"/>
    </row>
    <row r="136" spans="1:10" ht="21.75" customHeight="1">
      <c r="A136" s="1342">
        <v>3</v>
      </c>
      <c r="B136" s="1343"/>
      <c r="C136" s="1343"/>
      <c r="D136" s="633"/>
      <c r="E136" s="633"/>
      <c r="F136" s="28"/>
      <c r="G136" s="28"/>
      <c r="H136" s="28"/>
      <c r="I136" s="28"/>
      <c r="J136" s="2586"/>
    </row>
    <row r="137" spans="1:10" ht="21.75" customHeight="1">
      <c r="A137" s="1344"/>
      <c r="B137" s="1345"/>
      <c r="C137" s="1345"/>
      <c r="D137" s="1346"/>
      <c r="E137" s="1346"/>
      <c r="F137" s="1346"/>
      <c r="G137" s="1346"/>
      <c r="H137" s="1347"/>
      <c r="I137" s="1348"/>
      <c r="J137" s="2586"/>
    </row>
    <row r="138" spans="1:10" ht="21.75" customHeight="1">
      <c r="A138" s="1343"/>
      <c r="B138" s="1343"/>
      <c r="C138" s="1343"/>
      <c r="D138" s="633"/>
      <c r="E138" s="633"/>
      <c r="F138" s="633"/>
      <c r="G138" s="633"/>
      <c r="H138" s="632"/>
      <c r="I138" s="629"/>
      <c r="J138" s="2586"/>
    </row>
    <row r="139" spans="1:10" ht="21.75" customHeight="1">
      <c r="A139" s="629"/>
      <c r="B139" s="629"/>
      <c r="C139" s="629"/>
      <c r="D139" s="629"/>
      <c r="E139" s="629"/>
      <c r="F139" s="1349" t="s">
        <v>1637</v>
      </c>
      <c r="G139" s="1350"/>
      <c r="H139" s="1350"/>
      <c r="I139" s="1351" t="s">
        <v>1638</v>
      </c>
      <c r="J139" s="2587"/>
    </row>
    <row r="140" spans="1:10" ht="21.75" customHeight="1">
      <c r="A140" s="629"/>
      <c r="B140" s="1352" t="s">
        <v>1639</v>
      </c>
      <c r="C140" s="629"/>
      <c r="D140" s="629"/>
      <c r="E140" s="629"/>
      <c r="F140" s="629"/>
      <c r="G140" s="629"/>
      <c r="H140" s="629"/>
      <c r="I140" s="629"/>
      <c r="J140" s="2586"/>
    </row>
    <row r="141" spans="1:10" ht="21.75" customHeight="1">
      <c r="A141" s="629"/>
      <c r="B141" s="629"/>
      <c r="C141" s="629"/>
      <c r="D141" s="629"/>
      <c r="E141" s="629"/>
      <c r="F141" s="629"/>
      <c r="G141" s="629"/>
      <c r="H141" s="629"/>
      <c r="I141" s="629"/>
      <c r="J141" s="2586"/>
    </row>
    <row r="142" spans="1:10" ht="21.75" customHeight="1">
      <c r="A142" s="629"/>
      <c r="B142" s="1350"/>
      <c r="C142" s="1350"/>
      <c r="D142" s="1350"/>
      <c r="E142" s="1350"/>
      <c r="F142" s="1350"/>
      <c r="G142" s="1350"/>
      <c r="H142" s="1350"/>
      <c r="I142" s="1351" t="s">
        <v>1640</v>
      </c>
      <c r="J142" s="2587"/>
    </row>
    <row r="143" spans="1:10" ht="21.75" customHeight="1">
      <c r="A143" s="629"/>
      <c r="B143" s="1352" t="s">
        <v>1641</v>
      </c>
      <c r="C143" s="629"/>
      <c r="D143" s="629"/>
      <c r="E143" s="629"/>
      <c r="F143" s="629"/>
      <c r="G143" s="629"/>
      <c r="H143" s="629"/>
      <c r="I143" s="629"/>
      <c r="J143" s="2586"/>
    </row>
    <row r="144" spans="1:10" ht="21.75" customHeight="1">
      <c r="A144" s="629"/>
      <c r="B144" s="1352"/>
      <c r="C144" s="629"/>
      <c r="D144" s="629"/>
      <c r="E144" s="629"/>
      <c r="F144" s="629"/>
      <c r="G144" s="629"/>
      <c r="H144" s="629"/>
      <c r="I144" s="629"/>
      <c r="J144" s="2586"/>
    </row>
    <row r="145" spans="1:36" ht="21.75" customHeight="1">
      <c r="A145" s="629"/>
      <c r="B145" s="1350"/>
      <c r="C145" s="1350"/>
      <c r="D145" s="1350"/>
      <c r="E145" s="1350"/>
      <c r="F145" s="1350"/>
      <c r="G145" s="1350"/>
      <c r="H145" s="1350"/>
      <c r="I145" s="1351" t="s">
        <v>1640</v>
      </c>
      <c r="J145" s="2587"/>
    </row>
    <row r="146" spans="1:36" ht="21.75" customHeight="1">
      <c r="A146" s="629"/>
      <c r="B146" s="1352"/>
      <c r="C146" s="1353"/>
      <c r="D146" s="1354"/>
      <c r="E146" s="1354"/>
      <c r="F146" s="1355"/>
      <c r="G146" s="629"/>
      <c r="H146" s="629"/>
      <c r="I146" s="629"/>
      <c r="J146" s="2586"/>
    </row>
    <row r="147" spans="1:36" s="28" customFormat="1" ht="21.75" customHeight="1">
      <c r="A147" s="629"/>
      <c r="B147" s="1352"/>
      <c r="C147" s="1353"/>
      <c r="D147" s="1354"/>
      <c r="E147" s="1354"/>
      <c r="F147" s="629"/>
      <c r="G147" s="629"/>
      <c r="H147" s="629"/>
      <c r="I147" s="629"/>
      <c r="J147" s="2586"/>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row>
    <row r="148" spans="1:36" s="28" customFormat="1" ht="21.75" customHeight="1">
      <c r="A148" s="629"/>
      <c r="B148" s="629"/>
      <c r="C148" s="629"/>
      <c r="D148" s="629"/>
      <c r="E148" s="629"/>
      <c r="F148" s="629"/>
      <c r="G148" s="629"/>
      <c r="H148" s="629"/>
      <c r="I148" s="629"/>
      <c r="J148" s="2586"/>
      <c r="K148" s="629"/>
      <c r="L148" s="629"/>
      <c r="M148" s="629"/>
      <c r="N148" s="629"/>
      <c r="O148" s="629"/>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row>
    <row r="149" spans="1:36" s="28" customFormat="1" ht="21.75" customHeight="1">
      <c r="A149" s="629"/>
      <c r="B149" s="629"/>
      <c r="C149" s="629"/>
      <c r="D149" s="629"/>
      <c r="E149" s="629"/>
      <c r="F149" s="629"/>
      <c r="G149" s="629"/>
      <c r="H149" s="629"/>
      <c r="I149" s="629"/>
      <c r="J149" s="2586"/>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row>
    <row r="150" spans="1:36" s="629" customFormat="1" ht="21.75" customHeight="1">
      <c r="J150" s="2586"/>
    </row>
    <row r="151" spans="1:36" s="629" customFormat="1" ht="21.75" customHeight="1">
      <c r="J151" s="2586"/>
    </row>
    <row r="152" spans="1:36" s="629" customFormat="1" ht="21.75" customHeight="1">
      <c r="J152" s="2586"/>
    </row>
    <row r="153" spans="1:36" s="629" customFormat="1" ht="21.75" customHeight="1">
      <c r="J153" s="2586"/>
    </row>
    <row r="154" spans="1:36" s="629" customFormat="1" ht="21.75" customHeight="1">
      <c r="J154" s="2586"/>
    </row>
    <row r="155" spans="1:36" s="629" customFormat="1" ht="21.75" customHeight="1">
      <c r="J155" s="2586"/>
    </row>
    <row r="156" spans="1:36" s="629" customFormat="1" ht="21.75" customHeight="1">
      <c r="J156" s="2586"/>
    </row>
    <row r="157" spans="1:36" s="629" customFormat="1" ht="21.75" customHeight="1">
      <c r="J157" s="2586"/>
    </row>
    <row r="158" spans="1:36" s="629" customFormat="1" ht="21.75" customHeight="1">
      <c r="J158" s="2586"/>
    </row>
    <row r="159" spans="1:36" s="629" customFormat="1" ht="21.75" customHeight="1">
      <c r="J159" s="2586"/>
    </row>
    <row r="160" spans="1:36" s="629" customFormat="1" ht="21.75" customHeight="1">
      <c r="J160" s="2586"/>
    </row>
    <row r="161" spans="10:10" s="629" customFormat="1" ht="21.75" customHeight="1">
      <c r="J161" s="2586"/>
    </row>
    <row r="162" spans="10:10" s="629" customFormat="1" ht="21.75" customHeight="1">
      <c r="J162" s="2586"/>
    </row>
    <row r="163" spans="10:10" s="629" customFormat="1" ht="21.75" customHeight="1">
      <c r="J163" s="2586"/>
    </row>
    <row r="164" spans="10:10" s="629" customFormat="1" ht="21.75" customHeight="1">
      <c r="J164" s="2586"/>
    </row>
    <row r="165" spans="10:10" s="629" customFormat="1" ht="21.75" customHeight="1">
      <c r="J165" s="2586"/>
    </row>
    <row r="166" spans="10:10" s="629" customFormat="1" ht="21.75" customHeight="1">
      <c r="J166" s="2586"/>
    </row>
    <row r="167" spans="10:10" s="629" customFormat="1" ht="21.75" customHeight="1">
      <c r="J167" s="2586"/>
    </row>
    <row r="168" spans="10:10" s="629" customFormat="1" ht="21.75" customHeight="1">
      <c r="J168" s="2586"/>
    </row>
    <row r="169" spans="10:10" s="629" customFormat="1" ht="21.75" customHeight="1">
      <c r="J169" s="2586"/>
    </row>
    <row r="170" spans="10:10" s="629" customFormat="1" ht="21.75" customHeight="1">
      <c r="J170" s="2586"/>
    </row>
    <row r="171" spans="10:10" s="629" customFormat="1" ht="21.75" customHeight="1">
      <c r="J171" s="2586"/>
    </row>
    <row r="172" spans="10:10" s="629" customFormat="1" ht="21.75" customHeight="1">
      <c r="J172" s="2586"/>
    </row>
    <row r="173" spans="10:10" s="629" customFormat="1" ht="21.75" customHeight="1">
      <c r="J173" s="2586"/>
    </row>
    <row r="174" spans="10:10" s="629" customFormat="1" ht="21.75" customHeight="1">
      <c r="J174" s="2586"/>
    </row>
    <row r="175" spans="10:10" s="629" customFormat="1" ht="21.75" customHeight="1">
      <c r="J175" s="2586"/>
    </row>
    <row r="176" spans="10:10" s="629" customFormat="1" ht="21.75" customHeight="1">
      <c r="J176" s="2586"/>
    </row>
    <row r="177" spans="10:10" s="629" customFormat="1" ht="21.75" customHeight="1">
      <c r="J177" s="2586"/>
    </row>
    <row r="178" spans="10:10" s="629" customFormat="1" ht="21.75" customHeight="1">
      <c r="J178" s="2586"/>
    </row>
    <row r="179" spans="10:10" s="629" customFormat="1" ht="21.75" customHeight="1">
      <c r="J179" s="2586"/>
    </row>
    <row r="180" spans="10:10" s="629" customFormat="1" ht="21.75" customHeight="1">
      <c r="J180" s="2586"/>
    </row>
    <row r="181" spans="10:10" s="629" customFormat="1" ht="21.75" customHeight="1">
      <c r="J181" s="2586"/>
    </row>
    <row r="182" spans="10:10" s="629" customFormat="1" ht="21.75" customHeight="1">
      <c r="J182" s="2586"/>
    </row>
    <row r="183" spans="10:10" s="629" customFormat="1" ht="21.75" customHeight="1">
      <c r="J183" s="2586"/>
    </row>
    <row r="184" spans="10:10" s="629" customFormat="1" ht="21.75" customHeight="1">
      <c r="J184" s="2586"/>
    </row>
    <row r="185" spans="10:10" s="629" customFormat="1" ht="21.75" customHeight="1">
      <c r="J185" s="2586"/>
    </row>
    <row r="186" spans="10:10" s="629" customFormat="1" ht="21.75" customHeight="1">
      <c r="J186" s="2586"/>
    </row>
    <row r="187" spans="10:10" s="629" customFormat="1" ht="21.75" customHeight="1">
      <c r="J187" s="2586"/>
    </row>
    <row r="188" spans="10:10" s="629" customFormat="1" ht="21.75" customHeight="1">
      <c r="J188" s="2586"/>
    </row>
    <row r="189" spans="10:10" s="629" customFormat="1" ht="21.75" customHeight="1">
      <c r="J189" s="2586"/>
    </row>
    <row r="190" spans="10:10" s="629" customFormat="1" ht="21.75" customHeight="1">
      <c r="J190" s="2586"/>
    </row>
    <row r="191" spans="10:10" s="629" customFormat="1" ht="21.75" customHeight="1">
      <c r="J191" s="2586"/>
    </row>
    <row r="192" spans="10:10" s="629" customFormat="1" ht="21.75" customHeight="1">
      <c r="J192" s="2586"/>
    </row>
    <row r="193" spans="10:10" s="629" customFormat="1" ht="21.75" customHeight="1">
      <c r="J193" s="2586"/>
    </row>
    <row r="194" spans="10:10" s="629" customFormat="1" ht="21.75" customHeight="1">
      <c r="J194" s="2586"/>
    </row>
    <row r="195" spans="10:10" s="629" customFormat="1" ht="21.75" customHeight="1">
      <c r="J195" s="2586"/>
    </row>
    <row r="196" spans="10:10" s="629" customFormat="1" ht="21.75" customHeight="1">
      <c r="J196" s="2586"/>
    </row>
    <row r="197" spans="10:10" s="629" customFormat="1" ht="21.75" customHeight="1">
      <c r="J197" s="2586"/>
    </row>
    <row r="198" spans="10:10" s="629" customFormat="1" ht="21.75" customHeight="1">
      <c r="J198" s="2586"/>
    </row>
    <row r="199" spans="10:10" s="629" customFormat="1" ht="21.75" customHeight="1">
      <c r="J199" s="2586"/>
    </row>
    <row r="200" spans="10:10" s="629" customFormat="1" ht="21.75" customHeight="1">
      <c r="J200" s="2586"/>
    </row>
    <row r="201" spans="10:10" s="629" customFormat="1" ht="21.75" customHeight="1">
      <c r="J201" s="2586"/>
    </row>
    <row r="202" spans="10:10" s="629" customFormat="1" ht="21.75" customHeight="1">
      <c r="J202" s="2586"/>
    </row>
    <row r="203" spans="10:10" s="629" customFormat="1" ht="21.75" customHeight="1">
      <c r="J203" s="2586"/>
    </row>
    <row r="204" spans="10:10" s="629" customFormat="1" ht="21.75" customHeight="1">
      <c r="J204" s="2586"/>
    </row>
    <row r="205" spans="10:10" s="629" customFormat="1" ht="21.75" customHeight="1">
      <c r="J205" s="2586"/>
    </row>
    <row r="206" spans="10:10" s="629" customFormat="1" ht="21.75" customHeight="1">
      <c r="J206" s="2586"/>
    </row>
    <row r="207" spans="10:10" s="629" customFormat="1" ht="21.75" customHeight="1">
      <c r="J207" s="2586"/>
    </row>
    <row r="208" spans="10:10" s="629" customFormat="1" ht="21.75" customHeight="1">
      <c r="J208" s="2586"/>
    </row>
    <row r="209" spans="10:10" s="629" customFormat="1" ht="21.75" customHeight="1">
      <c r="J209" s="2586"/>
    </row>
    <row r="210" spans="10:10" s="629" customFormat="1" ht="21.75" customHeight="1">
      <c r="J210" s="2586"/>
    </row>
    <row r="211" spans="10:10" s="629" customFormat="1" ht="21.75" customHeight="1">
      <c r="J211" s="2586"/>
    </row>
    <row r="212" spans="10:10" s="629" customFormat="1" ht="21.75" customHeight="1">
      <c r="J212" s="2586"/>
    </row>
    <row r="213" spans="10:10" s="629" customFormat="1" ht="21.75" customHeight="1">
      <c r="J213" s="2586"/>
    </row>
    <row r="214" spans="10:10" s="629" customFormat="1" ht="21.75" customHeight="1">
      <c r="J214" s="2586"/>
    </row>
    <row r="215" spans="10:10" s="629" customFormat="1" ht="21.75" customHeight="1">
      <c r="J215" s="2586"/>
    </row>
    <row r="216" spans="10:10" s="629" customFormat="1" ht="21.75" customHeight="1">
      <c r="J216" s="2586"/>
    </row>
    <row r="217" spans="10:10" s="629" customFormat="1" ht="21.75" customHeight="1">
      <c r="J217" s="2586"/>
    </row>
    <row r="218" spans="10:10" s="629" customFormat="1" ht="21.75" customHeight="1">
      <c r="J218" s="2586"/>
    </row>
    <row r="219" spans="10:10" s="629" customFormat="1" ht="21.75" customHeight="1">
      <c r="J219" s="2586"/>
    </row>
    <row r="220" spans="10:10" s="629" customFormat="1" ht="21.75" customHeight="1">
      <c r="J220" s="2586"/>
    </row>
    <row r="221" spans="10:10" s="629" customFormat="1" ht="21.75" customHeight="1">
      <c r="J221" s="2586"/>
    </row>
    <row r="222" spans="10:10" s="629" customFormat="1" ht="21.75" customHeight="1">
      <c r="J222" s="2586"/>
    </row>
    <row r="223" spans="10:10" s="629" customFormat="1" ht="21.75" customHeight="1">
      <c r="J223" s="2586"/>
    </row>
    <row r="224" spans="10:10" s="629" customFormat="1" ht="21.75" customHeight="1">
      <c r="J224" s="2586"/>
    </row>
    <row r="225" spans="10:10" s="629" customFormat="1" ht="21.75" customHeight="1">
      <c r="J225" s="2586"/>
    </row>
    <row r="226" spans="10:10" s="629" customFormat="1" ht="21.75" customHeight="1">
      <c r="J226" s="2586"/>
    </row>
    <row r="227" spans="10:10" s="629" customFormat="1" ht="21.75" customHeight="1">
      <c r="J227" s="2586"/>
    </row>
    <row r="228" spans="10:10" s="629" customFormat="1" ht="21.75" customHeight="1">
      <c r="J228" s="2586"/>
    </row>
    <row r="229" spans="10:10" s="629" customFormat="1" ht="21.75" customHeight="1">
      <c r="J229" s="2586"/>
    </row>
    <row r="230" spans="10:10" s="629" customFormat="1" ht="21.75" customHeight="1">
      <c r="J230" s="2586"/>
    </row>
    <row r="231" spans="10:10" s="629" customFormat="1" ht="21.75" customHeight="1">
      <c r="J231" s="2586"/>
    </row>
    <row r="232" spans="10:10" s="629" customFormat="1" ht="21.75" customHeight="1">
      <c r="J232" s="2586"/>
    </row>
    <row r="233" spans="10:10" s="629" customFormat="1" ht="21.75" customHeight="1">
      <c r="J233" s="2586"/>
    </row>
    <row r="234" spans="10:10" s="629" customFormat="1" ht="21.75" customHeight="1">
      <c r="J234" s="2586"/>
    </row>
    <row r="235" spans="10:10" s="629" customFormat="1" ht="21.75" customHeight="1">
      <c r="J235" s="2586"/>
    </row>
    <row r="236" spans="10:10" s="629" customFormat="1" ht="21.75" customHeight="1">
      <c r="J236" s="2586"/>
    </row>
    <row r="237" spans="10:10" s="629" customFormat="1" ht="21.75" customHeight="1">
      <c r="J237" s="2586"/>
    </row>
    <row r="238" spans="10:10" s="629" customFormat="1" ht="21.75" customHeight="1">
      <c r="J238" s="2586"/>
    </row>
    <row r="239" spans="10:10" s="629" customFormat="1" ht="21.75" customHeight="1">
      <c r="J239" s="2586"/>
    </row>
    <row r="240" spans="10:10" s="629" customFormat="1" ht="21.75" customHeight="1">
      <c r="J240" s="2586"/>
    </row>
    <row r="241" spans="10:10" s="629" customFormat="1" ht="21.75" customHeight="1">
      <c r="J241" s="2586"/>
    </row>
    <row r="242" spans="10:10" s="629" customFormat="1" ht="21.75" customHeight="1">
      <c r="J242" s="2586"/>
    </row>
    <row r="243" spans="10:10" s="629" customFormat="1" ht="21.75" customHeight="1">
      <c r="J243" s="2586"/>
    </row>
    <row r="244" spans="10:10" s="629" customFormat="1" ht="21.75" customHeight="1">
      <c r="J244" s="2586"/>
    </row>
    <row r="245" spans="10:10" s="629" customFormat="1" ht="21.75" customHeight="1">
      <c r="J245" s="2586"/>
    </row>
    <row r="246" spans="10:10" s="629" customFormat="1" ht="21.75" customHeight="1">
      <c r="J246" s="2586"/>
    </row>
    <row r="247" spans="10:10" s="629" customFormat="1" ht="21.75" customHeight="1">
      <c r="J247" s="2586"/>
    </row>
    <row r="248" spans="10:10" s="629" customFormat="1" ht="21.75" customHeight="1">
      <c r="J248" s="2586"/>
    </row>
    <row r="249" spans="10:10" s="629" customFormat="1" ht="21.75" customHeight="1">
      <c r="J249" s="2586"/>
    </row>
    <row r="250" spans="10:10" s="629" customFormat="1" ht="21.75" customHeight="1">
      <c r="J250" s="2586"/>
    </row>
    <row r="251" spans="10:10" s="629" customFormat="1" ht="21.75" customHeight="1">
      <c r="J251" s="2586"/>
    </row>
    <row r="252" spans="10:10" s="629" customFormat="1" ht="21.75" customHeight="1">
      <c r="J252" s="2586"/>
    </row>
    <row r="253" spans="10:10" s="629" customFormat="1" ht="21.75" customHeight="1">
      <c r="J253" s="2586"/>
    </row>
    <row r="254" spans="10:10" s="629" customFormat="1" ht="21.75" customHeight="1">
      <c r="J254" s="2586"/>
    </row>
    <row r="255" spans="10:10" s="629" customFormat="1" ht="21.75" customHeight="1">
      <c r="J255" s="2586"/>
    </row>
    <row r="256" spans="10:10" s="629" customFormat="1" ht="21.75" customHeight="1">
      <c r="J256" s="2586"/>
    </row>
    <row r="257" spans="10:10" s="629" customFormat="1" ht="21.75" customHeight="1">
      <c r="J257" s="2586"/>
    </row>
    <row r="258" spans="10:10" s="629" customFormat="1" ht="21.75" customHeight="1">
      <c r="J258" s="2586"/>
    </row>
    <row r="259" spans="10:10" s="629" customFormat="1" ht="21.75" customHeight="1">
      <c r="J259" s="2586"/>
    </row>
    <row r="260" spans="10:10" s="629" customFormat="1" ht="21.75" customHeight="1">
      <c r="J260" s="2586"/>
    </row>
    <row r="261" spans="10:10" s="629" customFormat="1" ht="21.75" customHeight="1">
      <c r="J261" s="2586"/>
    </row>
    <row r="262" spans="10:10" s="629" customFormat="1" ht="21.75" customHeight="1">
      <c r="J262" s="2586"/>
    </row>
    <row r="263" spans="10:10" s="629" customFormat="1" ht="21.75" customHeight="1">
      <c r="J263" s="2586"/>
    </row>
    <row r="264" spans="10:10" s="629" customFormat="1" ht="21.75" customHeight="1">
      <c r="J264" s="2586"/>
    </row>
    <row r="265" spans="10:10" s="629" customFormat="1" ht="21.75" customHeight="1">
      <c r="J265" s="2586"/>
    </row>
    <row r="266" spans="10:10" s="629" customFormat="1" ht="21.75" customHeight="1">
      <c r="J266" s="2586"/>
    </row>
    <row r="267" spans="10:10" s="629" customFormat="1" ht="21.75" customHeight="1">
      <c r="J267" s="2586"/>
    </row>
    <row r="268" spans="10:10" s="629" customFormat="1" ht="21.75" customHeight="1">
      <c r="J268" s="2586"/>
    </row>
    <row r="269" spans="10:10" s="629" customFormat="1" ht="21.75" customHeight="1">
      <c r="J269" s="2586"/>
    </row>
    <row r="270" spans="10:10" s="629" customFormat="1" ht="21.75" customHeight="1">
      <c r="J270" s="2586"/>
    </row>
    <row r="271" spans="10:10" s="629" customFormat="1" ht="21.75" customHeight="1">
      <c r="J271" s="2586"/>
    </row>
    <row r="272" spans="10:10" s="629" customFormat="1" ht="21.75" customHeight="1">
      <c r="J272" s="2586"/>
    </row>
    <row r="273" spans="10:10" s="629" customFormat="1" ht="21.75" customHeight="1">
      <c r="J273" s="2586"/>
    </row>
    <row r="274" spans="10:10" s="629" customFormat="1" ht="21.75" customHeight="1">
      <c r="J274" s="2586"/>
    </row>
    <row r="275" spans="10:10" s="629" customFormat="1" ht="21.75" customHeight="1">
      <c r="J275" s="2586"/>
    </row>
    <row r="276" spans="10:10" s="629" customFormat="1" ht="21.75" customHeight="1">
      <c r="J276" s="2586"/>
    </row>
    <row r="277" spans="10:10" s="629" customFormat="1" ht="21.75" customHeight="1">
      <c r="J277" s="2586"/>
    </row>
    <row r="278" spans="10:10" s="629" customFormat="1" ht="21.75" customHeight="1">
      <c r="J278" s="2586"/>
    </row>
    <row r="279" spans="10:10" s="629" customFormat="1" ht="21.75" customHeight="1">
      <c r="J279" s="2586"/>
    </row>
    <row r="280" spans="10:10" s="629" customFormat="1" ht="21.75" customHeight="1">
      <c r="J280" s="2586"/>
    </row>
    <row r="281" spans="10:10" s="629" customFormat="1" ht="21.75" customHeight="1">
      <c r="J281" s="2586"/>
    </row>
    <row r="282" spans="10:10" s="629" customFormat="1" ht="21.75" customHeight="1">
      <c r="J282" s="2586"/>
    </row>
    <row r="283" spans="10:10" s="629" customFormat="1" ht="21.75" customHeight="1">
      <c r="J283" s="2586"/>
    </row>
    <row r="284" spans="10:10" s="629" customFormat="1" ht="21.75" customHeight="1">
      <c r="J284" s="2586"/>
    </row>
    <row r="285" spans="10:10" s="629" customFormat="1" ht="21.75" customHeight="1">
      <c r="J285" s="2586"/>
    </row>
    <row r="286" spans="10:10" s="629" customFormat="1" ht="21.75" customHeight="1">
      <c r="J286" s="2586"/>
    </row>
    <row r="287" spans="10:10" s="629" customFormat="1" ht="21.75" customHeight="1">
      <c r="J287" s="2586"/>
    </row>
    <row r="288" spans="10:10" s="629" customFormat="1" ht="21.75" customHeight="1">
      <c r="J288" s="2586"/>
    </row>
    <row r="289" spans="10:10" s="629" customFormat="1" ht="21.75" customHeight="1">
      <c r="J289" s="2586"/>
    </row>
    <row r="290" spans="10:10" s="629" customFormat="1" ht="21.75" customHeight="1">
      <c r="J290" s="2586"/>
    </row>
    <row r="291" spans="10:10" s="629" customFormat="1" ht="21.75" customHeight="1">
      <c r="J291" s="2586"/>
    </row>
    <row r="292" spans="10:10" s="629" customFormat="1" ht="21.75" customHeight="1">
      <c r="J292" s="2586"/>
    </row>
    <row r="293" spans="10:10" s="629" customFormat="1" ht="21.75" customHeight="1">
      <c r="J293" s="2586"/>
    </row>
    <row r="294" spans="10:10" s="629" customFormat="1" ht="21.75" customHeight="1">
      <c r="J294" s="2586"/>
    </row>
    <row r="295" spans="10:10" s="629" customFormat="1" ht="21.75" customHeight="1">
      <c r="J295" s="2586"/>
    </row>
    <row r="296" spans="10:10" s="629" customFormat="1" ht="21.75" customHeight="1">
      <c r="J296" s="2586"/>
    </row>
    <row r="297" spans="10:10" s="629" customFormat="1" ht="21.75" customHeight="1">
      <c r="J297" s="2586"/>
    </row>
    <row r="298" spans="10:10" s="629" customFormat="1" ht="21.75" customHeight="1">
      <c r="J298" s="2586"/>
    </row>
    <row r="299" spans="10:10" s="629" customFormat="1" ht="21.75" customHeight="1">
      <c r="J299" s="2586"/>
    </row>
    <row r="300" spans="10:10" s="629" customFormat="1" ht="21.75" customHeight="1">
      <c r="J300" s="2586"/>
    </row>
    <row r="301" spans="10:10" s="629" customFormat="1" ht="21.75" customHeight="1">
      <c r="J301" s="2586"/>
    </row>
    <row r="302" spans="10:10" s="629" customFormat="1" ht="21.75" customHeight="1">
      <c r="J302" s="2586"/>
    </row>
    <row r="303" spans="10:10" s="629" customFormat="1" ht="21.75" customHeight="1">
      <c r="J303" s="2586"/>
    </row>
    <row r="304" spans="10:10" s="629" customFormat="1" ht="21.75" customHeight="1">
      <c r="J304" s="2586"/>
    </row>
    <row r="305" spans="10:10" s="629" customFormat="1" ht="21.75" customHeight="1">
      <c r="J305" s="2586"/>
    </row>
    <row r="306" spans="10:10" s="629" customFormat="1" ht="21.75" customHeight="1">
      <c r="J306" s="2586"/>
    </row>
    <row r="307" spans="10:10" s="629" customFormat="1" ht="21.75" customHeight="1">
      <c r="J307" s="2586"/>
    </row>
    <row r="308" spans="10:10" s="629" customFormat="1" ht="21.75" customHeight="1">
      <c r="J308" s="2586"/>
    </row>
    <row r="309" spans="10:10" s="629" customFormat="1" ht="21.75" customHeight="1">
      <c r="J309" s="2586"/>
    </row>
    <row r="310" spans="10:10" s="629" customFormat="1" ht="21.75" customHeight="1">
      <c r="J310" s="2586"/>
    </row>
    <row r="311" spans="10:10" s="629" customFormat="1" ht="21.75" customHeight="1">
      <c r="J311" s="2586"/>
    </row>
    <row r="312" spans="10:10" s="629" customFormat="1" ht="21.75" customHeight="1">
      <c r="J312" s="2586"/>
    </row>
    <row r="313" spans="10:10" s="629" customFormat="1" ht="21.75" customHeight="1">
      <c r="J313" s="2586"/>
    </row>
    <row r="314" spans="10:10" s="629" customFormat="1" ht="21.75" customHeight="1">
      <c r="J314" s="2586"/>
    </row>
    <row r="315" spans="10:10" s="629" customFormat="1" ht="21.75" customHeight="1">
      <c r="J315" s="2586"/>
    </row>
    <row r="316" spans="10:10" s="629" customFormat="1" ht="21.75" customHeight="1">
      <c r="J316" s="2586"/>
    </row>
    <row r="317" spans="10:10" s="629" customFormat="1" ht="21.75" customHeight="1">
      <c r="J317" s="2586"/>
    </row>
    <row r="318" spans="10:10" s="629" customFormat="1" ht="21.75" customHeight="1">
      <c r="J318" s="2586"/>
    </row>
    <row r="319" spans="10:10" s="629" customFormat="1" ht="21.75" customHeight="1">
      <c r="J319" s="2586"/>
    </row>
    <row r="320" spans="10:10" s="629" customFormat="1" ht="21.75" customHeight="1">
      <c r="J320" s="2586"/>
    </row>
    <row r="321" spans="10:10" s="629" customFormat="1" ht="21.75" customHeight="1">
      <c r="J321" s="2586"/>
    </row>
    <row r="322" spans="10:10" s="629" customFormat="1" ht="21.75" customHeight="1">
      <c r="J322" s="2586"/>
    </row>
    <row r="323" spans="10:10" s="629" customFormat="1" ht="21.75" customHeight="1">
      <c r="J323" s="2586"/>
    </row>
    <row r="324" spans="10:10" s="629" customFormat="1" ht="21.75" customHeight="1">
      <c r="J324" s="2586"/>
    </row>
    <row r="325" spans="10:10" s="629" customFormat="1" ht="21.75" customHeight="1">
      <c r="J325" s="2586"/>
    </row>
    <row r="326" spans="10:10" s="629" customFormat="1" ht="21.75" customHeight="1">
      <c r="J326" s="2586"/>
    </row>
    <row r="327" spans="10:10" s="629" customFormat="1" ht="21.75" customHeight="1">
      <c r="J327" s="2586"/>
    </row>
    <row r="328" spans="10:10" s="629" customFormat="1" ht="21.75" customHeight="1">
      <c r="J328" s="2586"/>
    </row>
    <row r="329" spans="10:10" s="629" customFormat="1" ht="21.75" customHeight="1">
      <c r="J329" s="2586"/>
    </row>
    <row r="330" spans="10:10" s="629" customFormat="1" ht="21.75" customHeight="1">
      <c r="J330" s="2586"/>
    </row>
    <row r="331" spans="10:10" s="629" customFormat="1" ht="21.75" customHeight="1">
      <c r="J331" s="2586"/>
    </row>
    <row r="332" spans="10:10" s="629" customFormat="1" ht="21.75" customHeight="1">
      <c r="J332" s="2586"/>
    </row>
    <row r="333" spans="10:10" s="629" customFormat="1" ht="21.75" customHeight="1">
      <c r="J333" s="2586"/>
    </row>
    <row r="334" spans="10:10" s="629" customFormat="1" ht="21.75" customHeight="1">
      <c r="J334" s="2586"/>
    </row>
    <row r="335" spans="10:10" s="629" customFormat="1" ht="21.75" customHeight="1">
      <c r="J335" s="2586"/>
    </row>
    <row r="336" spans="10:10" s="629" customFormat="1" ht="21.75" customHeight="1">
      <c r="J336" s="2586"/>
    </row>
    <row r="337" spans="10:10" s="629" customFormat="1" ht="21.75" customHeight="1">
      <c r="J337" s="2586"/>
    </row>
    <row r="338" spans="10:10" s="629" customFormat="1" ht="21.75" customHeight="1">
      <c r="J338" s="2586"/>
    </row>
    <row r="339" spans="10:10" s="629" customFormat="1" ht="21.75" customHeight="1">
      <c r="J339" s="2586"/>
    </row>
    <row r="340" spans="10:10" s="629" customFormat="1" ht="21.75" customHeight="1">
      <c r="J340" s="2586"/>
    </row>
    <row r="341" spans="10:10" s="629" customFormat="1" ht="21.75" customHeight="1">
      <c r="J341" s="2586"/>
    </row>
    <row r="342" spans="10:10" s="629" customFormat="1" ht="21.75" customHeight="1">
      <c r="J342" s="2586"/>
    </row>
    <row r="343" spans="10:10" s="629" customFormat="1" ht="21.75" customHeight="1">
      <c r="J343" s="2586"/>
    </row>
    <row r="344" spans="10:10" s="629" customFormat="1" ht="21.75" customHeight="1">
      <c r="J344" s="2586"/>
    </row>
    <row r="345" spans="10:10" s="629" customFormat="1" ht="21.75" customHeight="1">
      <c r="J345" s="2586"/>
    </row>
    <row r="346" spans="10:10" s="629" customFormat="1" ht="21.75" customHeight="1">
      <c r="J346" s="2586"/>
    </row>
    <row r="347" spans="10:10" s="629" customFormat="1" ht="21.75" customHeight="1">
      <c r="J347" s="2586"/>
    </row>
    <row r="348" spans="10:10" s="629" customFormat="1" ht="21.75" customHeight="1">
      <c r="J348" s="2586"/>
    </row>
    <row r="349" spans="10:10" s="629" customFormat="1" ht="21.75" customHeight="1">
      <c r="J349" s="2586"/>
    </row>
    <row r="350" spans="10:10" s="629" customFormat="1" ht="21.75" customHeight="1">
      <c r="J350" s="2586"/>
    </row>
    <row r="351" spans="10:10" s="629" customFormat="1" ht="21.75" customHeight="1">
      <c r="J351" s="2586"/>
    </row>
    <row r="352" spans="10:10" s="629" customFormat="1" ht="21.75" customHeight="1">
      <c r="J352" s="2586"/>
    </row>
    <row r="353" spans="10:10" s="629" customFormat="1" ht="21.75" customHeight="1">
      <c r="J353" s="2586"/>
    </row>
    <row r="354" spans="10:10" s="629" customFormat="1" ht="21.75" customHeight="1">
      <c r="J354" s="2586"/>
    </row>
    <row r="355" spans="10:10" s="629" customFormat="1" ht="21.75" customHeight="1">
      <c r="J355" s="2586"/>
    </row>
    <row r="356" spans="10:10" s="629" customFormat="1" ht="21.75" customHeight="1">
      <c r="J356" s="2586"/>
    </row>
    <row r="357" spans="10:10" s="629" customFormat="1" ht="21.75" customHeight="1">
      <c r="J357" s="2586"/>
    </row>
    <row r="358" spans="10:10" s="629" customFormat="1" ht="21.75" customHeight="1">
      <c r="J358" s="2586"/>
    </row>
    <row r="359" spans="10:10" s="629" customFormat="1" ht="21.75" customHeight="1">
      <c r="J359" s="2586"/>
    </row>
    <row r="360" spans="10:10" s="629" customFormat="1" ht="21.75" customHeight="1">
      <c r="J360" s="2586"/>
    </row>
    <row r="361" spans="10:10" s="629" customFormat="1" ht="21.75" customHeight="1">
      <c r="J361" s="2586"/>
    </row>
    <row r="362" spans="10:10" s="629" customFormat="1" ht="21.75" customHeight="1">
      <c r="J362" s="2586"/>
    </row>
    <row r="363" spans="10:10" s="629" customFormat="1" ht="21.75" customHeight="1">
      <c r="J363" s="2586"/>
    </row>
    <row r="364" spans="10:10" s="629" customFormat="1" ht="21.75" customHeight="1">
      <c r="J364" s="2586"/>
    </row>
    <row r="365" spans="10:10" s="629" customFormat="1" ht="21.75" customHeight="1">
      <c r="J365" s="2586"/>
    </row>
    <row r="366" spans="10:10" s="629" customFormat="1" ht="21.75" customHeight="1">
      <c r="J366" s="2586"/>
    </row>
    <row r="367" spans="10:10" s="629" customFormat="1" ht="21.75" customHeight="1">
      <c r="J367" s="2586"/>
    </row>
    <row r="368" spans="10:10" s="629" customFormat="1" ht="21.75" customHeight="1">
      <c r="J368" s="2586"/>
    </row>
    <row r="369" spans="10:10" s="629" customFormat="1" ht="21.75" customHeight="1">
      <c r="J369" s="2586"/>
    </row>
    <row r="370" spans="10:10" s="629" customFormat="1" ht="21.75" customHeight="1">
      <c r="J370" s="2586"/>
    </row>
    <row r="371" spans="10:10" s="629" customFormat="1" ht="21.75" customHeight="1">
      <c r="J371" s="2586"/>
    </row>
    <row r="372" spans="10:10" s="629" customFormat="1" ht="21.75" customHeight="1">
      <c r="J372" s="2586"/>
    </row>
    <row r="373" spans="10:10" s="629" customFormat="1" ht="21.75" customHeight="1">
      <c r="J373" s="2586"/>
    </row>
    <row r="374" spans="10:10" s="629" customFormat="1" ht="21.75" customHeight="1">
      <c r="J374" s="2586"/>
    </row>
    <row r="375" spans="10:10" s="629" customFormat="1" ht="21.75" customHeight="1">
      <c r="J375" s="2586"/>
    </row>
    <row r="376" spans="10:10" s="629" customFormat="1" ht="21.75" customHeight="1">
      <c r="J376" s="2586"/>
    </row>
    <row r="377" spans="10:10" s="629" customFormat="1" ht="21.75" customHeight="1">
      <c r="J377" s="2586"/>
    </row>
    <row r="378" spans="10:10" s="629" customFormat="1" ht="21.75" customHeight="1">
      <c r="J378" s="2586"/>
    </row>
    <row r="379" spans="10:10" s="629" customFormat="1" ht="21.75" customHeight="1">
      <c r="J379" s="2586"/>
    </row>
    <row r="380" spans="10:10" s="629" customFormat="1" ht="21.75" customHeight="1">
      <c r="J380" s="2586"/>
    </row>
    <row r="381" spans="10:10" s="629" customFormat="1" ht="21.75" customHeight="1">
      <c r="J381" s="2586"/>
    </row>
    <row r="382" spans="10:10" s="629" customFormat="1" ht="21.75" customHeight="1">
      <c r="J382" s="2586"/>
    </row>
    <row r="383" spans="10:10" s="629" customFormat="1" ht="21.75" customHeight="1">
      <c r="J383" s="2586"/>
    </row>
    <row r="384" spans="10:10" s="629" customFormat="1" ht="21.75" customHeight="1">
      <c r="J384" s="2586"/>
    </row>
    <row r="385" spans="10:10" s="629" customFormat="1" ht="21.75" customHeight="1">
      <c r="J385" s="2586"/>
    </row>
    <row r="386" spans="10:10" s="629" customFormat="1" ht="21.75" customHeight="1">
      <c r="J386" s="2586"/>
    </row>
    <row r="387" spans="10:10" s="629" customFormat="1" ht="21.75" customHeight="1">
      <c r="J387" s="2586"/>
    </row>
    <row r="388" spans="10:10" s="629" customFormat="1" ht="21.75" customHeight="1">
      <c r="J388" s="2586"/>
    </row>
    <row r="389" spans="10:10" s="629" customFormat="1" ht="21.75" customHeight="1">
      <c r="J389" s="2586"/>
    </row>
    <row r="390" spans="10:10" s="629" customFormat="1" ht="21.75" customHeight="1">
      <c r="J390" s="2586"/>
    </row>
    <row r="391" spans="10:10" s="629" customFormat="1" ht="21.75" customHeight="1">
      <c r="J391" s="2586"/>
    </row>
    <row r="392" spans="10:10" s="629" customFormat="1" ht="21.75" customHeight="1">
      <c r="J392" s="2586"/>
    </row>
    <row r="393" spans="10:10" s="629" customFormat="1" ht="21.75" customHeight="1">
      <c r="J393" s="2586"/>
    </row>
    <row r="394" spans="10:10" s="629" customFormat="1" ht="21.75" customHeight="1">
      <c r="J394" s="2586"/>
    </row>
    <row r="395" spans="10:10" s="629" customFormat="1" ht="21.75" customHeight="1">
      <c r="J395" s="2586"/>
    </row>
    <row r="396" spans="10:10" s="629" customFormat="1" ht="21.75" customHeight="1">
      <c r="J396" s="2586"/>
    </row>
    <row r="397" spans="10:10" s="629" customFormat="1" ht="21.75" customHeight="1">
      <c r="J397" s="2586"/>
    </row>
    <row r="398" spans="10:10" s="629" customFormat="1" ht="21.75" customHeight="1">
      <c r="J398" s="2586"/>
    </row>
    <row r="399" spans="10:10" s="629" customFormat="1" ht="21.75" customHeight="1">
      <c r="J399" s="2586"/>
    </row>
    <row r="400" spans="10:10" s="629" customFormat="1" ht="21.75" customHeight="1">
      <c r="J400" s="2586"/>
    </row>
    <row r="401" spans="10:27" s="629" customFormat="1" ht="21.75" customHeight="1">
      <c r="J401" s="2586"/>
    </row>
    <row r="402" spans="10:27" s="629" customFormat="1" ht="21.75" customHeight="1">
      <c r="J402" s="2586"/>
    </row>
    <row r="403" spans="10:27" s="1177" customFormat="1" ht="21.75" customHeight="1">
      <c r="J403" s="2558"/>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8"/>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8"/>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8"/>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8"/>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8"/>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8"/>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8"/>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8"/>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8"/>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8"/>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8"/>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8"/>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8"/>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8"/>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8"/>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8"/>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8"/>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8"/>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8"/>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8"/>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8"/>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8"/>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8"/>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8"/>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8"/>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8"/>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8"/>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8"/>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8"/>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8"/>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8"/>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8"/>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8"/>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8"/>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8"/>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8"/>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8"/>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8"/>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8"/>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8"/>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8"/>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8"/>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8"/>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8"/>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8"/>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8"/>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8"/>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8"/>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8"/>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8"/>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8"/>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8"/>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8"/>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8"/>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8"/>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8"/>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8"/>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8"/>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8"/>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8"/>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8"/>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8"/>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8"/>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8"/>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8"/>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8"/>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8"/>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8"/>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8"/>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8"/>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8"/>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8"/>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8"/>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8"/>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8"/>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8"/>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8"/>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8"/>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8"/>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8"/>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8"/>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8"/>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8"/>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8"/>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8"/>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8"/>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8"/>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8"/>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8"/>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8"/>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8"/>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8"/>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8"/>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8"/>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8"/>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8"/>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8"/>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8"/>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8"/>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8"/>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8"/>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8"/>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8"/>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8"/>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8"/>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8"/>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8"/>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8"/>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8"/>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8"/>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8"/>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8"/>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F516" s="734"/>
      <c r="G516" s="734"/>
      <c r="H516" s="734"/>
      <c r="I516" s="734"/>
      <c r="J516" s="2558"/>
      <c r="K516" s="629"/>
      <c r="L516" s="629"/>
      <c r="M516" s="629"/>
      <c r="N516" s="629"/>
      <c r="O516" s="629"/>
      <c r="P516" s="629"/>
      <c r="Q516" s="629"/>
      <c r="R516" s="629"/>
      <c r="S516" s="629"/>
      <c r="T516" s="629"/>
      <c r="U516" s="629"/>
      <c r="V516" s="629"/>
      <c r="W516" s="629"/>
      <c r="X516" s="629"/>
      <c r="Y516" s="629"/>
      <c r="Z516" s="629"/>
      <c r="AA516" s="62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734"/>
    <col min="2" max="2" width="17.6640625" style="734" customWidth="1"/>
    <col min="3" max="4" width="12.6640625" style="734" customWidth="1"/>
    <col min="5" max="9" width="12.6640625" style="734"/>
    <col min="10" max="10" width="4.109375" style="2558" customWidth="1"/>
    <col min="11" max="12" width="12.6640625" style="629" customWidth="1"/>
    <col min="13" max="13" width="12.6640625" style="629"/>
    <col min="14" max="14" width="14.109375" style="629" bestFit="1" customWidth="1"/>
    <col min="15" max="27" width="12.6640625" style="629"/>
    <col min="28" max="36" width="12.6640625" style="1177"/>
    <col min="37" max="16384" width="12.6640625" style="734"/>
  </cols>
  <sheetData>
    <row r="1" spans="1:15" ht="21.75" customHeight="1">
      <c r="A1" s="1312" t="s">
        <v>1642</v>
      </c>
      <c r="B1" s="1313"/>
      <c r="C1" s="1313"/>
      <c r="D1" s="1313"/>
      <c r="E1" s="1313"/>
      <c r="F1" s="1313"/>
      <c r="G1" s="1313"/>
      <c r="H1" s="1313"/>
      <c r="I1" s="1313"/>
    </row>
    <row r="2" spans="1:15" ht="21.75" customHeight="1">
      <c r="A2" s="3283" t="s">
        <v>1643</v>
      </c>
      <c r="B2" s="3283"/>
      <c r="C2" s="3283"/>
      <c r="D2" s="3283"/>
      <c r="E2" s="3283"/>
      <c r="F2" s="3283"/>
      <c r="G2" s="3283"/>
      <c r="H2" s="3283"/>
      <c r="I2" s="3283"/>
      <c r="J2" s="2588"/>
    </row>
    <row r="3" spans="1:15" ht="13.2">
      <c r="A3" s="3207" t="s">
        <v>1471</v>
      </c>
      <c r="B3" s="3208"/>
      <c r="C3" s="3208"/>
      <c r="D3" s="3208"/>
      <c r="E3" s="3208"/>
      <c r="F3" s="3208"/>
      <c r="G3" s="3208"/>
      <c r="H3" s="3208"/>
      <c r="I3" s="3208"/>
      <c r="J3" s="2560"/>
    </row>
    <row r="4" spans="1:15" ht="14.4">
      <c r="A4" s="2433" t="s">
        <v>1472</v>
      </c>
      <c r="B4" s="2433" t="s">
        <v>1473</v>
      </c>
      <c r="C4" s="2434"/>
      <c r="D4" s="2434"/>
      <c r="E4" s="3153" t="s">
        <v>1644</v>
      </c>
      <c r="F4" s="3191"/>
      <c r="G4" s="3191"/>
      <c r="H4" s="3191"/>
      <c r="I4" s="3192"/>
      <c r="J4" s="2561"/>
      <c r="L4" s="131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1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13"/>
      <c r="O4" s="1313"/>
    </row>
    <row r="5" spans="1:15" ht="13.2">
      <c r="A5" s="3184" t="s">
        <v>1475</v>
      </c>
      <c r="B5" s="3184">
        <v>25</v>
      </c>
      <c r="C5" s="3193"/>
      <c r="D5" s="3206"/>
      <c r="E5" s="11" t="s">
        <v>1476</v>
      </c>
      <c r="F5" s="1197"/>
      <c r="G5" s="1197"/>
      <c r="H5" s="1197"/>
      <c r="I5" s="1878"/>
      <c r="J5" s="2561"/>
    </row>
    <row r="6" spans="1:15" ht="13.2">
      <c r="A6" s="3184"/>
      <c r="B6" s="3184"/>
      <c r="C6" s="3209"/>
      <c r="D6" s="3206"/>
      <c r="E6" s="11" t="s">
        <v>1477</v>
      </c>
      <c r="F6" s="1197"/>
      <c r="G6" s="1197"/>
      <c r="H6" s="1197"/>
      <c r="I6" s="1878"/>
      <c r="J6" s="2561"/>
    </row>
    <row r="7" spans="1:15" ht="13.2">
      <c r="A7" s="3184"/>
      <c r="B7" s="3184"/>
      <c r="C7" s="3194"/>
      <c r="D7" s="3206"/>
      <c r="E7" s="11" t="s">
        <v>1478</v>
      </c>
      <c r="F7" s="1197"/>
      <c r="G7" s="1197"/>
      <c r="H7" s="1197"/>
      <c r="I7" s="1878"/>
      <c r="J7" s="2561"/>
    </row>
    <row r="8" spans="1:15" ht="13.2">
      <c r="A8" s="3184" t="s">
        <v>1479</v>
      </c>
      <c r="B8" s="3184">
        <v>15</v>
      </c>
      <c r="C8" s="3193"/>
      <c r="D8" s="3206"/>
      <c r="E8" s="11" t="s">
        <v>1480</v>
      </c>
      <c r="F8" s="1197"/>
      <c r="G8" s="1197"/>
      <c r="H8" s="1197"/>
      <c r="I8" s="1878"/>
      <c r="J8" s="2561"/>
    </row>
    <row r="9" spans="1:15" ht="13.2">
      <c r="A9" s="3184"/>
      <c r="B9" s="3184"/>
      <c r="C9" s="3194"/>
      <c r="D9" s="3206"/>
      <c r="E9" s="11" t="s">
        <v>1481</v>
      </c>
      <c r="F9" s="1197"/>
      <c r="G9" s="1197"/>
      <c r="H9" s="1197"/>
      <c r="I9" s="1878"/>
      <c r="J9" s="2561"/>
    </row>
    <row r="10" spans="1:15" ht="13.2">
      <c r="A10" s="3184" t="s">
        <v>1482</v>
      </c>
      <c r="B10" s="3184">
        <v>15</v>
      </c>
      <c r="C10" s="3193"/>
      <c r="D10" s="3206"/>
      <c r="E10" s="11" t="s">
        <v>1483</v>
      </c>
      <c r="F10" s="1197"/>
      <c r="G10" s="1197"/>
      <c r="H10" s="1197"/>
      <c r="I10" s="1878"/>
      <c r="J10" s="2561"/>
    </row>
    <row r="11" spans="1:15" ht="13.2">
      <c r="A11" s="3184"/>
      <c r="B11" s="3184"/>
      <c r="C11" s="3194"/>
      <c r="D11" s="3206"/>
      <c r="E11" s="11" t="s">
        <v>1484</v>
      </c>
      <c r="F11" s="1197"/>
      <c r="G11" s="1197"/>
      <c r="H11" s="1197"/>
      <c r="I11" s="1878"/>
      <c r="J11" s="2561"/>
    </row>
    <row r="12" spans="1:15" ht="13.2">
      <c r="A12" s="3184" t="s">
        <v>1485</v>
      </c>
      <c r="B12" s="3184">
        <v>15</v>
      </c>
      <c r="C12" s="3193"/>
      <c r="D12" s="3206"/>
      <c r="E12" s="11" t="s">
        <v>1486</v>
      </c>
      <c r="F12" s="1197"/>
      <c r="G12" s="1197"/>
      <c r="H12" s="1197"/>
      <c r="I12" s="1878"/>
      <c r="J12" s="2561"/>
    </row>
    <row r="13" spans="1:15" ht="13.2">
      <c r="A13" s="3184"/>
      <c r="B13" s="3184"/>
      <c r="C13" s="3194"/>
      <c r="D13" s="3206"/>
      <c r="E13" s="11" t="s">
        <v>1487</v>
      </c>
      <c r="F13" s="1197"/>
      <c r="G13" s="1197"/>
      <c r="H13" s="1197"/>
      <c r="I13" s="1878"/>
      <c r="J13" s="2561"/>
    </row>
    <row r="14" spans="1:15" ht="13.2">
      <c r="A14" s="3184" t="s">
        <v>1488</v>
      </c>
      <c r="B14" s="3184">
        <v>30</v>
      </c>
      <c r="C14" s="3193"/>
      <c r="D14" s="3206"/>
      <c r="E14" s="11" t="s">
        <v>1489</v>
      </c>
      <c r="F14" s="1197"/>
      <c r="G14" s="1197"/>
      <c r="H14" s="1197"/>
      <c r="I14" s="1878"/>
      <c r="J14" s="2561"/>
    </row>
    <row r="15" spans="1:15" ht="13.2">
      <c r="A15" s="3184"/>
      <c r="B15" s="3184"/>
      <c r="C15" s="3209"/>
      <c r="D15" s="3206"/>
      <c r="E15" s="11" t="s">
        <v>1490</v>
      </c>
      <c r="F15" s="1197"/>
      <c r="G15" s="1197"/>
      <c r="H15" s="1197"/>
      <c r="I15" s="1878"/>
      <c r="J15" s="2561"/>
    </row>
    <row r="16" spans="1:15" ht="13.2">
      <c r="A16" s="3184"/>
      <c r="B16" s="3184"/>
      <c r="C16" s="3194"/>
      <c r="D16" s="3206"/>
      <c r="E16" s="11" t="s">
        <v>1491</v>
      </c>
      <c r="F16" s="1197"/>
      <c r="G16" s="1197"/>
      <c r="H16" s="1197"/>
      <c r="I16" s="1878"/>
      <c r="J16" s="2561"/>
    </row>
    <row r="17" spans="1:36" ht="14.4">
      <c r="A17" s="2435" t="s">
        <v>1492</v>
      </c>
      <c r="B17" s="1885"/>
      <c r="C17" s="2436">
        <f>SUM(C5:C16)</f>
        <v>0</v>
      </c>
      <c r="D17" s="2436">
        <f>SUM(D5:D16)</f>
        <v>0</v>
      </c>
      <c r="E17" s="1330"/>
      <c r="F17" s="1330"/>
      <c r="G17" s="1330"/>
      <c r="H17" s="1330"/>
      <c r="I17" s="1330"/>
      <c r="J17" s="2562"/>
    </row>
    <row r="18" spans="1:36" ht="32.4" customHeight="1" thickBot="1">
      <c r="A18" s="2437" t="s">
        <v>1493</v>
      </c>
      <c r="B18" s="2438"/>
      <c r="C18" s="2439" t="e">
        <f>ROUND(C17/SUM(C17:D17),2)</f>
        <v>#DIV/0!</v>
      </c>
      <c r="D18" s="2439" t="e">
        <f>1-C18</f>
        <v>#DIV/0!</v>
      </c>
      <c r="E18" s="3202" t="s">
        <v>2576</v>
      </c>
      <c r="F18" s="3203"/>
      <c r="G18" s="3203"/>
      <c r="H18" s="3203"/>
      <c r="I18" s="3203"/>
      <c r="J18" s="2562"/>
    </row>
    <row r="19" spans="1:36" ht="14.4">
      <c r="A19" s="1856" t="s">
        <v>1494</v>
      </c>
      <c r="B19" s="2440" t="s">
        <v>1495</v>
      </c>
      <c r="C19" s="2441" t="e">
        <f ca="1">SUMIF(INDIRECT("'"&amp;C4&amp;"'"&amp;"!A:A"),'结果表 (1修多)'!B19,INDIRECT("'"&amp;C4&amp;"'"&amp;"!B:B"))</f>
        <v>#REF!</v>
      </c>
      <c r="D19" s="2442" t="e">
        <f ca="1">SUMIF(INDIRECT("'"&amp;D4&amp;"'"&amp;"!A:A"),'结果表 (1修多)'!B19,INDIRECT("'"&amp;D4&amp;"'"&amp;"!B:B"))</f>
        <v>#REF!</v>
      </c>
      <c r="E19" s="1856" t="s">
        <v>1496</v>
      </c>
      <c r="F19" s="2440" t="s">
        <v>1495</v>
      </c>
      <c r="G19" s="2443" t="e">
        <f ca="1">ROUND(C19*$C$18+D19*$D$18,0)</f>
        <v>#REF!</v>
      </c>
      <c r="H19" s="2444" t="str">
        <f>'数据-取费表'!B3</f>
        <v>元</v>
      </c>
      <c r="I19" s="1330"/>
      <c r="J19" s="2562"/>
    </row>
    <row r="20" spans="1:36" ht="14.4">
      <c r="A20" s="2445"/>
      <c r="B20" s="1519" t="s">
        <v>1497</v>
      </c>
      <c r="C20" s="1737" t="e">
        <f ca="1">SUMIF(INDIRECT("'"&amp;C4&amp;"'"&amp;"!A:A"),'结果表 (1修多)'!B20,INDIRECT("'"&amp;C4&amp;"'"&amp;"!B:B"))</f>
        <v>#REF!</v>
      </c>
      <c r="D20" s="1740" t="e">
        <f ca="1">SUMIF(INDIRECT("'"&amp;D4&amp;"'"&amp;"!A:A"),'结果表 (1修多)'!B20,INDIRECT("'"&amp;D4&amp;"'"&amp;"!B:B"))</f>
        <v>#REF!</v>
      </c>
      <c r="E20" s="2445"/>
      <c r="F20" s="1519" t="s">
        <v>1497</v>
      </c>
      <c r="G20" s="1884" t="e">
        <f ca="1">ROUND(C20*$C$18+D20*$D$18,0)</f>
        <v>#REF!</v>
      </c>
      <c r="H20" s="2446" t="s">
        <v>1498</v>
      </c>
      <c r="I20" s="1330"/>
      <c r="J20" s="2562"/>
    </row>
    <row r="21" spans="1:36" ht="15" customHeight="1" thickBot="1">
      <c r="A21" s="1660"/>
      <c r="B21" s="2447"/>
      <c r="C21" s="2447"/>
      <c r="D21" s="2448"/>
      <c r="E21" s="1660"/>
      <c r="F21" s="2447"/>
      <c r="G21" s="2449"/>
      <c r="H21" s="2450"/>
      <c r="I21" s="1330"/>
      <c r="J21" s="2562"/>
    </row>
    <row r="22" spans="1:36" ht="15" thickBot="1">
      <c r="A22" s="2451" t="s">
        <v>1499</v>
      </c>
      <c r="B22" s="2452"/>
      <c r="C22" s="2380"/>
      <c r="D22" s="2453" t="e">
        <f ca="1">IF(C19&lt;D19,D19/C19-1,C19/D19-1)</f>
        <v>#REF!</v>
      </c>
      <c r="E22" s="862"/>
      <c r="F22" s="862"/>
      <c r="G22" s="862"/>
      <c r="H22" s="862"/>
      <c r="I22" s="862"/>
      <c r="J22" s="2562"/>
    </row>
    <row r="23" spans="1:36" ht="13.8" thickBot="1">
      <c r="A23" s="1330"/>
      <c r="B23" s="1330"/>
      <c r="C23" s="1330"/>
      <c r="D23" s="1330"/>
      <c r="E23" s="862"/>
      <c r="F23" s="862"/>
      <c r="G23" s="862"/>
      <c r="H23" s="862"/>
      <c r="I23" s="862"/>
      <c r="J23" s="2562"/>
    </row>
    <row r="24" spans="1:36" ht="21.75" customHeight="1">
      <c r="A24" s="3195" t="s">
        <v>1500</v>
      </c>
      <c r="B24" s="2440" t="s">
        <v>1495</v>
      </c>
      <c r="C24" s="2443">
        <f>D30</f>
        <v>0</v>
      </c>
      <c r="D24" s="2407"/>
      <c r="E24" s="862"/>
      <c r="F24" s="862"/>
      <c r="G24" s="862"/>
      <c r="H24" s="862"/>
      <c r="I24" s="862"/>
      <c r="J24" s="2562"/>
    </row>
    <row r="25" spans="1:36" ht="21.75" customHeight="1">
      <c r="A25" s="3212"/>
      <c r="B25" s="1519" t="s">
        <v>1497</v>
      </c>
      <c r="C25" s="2454">
        <f>IF(B30=0,0,C30)</f>
        <v>0</v>
      </c>
      <c r="D25" s="2455"/>
      <c r="E25" s="862"/>
      <c r="F25" s="862"/>
      <c r="G25" s="862"/>
      <c r="H25" s="862"/>
      <c r="I25" s="862"/>
      <c r="J25" s="2562"/>
    </row>
    <row r="26" spans="1:36" ht="13.5" customHeight="1">
      <c r="A26" s="2456" t="s">
        <v>1501</v>
      </c>
      <c r="B26" s="2457" t="s">
        <v>1502</v>
      </c>
      <c r="C26" s="2457" t="s">
        <v>1503</v>
      </c>
      <c r="D26" s="2458" t="s">
        <v>1504</v>
      </c>
      <c r="E26" s="862"/>
      <c r="F26" s="862"/>
      <c r="G26" s="862"/>
      <c r="H26" s="862"/>
      <c r="I26" s="862"/>
      <c r="J26" s="2562"/>
    </row>
    <row r="27" spans="1:36" ht="14.4">
      <c r="A27" s="2459" t="s">
        <v>1645</v>
      </c>
      <c r="B27" s="2457">
        <v>0</v>
      </c>
      <c r="C27" s="2457">
        <v>0</v>
      </c>
      <c r="D27" s="2458">
        <f>ROUND(C27*B27/10000,0)</f>
        <v>0</v>
      </c>
      <c r="E27" s="862"/>
      <c r="F27" s="862"/>
      <c r="G27" s="862"/>
      <c r="H27" s="862"/>
      <c r="I27" s="862"/>
      <c r="J27" s="2562"/>
    </row>
    <row r="28" spans="1:36" ht="13.8">
      <c r="A28" s="2456"/>
      <c r="B28" s="2457"/>
      <c r="C28" s="2457"/>
      <c r="D28" s="2458">
        <f>ROUND(C28*B28/10000,0)</f>
        <v>0</v>
      </c>
      <c r="E28" s="862"/>
      <c r="F28" s="862"/>
      <c r="G28" s="862"/>
      <c r="H28" s="862"/>
      <c r="I28" s="862"/>
      <c r="J28" s="2562"/>
    </row>
    <row r="29" spans="1:36" ht="13.8">
      <c r="A29" s="2456"/>
      <c r="B29" s="2457"/>
      <c r="C29" s="2457"/>
      <c r="D29" s="2458">
        <f t="shared" ref="D29" si="0">ROUND(C29*B29/10000,0)</f>
        <v>0</v>
      </c>
      <c r="E29" s="862"/>
      <c r="F29" s="862"/>
      <c r="G29" s="862"/>
      <c r="H29" s="862"/>
      <c r="I29" s="862"/>
      <c r="J29" s="2562"/>
    </row>
    <row r="30" spans="1:36" ht="15" thickBot="1">
      <c r="A30" s="2490" t="s">
        <v>1646</v>
      </c>
      <c r="B30" s="2491"/>
      <c r="C30" s="2491"/>
      <c r="D30" s="2491"/>
      <c r="E30" s="2460" t="s">
        <v>2580</v>
      </c>
      <c r="F30" s="1330"/>
      <c r="G30" s="1330"/>
      <c r="H30" s="1330"/>
      <c r="I30" s="1330"/>
      <c r="J30" s="2562"/>
    </row>
    <row r="31" spans="1:36" s="2555" customFormat="1" ht="27.6" customHeight="1" thickTop="1" thickBot="1">
      <c r="A31" s="2550"/>
      <c r="B31" s="2551"/>
      <c r="C31" s="2551"/>
      <c r="D31" s="2551"/>
      <c r="E31" s="2551"/>
      <c r="F31" s="2551"/>
      <c r="G31" s="2551"/>
      <c r="H31" s="2551"/>
      <c r="I31" s="2552" t="s">
        <v>2581</v>
      </c>
      <c r="J31" s="2564"/>
      <c r="K31" s="2553"/>
      <c r="L31" s="2553"/>
      <c r="M31" s="2553"/>
      <c r="N31" s="2553"/>
      <c r="O31" s="2553"/>
      <c r="P31" s="2553"/>
      <c r="Q31" s="2553"/>
      <c r="R31" s="2553"/>
      <c r="S31" s="2553"/>
      <c r="T31" s="2553"/>
      <c r="U31" s="2553"/>
      <c r="V31" s="2553"/>
      <c r="W31" s="2553"/>
      <c r="X31" s="2553"/>
      <c r="Y31" s="2553"/>
      <c r="Z31" s="2553"/>
      <c r="AA31" s="2553"/>
      <c r="AB31" s="2554"/>
      <c r="AC31" s="2554"/>
      <c r="AD31" s="2554"/>
      <c r="AE31" s="2554"/>
      <c r="AF31" s="2554"/>
      <c r="AG31" s="2554"/>
      <c r="AH31" s="2554"/>
      <c r="AI31" s="2554"/>
      <c r="AJ31" s="2554"/>
    </row>
    <row r="32" spans="1:36" ht="15.6" thickTop="1" thickBot="1">
      <c r="A32" s="3260" t="s">
        <v>1647</v>
      </c>
      <c r="B32" s="3260"/>
      <c r="C32" s="3260"/>
      <c r="D32" s="3260"/>
      <c r="E32" s="3260"/>
      <c r="F32" s="3260"/>
      <c r="G32" s="3260"/>
      <c r="H32" s="3260"/>
      <c r="I32" s="3260"/>
      <c r="J32" s="2589"/>
    </row>
    <row r="33" spans="1:16" ht="14.4">
      <c r="A33" s="1356"/>
      <c r="B33" s="2492" t="s">
        <v>1648</v>
      </c>
      <c r="C33" s="2493">
        <f>典型户型修正!R27</f>
        <v>0</v>
      </c>
      <c r="D33" s="1330" t="s">
        <v>1649</v>
      </c>
      <c r="E33" s="862"/>
      <c r="F33" s="862"/>
      <c r="G33" s="862"/>
      <c r="H33" s="862"/>
      <c r="I33" s="862"/>
      <c r="J33" s="2562"/>
    </row>
    <row r="34" spans="1:16" ht="14.4">
      <c r="A34" s="1357" t="s">
        <v>1650</v>
      </c>
      <c r="B34" s="2494" t="s">
        <v>1651</v>
      </c>
      <c r="C34" s="2495">
        <f>典型户型修正!B2</f>
        <v>0</v>
      </c>
      <c r="D34" s="1330" t="str">
        <f>IF('数据-取费表'!B3="万元","万元","元")</f>
        <v>元</v>
      </c>
      <c r="E34" s="862"/>
      <c r="F34" s="862"/>
      <c r="G34" s="862"/>
      <c r="H34" s="862"/>
      <c r="I34" s="862"/>
      <c r="J34" s="2562"/>
    </row>
    <row r="35" spans="1:16" ht="15" thickBot="1">
      <c r="A35" s="1358"/>
      <c r="B35" s="2496" t="s">
        <v>1652</v>
      </c>
      <c r="C35" s="2448" t="e">
        <f>典型户型修正!B3</f>
        <v>#DIV/0!</v>
      </c>
      <c r="D35" s="1330" t="s">
        <v>1653</v>
      </c>
      <c r="E35" s="862"/>
      <c r="F35" s="862"/>
      <c r="G35" s="862"/>
      <c r="H35" s="862"/>
      <c r="I35" s="862"/>
      <c r="J35" s="2562"/>
    </row>
    <row r="36" spans="1:16" ht="14.4">
      <c r="A36" s="1359"/>
      <c r="B36" s="1318" t="s">
        <v>1654</v>
      </c>
      <c r="C36" s="2497">
        <f>IF('数据-取费表'!B3="万元",典型户型修正!V25,典型户型修正!U25)</f>
        <v>0</v>
      </c>
      <c r="D36" s="1330" t="str">
        <f>D34</f>
        <v>元</v>
      </c>
      <c r="E36" s="862"/>
      <c r="F36" s="862"/>
      <c r="G36" s="862"/>
      <c r="H36" s="862"/>
      <c r="I36" s="862"/>
      <c r="J36" s="2562"/>
    </row>
    <row r="37" spans="1:16" ht="15" thickBot="1">
      <c r="A37" s="1317"/>
      <c r="B37" s="1319" t="s">
        <v>1655</v>
      </c>
      <c r="C37" s="2498">
        <f>IF('数据-取费表'!B3="万元",典型户型修正!Y25,典型户型修正!X25)</f>
        <v>0</v>
      </c>
      <c r="D37" s="1330" t="str">
        <f>D34</f>
        <v>元</v>
      </c>
      <c r="E37" s="862"/>
      <c r="F37" s="862"/>
      <c r="G37" s="862"/>
      <c r="H37" s="862"/>
      <c r="I37" s="862"/>
      <c r="J37" s="2562"/>
    </row>
    <row r="38" spans="1:16" ht="15" thickBot="1">
      <c r="A38" s="3195" t="s">
        <v>1656</v>
      </c>
      <c r="B38" s="1318" t="s">
        <v>1657</v>
      </c>
      <c r="C38" s="2475"/>
      <c r="D38" s="2476"/>
      <c r="E38" s="1180"/>
      <c r="F38" s="1180"/>
      <c r="G38" s="862"/>
      <c r="H38" s="862"/>
      <c r="I38" s="862"/>
      <c r="J38" s="2562"/>
    </row>
    <row r="39" spans="1:16" ht="15" thickBot="1">
      <c r="A39" s="3196"/>
      <c r="B39" s="1885" t="s">
        <v>1658</v>
      </c>
      <c r="C39" s="2477"/>
      <c r="D39" s="1180"/>
      <c r="E39" s="1180"/>
      <c r="F39" s="1180"/>
      <c r="G39" s="1180"/>
      <c r="H39" s="1180"/>
      <c r="I39" s="1180"/>
      <c r="J39" s="2566"/>
    </row>
    <row r="40" spans="1:16" ht="15" thickBot="1">
      <c r="A40" s="3197"/>
      <c r="B40" s="1319" t="s">
        <v>1659</v>
      </c>
      <c r="C40" s="2478"/>
      <c r="D40" s="2479" t="s">
        <v>1660</v>
      </c>
      <c r="E40" s="1180"/>
      <c r="F40" s="1180"/>
      <c r="G40" s="1180"/>
      <c r="H40" s="1180"/>
      <c r="I40" s="1180"/>
      <c r="J40" s="2566"/>
    </row>
    <row r="41" spans="1:16" ht="14.4">
      <c r="A41" s="2445" t="s">
        <v>1661</v>
      </c>
      <c r="B41" s="2480" t="s">
        <v>1662</v>
      </c>
      <c r="C41" s="2481" t="s">
        <v>1663</v>
      </c>
      <c r="D41" s="2481" t="s">
        <v>1664</v>
      </c>
      <c r="E41" s="2482" t="s">
        <v>1665</v>
      </c>
      <c r="F41" s="1180"/>
      <c r="G41" s="1180"/>
      <c r="H41" s="1180"/>
      <c r="I41" s="1180"/>
      <c r="J41" s="2566"/>
    </row>
    <row r="42" spans="1:16" ht="13.8">
      <c r="A42" s="2483" t="s">
        <v>1666</v>
      </c>
      <c r="B42" s="2484"/>
      <c r="C42" s="2485"/>
      <c r="D42" s="2485"/>
      <c r="E42" s="2469"/>
      <c r="F42" s="1180"/>
      <c r="G42" s="1180"/>
      <c r="H42" s="1180"/>
      <c r="I42" s="1180"/>
      <c r="J42" s="2566"/>
    </row>
    <row r="43" spans="1:16" ht="13.8">
      <c r="A43" s="2483" t="s">
        <v>1667</v>
      </c>
      <c r="B43" s="2484"/>
      <c r="C43" s="2485"/>
      <c r="D43" s="2485"/>
      <c r="E43" s="2469"/>
      <c r="F43" s="1180"/>
      <c r="G43" s="1180"/>
      <c r="H43" s="1180"/>
      <c r="I43" s="1180"/>
      <c r="J43" s="2566"/>
    </row>
    <row r="44" spans="1:16" ht="14.4" thickBot="1">
      <c r="A44" s="2486"/>
      <c r="B44" s="2487"/>
      <c r="C44" s="2488"/>
      <c r="D44" s="2488"/>
      <c r="E44" s="2474"/>
      <c r="F44" s="1180"/>
      <c r="G44" s="1180"/>
      <c r="H44" s="1180"/>
      <c r="I44" s="1180"/>
      <c r="J44" s="2566"/>
    </row>
    <row r="45" spans="1:16" ht="13.2">
      <c r="A45" s="1330"/>
      <c r="B45" s="1330"/>
      <c r="C45" s="1330"/>
      <c r="D45" s="1330"/>
      <c r="E45" s="1330"/>
      <c r="F45" s="1289"/>
      <c r="G45" s="1289"/>
      <c r="H45" s="1289"/>
      <c r="I45" s="1289"/>
      <c r="J45" s="2567"/>
    </row>
    <row r="46" spans="1:16" ht="17.399999999999999">
      <c r="A46" s="1320" t="s">
        <v>1668</v>
      </c>
      <c r="B46" s="1321"/>
      <c r="C46" s="1321"/>
      <c r="D46" s="2499"/>
      <c r="E46" s="2499"/>
      <c r="F46" s="2499"/>
      <c r="G46" s="2499"/>
      <c r="H46" s="2499"/>
      <c r="I46" s="2556" t="s">
        <v>2575</v>
      </c>
      <c r="J46" s="2590"/>
      <c r="K46" s="1324" t="s">
        <v>1523</v>
      </c>
      <c r="L46" s="1325"/>
      <c r="M46" s="1325"/>
      <c r="N46" s="1325"/>
      <c r="O46" s="1325"/>
      <c r="P46" s="1325"/>
    </row>
    <row r="47" spans="1:16" ht="14.25" customHeight="1" thickBot="1">
      <c r="A47" s="3199" t="s">
        <v>1669</v>
      </c>
      <c r="B47" s="3200"/>
      <c r="C47" s="3159"/>
      <c r="D47" s="242">
        <f>ROUND(I104*F47,0)</f>
        <v>0</v>
      </c>
      <c r="E47" s="1386" t="s">
        <v>1670</v>
      </c>
      <c r="F47" s="2301">
        <v>1</v>
      </c>
      <c r="G47" s="2302" t="s">
        <v>1671</v>
      </c>
      <c r="H47" s="862"/>
      <c r="I47" s="862"/>
      <c r="J47" s="2562"/>
      <c r="K47" s="3285" t="s">
        <v>1527</v>
      </c>
      <c r="L47" s="3285"/>
      <c r="M47" s="3285"/>
      <c r="N47" s="3285"/>
      <c r="O47" s="3285"/>
      <c r="P47" s="3285"/>
    </row>
    <row r="48" spans="1:16" ht="14.25" customHeight="1">
      <c r="A48" s="3188" t="s">
        <v>1528</v>
      </c>
      <c r="B48" s="3189"/>
      <c r="C48" s="3189"/>
      <c r="D48" s="3189"/>
      <c r="E48" s="3189"/>
      <c r="F48" s="3189"/>
      <c r="G48" s="3190"/>
      <c r="H48" s="2678"/>
      <c r="I48" s="862"/>
      <c r="J48" s="2562"/>
      <c r="K48" s="2253">
        <v>1</v>
      </c>
      <c r="L48" s="3280" t="s">
        <v>1529</v>
      </c>
      <c r="M48" s="3280"/>
      <c r="N48" s="3286"/>
      <c r="O48" s="3286"/>
      <c r="P48" s="3286"/>
    </row>
    <row r="49" spans="1:17" ht="12" customHeight="1">
      <c r="A49" s="34" t="s">
        <v>1530</v>
      </c>
      <c r="B49" s="35"/>
      <c r="C49" s="36"/>
      <c r="D49" s="979" t="s">
        <v>1531</v>
      </c>
      <c r="E49" s="231" t="s">
        <v>1532</v>
      </c>
      <c r="F49" s="37" t="s">
        <v>1533</v>
      </c>
      <c r="G49" s="2303" t="s">
        <v>1534</v>
      </c>
      <c r="H49" s="2678"/>
      <c r="I49" s="862"/>
      <c r="J49" s="2562"/>
      <c r="K49" s="2253">
        <v>2</v>
      </c>
      <c r="L49" s="3280" t="s">
        <v>1535</v>
      </c>
      <c r="M49" s="3280"/>
      <c r="N49" s="3287">
        <f>'数据-取费表'!B2</f>
        <v>44901</v>
      </c>
      <c r="O49" s="3287"/>
      <c r="P49" s="3287"/>
    </row>
    <row r="50" spans="1:17" ht="26.4">
      <c r="A50" s="3198" t="s">
        <v>1536</v>
      </c>
      <c r="B50" s="3152"/>
      <c r="C50" s="3152"/>
      <c r="D50" s="11">
        <f>IF(H50="情况1",0,IF(H50="情况2",D54,IF(H50="情况3",D55,IF(H50="情况4",D56))))</f>
        <v>0</v>
      </c>
      <c r="E50" s="1199" t="str">
        <f>IF(H50="情况4","(销售额-原购置价)×税（费）率","销售额×税（费）率")</f>
        <v>销售额×税（费）率</v>
      </c>
      <c r="F50" s="2304">
        <f>IF(H50="情况1","免征",'数据-取费表'!E29)</f>
        <v>5.6000000000000001E-2</v>
      </c>
      <c r="G50" s="2305" t="s">
        <v>1537</v>
      </c>
      <c r="H50" s="2306" t="s">
        <v>1538</v>
      </c>
      <c r="I50" s="2678"/>
      <c r="J50" s="2569"/>
      <c r="K50" s="2253">
        <v>3</v>
      </c>
      <c r="L50" s="3280" t="s">
        <v>1539</v>
      </c>
      <c r="M50" s="3280"/>
      <c r="N50" s="3281">
        <f>I104</f>
        <v>0</v>
      </c>
      <c r="O50" s="3281"/>
      <c r="P50" s="3281"/>
    </row>
    <row r="51" spans="1:17" ht="25.5" customHeight="1">
      <c r="A51" s="1883" t="s">
        <v>1540</v>
      </c>
      <c r="B51" s="3191" t="s">
        <v>1541</v>
      </c>
      <c r="C51" s="3191"/>
      <c r="D51" s="2307">
        <v>0</v>
      </c>
      <c r="E51" s="257" t="s">
        <v>1542</v>
      </c>
      <c r="F51" s="2308" t="s">
        <v>48</v>
      </c>
      <c r="G51" s="3248"/>
      <c r="H51" s="2309" t="s">
        <v>2500</v>
      </c>
      <c r="I51" s="2310"/>
      <c r="J51" s="2570"/>
      <c r="K51" s="2253">
        <v>4</v>
      </c>
      <c r="L51" s="3280" t="str">
        <f>IF(项目基本情况!F5="房地产抵押价值","房地产抵押价值","抵押担保权已注销时的房地产抵押价值")</f>
        <v>房地产抵押价值</v>
      </c>
      <c r="M51" s="3280"/>
      <c r="N51" s="3281">
        <f>IF(项目基本情况!F5="房地产抵押价值",I112,I114)</f>
        <v>0</v>
      </c>
      <c r="O51" s="3281"/>
      <c r="P51" s="3281"/>
    </row>
    <row r="52" spans="1:17" ht="25.5" customHeight="1">
      <c r="A52" s="1875"/>
      <c r="B52" s="3191" t="s">
        <v>1543</v>
      </c>
      <c r="C52" s="3191"/>
      <c r="D52" s="2311"/>
      <c r="E52" s="265"/>
      <c r="F52" s="2308"/>
      <c r="G52" s="3249"/>
      <c r="H52" s="2312" t="s">
        <v>2501</v>
      </c>
      <c r="I52" s="2310"/>
      <c r="J52" s="2570"/>
      <c r="K52" s="3280" t="s">
        <v>1544</v>
      </c>
      <c r="L52" s="3280"/>
      <c r="M52" s="3280"/>
      <c r="N52" s="3280"/>
      <c r="O52" s="3280"/>
      <c r="P52" s="3280"/>
    </row>
    <row r="53" spans="1:17" ht="20.399999999999999" customHeight="1">
      <c r="A53" s="2313"/>
      <c r="B53" s="3191" t="s">
        <v>1545</v>
      </c>
      <c r="C53" s="3191"/>
      <c r="D53" s="979"/>
      <c r="E53" s="260"/>
      <c r="F53" s="2308"/>
      <c r="G53" s="3250"/>
      <c r="H53" s="2312" t="s">
        <v>2502</v>
      </c>
      <c r="I53" s="2310"/>
      <c r="J53" s="2570"/>
      <c r="K53" s="2254" t="s">
        <v>1546</v>
      </c>
      <c r="L53" s="3280" t="s">
        <v>1547</v>
      </c>
      <c r="M53" s="3280"/>
      <c r="N53" s="2254" t="s">
        <v>1548</v>
      </c>
      <c r="O53" s="2254" t="s">
        <v>1549</v>
      </c>
      <c r="P53" s="2254" t="s">
        <v>1550</v>
      </c>
    </row>
    <row r="54" spans="1:17" ht="24" customHeight="1">
      <c r="A54" s="1876" t="s">
        <v>1551</v>
      </c>
      <c r="B54" s="3191" t="s">
        <v>1552</v>
      </c>
      <c r="C54" s="3191"/>
      <c r="D54" s="979">
        <f>ROUND(D47*'数据-取费表'!E29/(1+'数据-取费表'!F30),0)</f>
        <v>0</v>
      </c>
      <c r="E54" s="1199" t="s">
        <v>1553</v>
      </c>
      <c r="F54" s="2314">
        <f>'数据-取费表'!E29</f>
        <v>5.6000000000000001E-2</v>
      </c>
      <c r="G54" s="2315"/>
      <c r="H54" s="862"/>
      <c r="I54" s="2679"/>
      <c r="J54" s="2570"/>
      <c r="K54" s="2253">
        <v>1</v>
      </c>
      <c r="L54" s="3276" t="s">
        <v>1554</v>
      </c>
      <c r="M54" s="3276"/>
      <c r="N54" s="2255">
        <f>D50</f>
        <v>0</v>
      </c>
      <c r="O54" s="2253" t="str">
        <f>E50</f>
        <v>销售额×税（费）率</v>
      </c>
      <c r="P54" s="2256">
        <f>F50</f>
        <v>5.6000000000000001E-2</v>
      </c>
    </row>
    <row r="55" spans="1:17" ht="12" customHeight="1">
      <c r="A55" s="1876" t="s">
        <v>1555</v>
      </c>
      <c r="B55" s="3153" t="s">
        <v>2593</v>
      </c>
      <c r="C55" s="3192"/>
      <c r="D55" s="979">
        <f>ROUND(D47*'数据-取费表'!E29/(1+'数据-取费表'!F30),0)</f>
        <v>0</v>
      </c>
      <c r="E55" s="1199" t="s">
        <v>1553</v>
      </c>
      <c r="F55" s="2314">
        <f>'数据-取费表'!E29</f>
        <v>5.6000000000000001E-2</v>
      </c>
      <c r="G55" s="2315"/>
      <c r="H55" s="862"/>
      <c r="I55" s="2679"/>
      <c r="J55" s="2570"/>
      <c r="K55" s="2253">
        <v>2</v>
      </c>
      <c r="L55" s="3276" t="s">
        <v>1556</v>
      </c>
      <c r="M55" s="3276"/>
      <c r="N55" s="2255">
        <f t="shared" ref="N55:P56" si="1">D57</f>
        <v>0</v>
      </c>
      <c r="O55" s="2253" t="str">
        <f t="shared" si="1"/>
        <v>销售额×税（费）率</v>
      </c>
      <c r="P55" s="2256">
        <f t="shared" si="1"/>
        <v>5.0000000000000001E-4</v>
      </c>
    </row>
    <row r="56" spans="1:17" ht="12" customHeight="1">
      <c r="A56" s="1876" t="s">
        <v>1557</v>
      </c>
      <c r="B56" s="3153" t="s">
        <v>2594</v>
      </c>
      <c r="C56" s="3192"/>
      <c r="D56" s="979">
        <f>C70</f>
        <v>0</v>
      </c>
      <c r="E56" s="260" t="s">
        <v>1558</v>
      </c>
      <c r="F56" s="2314">
        <f>'数据-取费表'!E29</f>
        <v>5.6000000000000001E-2</v>
      </c>
      <c r="G56" s="2315"/>
      <c r="H56" s="2680"/>
      <c r="I56" s="2679"/>
      <c r="J56" s="2570"/>
      <c r="K56" s="2253">
        <v>3</v>
      </c>
      <c r="L56" s="3276" t="s">
        <v>1559</v>
      </c>
      <c r="M56" s="3276"/>
      <c r="N56" s="2255">
        <f t="shared" si="1"/>
        <v>0</v>
      </c>
      <c r="O56" s="2253" t="str">
        <f t="shared" si="1"/>
        <v>增值额×税（费）率</v>
      </c>
      <c r="P56" s="2257" t="str">
        <f t="shared" si="1"/>
        <v>——</v>
      </c>
    </row>
    <row r="57" spans="1:17" ht="24" customHeight="1">
      <c r="A57" s="3151" t="s">
        <v>1560</v>
      </c>
      <c r="B57" s="3152"/>
      <c r="C57" s="3152"/>
      <c r="D57" s="11">
        <f>IF(H57="个人住宅",0,ROUND(D47*I57,0))</f>
        <v>0</v>
      </c>
      <c r="E57" s="1199" t="s">
        <v>1561</v>
      </c>
      <c r="F57" s="2314">
        <f>IF(H57="正常",I57,"免征")</f>
        <v>5.0000000000000001E-4</v>
      </c>
      <c r="G57" s="2315"/>
      <c r="H57" s="2306" t="s">
        <v>1562</v>
      </c>
      <c r="I57" s="70">
        <f>'数据-取费表'!E37</f>
        <v>5.0000000000000001E-4</v>
      </c>
      <c r="J57" s="2570"/>
      <c r="K57" s="2253">
        <f>IF(H61="非个人房产","",4)</f>
        <v>4</v>
      </c>
      <c r="L57" s="3276" t="str">
        <f>IF(H61="非个人房产","——","个人所得税")</f>
        <v>个人所得税</v>
      </c>
      <c r="M57" s="3276"/>
      <c r="N57" s="2258">
        <f>D61</f>
        <v>0</v>
      </c>
      <c r="O57" s="2259" t="str">
        <f>E61</f>
        <v>销售额×税（费）率</v>
      </c>
      <c r="P57" s="2260">
        <f>F61</f>
        <v>0.01</v>
      </c>
    </row>
    <row r="58" spans="1:17" ht="25.2">
      <c r="A58" s="3151" t="s">
        <v>1563</v>
      </c>
      <c r="B58" s="3152"/>
      <c r="C58" s="3152"/>
      <c r="D58" s="11">
        <f>IF(H58="个人住宅",D59,D60)</f>
        <v>0</v>
      </c>
      <c r="E58" s="1199" t="s">
        <v>1564</v>
      </c>
      <c r="F58" s="2314" t="str">
        <f>IF(H58="正常",F60,"免征")</f>
        <v>——</v>
      </c>
      <c r="G58" s="2316" t="s">
        <v>1565</v>
      </c>
      <c r="H58" s="2317" t="s">
        <v>1562</v>
      </c>
      <c r="I58" s="2681"/>
      <c r="J58" s="2570"/>
      <c r="K58" s="2253" t="str">
        <f>IF(项目基本情况!I6="上海银行",IF(K57="",4,K57+1),"")</f>
        <v/>
      </c>
      <c r="L58" s="3278" t="str">
        <f>IF(项目基本情况!I6="上海银行","其他处置费用","")</f>
        <v/>
      </c>
      <c r="M58" s="3279"/>
      <c r="N58" s="2255" t="str">
        <f>IF(项目基本情况!I6="上海银行",N71,"")</f>
        <v/>
      </c>
      <c r="O58" s="3278" t="str">
        <f>IF(项目基本情况!I6="上海银行","包含处置中涉及的律师、诉讼、拍卖、评估等费用","")</f>
        <v/>
      </c>
      <c r="P58" s="3282"/>
    </row>
    <row r="59" spans="1:17" ht="13.2">
      <c r="A59" s="1876" t="s">
        <v>1540</v>
      </c>
      <c r="B59" s="3153" t="s">
        <v>1566</v>
      </c>
      <c r="C59" s="3192"/>
      <c r="D59" s="2307">
        <v>0</v>
      </c>
      <c r="E59" s="257" t="s">
        <v>1542</v>
      </c>
      <c r="F59" s="231"/>
      <c r="G59" s="2315"/>
      <c r="H59" s="2681"/>
      <c r="I59" s="2681"/>
      <c r="J59" s="2570"/>
      <c r="K59" s="3276">
        <f>IF(AND(K57="",K58=""),4,IF(项目基本情况!I6="上海银行",K58+1,K57+1))</f>
        <v>5</v>
      </c>
      <c r="L59" s="3276" t="s">
        <v>1567</v>
      </c>
      <c r="M59" s="2261" t="s">
        <v>1568</v>
      </c>
      <c r="N59" s="2262"/>
      <c r="O59" s="2263">
        <f>SUMIF(N54:N58,"&lt;9e307")</f>
        <v>0</v>
      </c>
      <c r="P59" s="2264"/>
      <c r="Q59" s="1175" t="e">
        <f>O59/N51</f>
        <v>#DIV/0!</v>
      </c>
    </row>
    <row r="60" spans="1:17" ht="25.2">
      <c r="A60" s="1876" t="s">
        <v>1551</v>
      </c>
      <c r="B60" s="3153" t="s">
        <v>1569</v>
      </c>
      <c r="C60" s="3191"/>
      <c r="D60" s="11">
        <f>IF(H60="转让取得",C83,C99)</f>
        <v>0</v>
      </c>
      <c r="E60" s="1199" t="s">
        <v>1564</v>
      </c>
      <c r="F60" s="231" t="s">
        <v>48</v>
      </c>
      <c r="G60" s="2315"/>
      <c r="H60" s="2317" t="s">
        <v>1570</v>
      </c>
      <c r="I60" s="2681"/>
      <c r="J60" s="2570"/>
      <c r="K60" s="3276"/>
      <c r="L60" s="3276"/>
      <c r="M60" s="2261" t="s">
        <v>1571</v>
      </c>
      <c r="N60" s="2265"/>
      <c r="O60" s="2266" t="str">
        <f>IF(H19="元",NUMBERSTRING(INT(O59),2)&amp;"元整",NUMBERSTRING(INT(O59*10000),2)&amp;"元整")</f>
        <v>零元整</v>
      </c>
      <c r="P60" s="2267"/>
    </row>
    <row r="61" spans="1:17" ht="27" thickBot="1">
      <c r="A61" s="3175" t="s">
        <v>1572</v>
      </c>
      <c r="B61" s="3176"/>
      <c r="C61" s="3176"/>
      <c r="D61" s="65">
        <f>IF(H61="非个人房产","——",IF(H61="个人住宅（满五唯一有凭证）",0,IF(H61="个人其他（无凭证）",ROUND(D47*F61,0),ROUND(C69*F61,0))))</f>
        <v>0</v>
      </c>
      <c r="E61" s="1877" t="str">
        <f>IF(H61="非个人房产","——",IF(H61="个人其他（无凭证）","销售额×税（费）率",IF(H61="个人住宅（满五唯一有凭证）","免征","差额计税")))</f>
        <v>销售额×税（费）率</v>
      </c>
      <c r="F61" s="2500">
        <f>IF(OR(H61="非个人房产",H61="个人住宅（满五唯一有凭证）"),"——",IF(H61="个人其他（有凭证）",20%,1%))</f>
        <v>0.01</v>
      </c>
      <c r="G61" s="2540" t="s">
        <v>2573</v>
      </c>
      <c r="H61" s="1887" t="s">
        <v>2499</v>
      </c>
      <c r="I61" s="2596" t="s">
        <v>2585</v>
      </c>
      <c r="J61" s="2570"/>
      <c r="K61" s="3274">
        <f>K59+1</f>
        <v>6</v>
      </c>
      <c r="L61" s="3276" t="s">
        <v>1573</v>
      </c>
      <c r="M61" s="2253" t="s">
        <v>1568</v>
      </c>
      <c r="N61" s="2268"/>
      <c r="O61" s="2269">
        <f>N51-O59</f>
        <v>0</v>
      </c>
      <c r="P61" s="2270"/>
    </row>
    <row r="62" spans="1:17" ht="12" customHeight="1">
      <c r="A62" s="1309"/>
      <c r="B62" s="1330"/>
      <c r="C62" s="1330"/>
      <c r="D62" s="1330"/>
      <c r="E62" s="1309"/>
      <c r="F62" s="2681"/>
      <c r="G62" s="2681"/>
      <c r="H62" s="862"/>
      <c r="I62" s="862"/>
      <c r="J62" s="2570"/>
      <c r="K62" s="3275"/>
      <c r="L62" s="3276"/>
      <c r="M62" s="2261" t="s">
        <v>1571</v>
      </c>
      <c r="N62" s="2265"/>
      <c r="O62" s="2266" t="str">
        <f>IF(H19="元",NUMBERSTRING(INT(O61),2)&amp;"元整",NUMBERSTRING(INT(O61*10000),2)&amp;"元整")</f>
        <v>零元整</v>
      </c>
      <c r="P62" s="2267"/>
    </row>
    <row r="63" spans="1:17" ht="13.8" thickBot="1">
      <c r="A63" s="3277" t="s">
        <v>1574</v>
      </c>
      <c r="B63" s="3277"/>
      <c r="C63" s="3277"/>
      <c r="D63" s="3277"/>
      <c r="E63" s="3277"/>
      <c r="F63" s="2681"/>
      <c r="G63" s="2681"/>
      <c r="H63" s="862"/>
      <c r="I63" s="862"/>
      <c r="J63" s="2562"/>
      <c r="K63" s="2253">
        <f>K61+1</f>
        <v>7</v>
      </c>
      <c r="L63" s="3276" t="s">
        <v>1575</v>
      </c>
      <c r="M63" s="3276"/>
      <c r="N63" s="2271"/>
      <c r="O63" s="2272">
        <f>IF(H19="元",ROUND(O61/项目基本情况!C12,0),ROUND(O61*10000/项目基本情况!C12,0))</f>
        <v>0</v>
      </c>
      <c r="P63" s="2273"/>
    </row>
    <row r="64" spans="1:17" ht="13.2">
      <c r="A64" s="3210" t="s">
        <v>1576</v>
      </c>
      <c r="B64" s="3211"/>
      <c r="C64" s="1445"/>
      <c r="D64" s="1445" t="s">
        <v>1577</v>
      </c>
      <c r="E64" s="41" t="s">
        <v>1578</v>
      </c>
      <c r="F64" s="2681"/>
      <c r="G64" s="2681"/>
      <c r="H64" s="862"/>
      <c r="I64" s="862"/>
      <c r="J64" s="2562"/>
      <c r="K64" s="1177"/>
      <c r="L64" s="1177"/>
      <c r="M64" s="1177"/>
      <c r="N64" s="1177"/>
      <c r="O64" s="1177"/>
    </row>
    <row r="65" spans="1:36" ht="13.2">
      <c r="A65" s="42">
        <v>1</v>
      </c>
      <c r="B65" s="43" t="s">
        <v>1579</v>
      </c>
      <c r="C65" s="2501">
        <f>ROUND((C66+C67)/(1+'数据-取费表'!F30),0)</f>
        <v>0</v>
      </c>
      <c r="D65" s="43"/>
      <c r="E65" s="44"/>
      <c r="F65" s="2681"/>
      <c r="G65" s="2681"/>
      <c r="H65" s="862"/>
      <c r="I65" s="862"/>
      <c r="J65" s="2562"/>
      <c r="K65" s="3284" t="s">
        <v>1580</v>
      </c>
      <c r="L65" s="1176" t="s">
        <v>1581</v>
      </c>
      <c r="M65" s="1176">
        <f>IF(N51&gt;10000,N51*0.5%,IF(AND(N51&gt;1000,N51&lt;=10000),N51*1%,IF(AND(N51&gt;100,N51&lt;=1000),N51*3%,IF(AND(N51&gt;10,N51&lt;=100),N51*5%,N51*8%))))</f>
        <v>0</v>
      </c>
      <c r="N65" s="231">
        <f>ROUND(M65,1)</f>
        <v>0</v>
      </c>
      <c r="O65" s="2274"/>
    </row>
    <row r="66" spans="1:36" ht="13.2">
      <c r="A66" s="45" t="s">
        <v>71</v>
      </c>
      <c r="B66" s="46" t="s">
        <v>1582</v>
      </c>
      <c r="C66" s="2502">
        <f>D47</f>
        <v>0</v>
      </c>
      <c r="D66" s="46" t="s">
        <v>41</v>
      </c>
      <c r="E66" s="48"/>
      <c r="F66" s="2681"/>
      <c r="G66" s="2681"/>
      <c r="H66" s="862"/>
      <c r="I66" s="862"/>
      <c r="J66" s="2562"/>
      <c r="K66" s="3284"/>
      <c r="L66" s="1176" t="s">
        <v>1583</v>
      </c>
      <c r="M66" s="1176" t="b">
        <f>IF(N51&gt;2000,N51*0.5%,IF(AND(N51&gt;1000,N51&lt;=2000),N51*0.6%,IF(AND(N51&gt;500,N51&lt;=1000),N51*0.7%,IF(AND(N51&gt;200,N51&lt;=500),N51*0.8%,IF(AND(N51&gt;100,N51&lt;=200),N51*0.9%,IF(AND(N51&gt;50,N51&lt;=100),N51*1%,IF(AND(N51&gt;20,N51&lt;=50),N51*1.5%,IF(AND(N51&gt;10,N51&lt;=20),N51*2%,IF(AND(N51&gt;1,N51&lt;=10),N51*2.5%)))))))))</f>
        <v>0</v>
      </c>
      <c r="N66" s="231">
        <f t="shared" ref="N66:N67" si="2">ROUND(M66,1)</f>
        <v>0</v>
      </c>
      <c r="O66" s="2274" t="s">
        <v>1584</v>
      </c>
    </row>
    <row r="67" spans="1:36" ht="13.2">
      <c r="A67" s="45" t="s">
        <v>72</v>
      </c>
      <c r="B67" s="46" t="s">
        <v>1585</v>
      </c>
      <c r="C67" s="2503"/>
      <c r="D67" s="46"/>
      <c r="E67" s="48"/>
      <c r="F67" s="2681"/>
      <c r="G67" s="2681"/>
      <c r="H67" s="862"/>
      <c r="I67" s="862"/>
      <c r="J67" s="2562"/>
      <c r="K67" s="3284"/>
      <c r="L67" s="1176" t="s">
        <v>1586</v>
      </c>
      <c r="M67" s="1176" t="b">
        <f>IF(N51&gt;1000,N51*0.1%,IF(AND(N51&gt;500,N51&lt;=1000),N51*0.5%,IF(AND(N51&gt;50,N51&lt;=500),N51*1%,IF(AND(N51&gt;1,N51&lt;=50),N51*1.5%))))</f>
        <v>0</v>
      </c>
      <c r="N67" s="231">
        <f t="shared" si="2"/>
        <v>0</v>
      </c>
      <c r="O67" s="2274" t="s">
        <v>1584</v>
      </c>
    </row>
    <row r="68" spans="1:36" ht="13.2">
      <c r="A68" s="49" t="s">
        <v>47</v>
      </c>
      <c r="B68" s="50" t="s">
        <v>1587</v>
      </c>
      <c r="C68" s="2504"/>
      <c r="D68" s="50" t="s">
        <v>41</v>
      </c>
      <c r="E68" s="1185" t="s">
        <v>1588</v>
      </c>
      <c r="F68" s="2681"/>
      <c r="G68" s="2681"/>
      <c r="H68" s="862"/>
      <c r="I68" s="862"/>
      <c r="J68" s="2562"/>
      <c r="K68" s="3284"/>
      <c r="L68" s="1176" t="s">
        <v>1589</v>
      </c>
      <c r="M68" s="1176">
        <f>N51*0.5%</f>
        <v>0</v>
      </c>
      <c r="N68" s="231">
        <f>IF(M68&gt;0.5,0.5,ROUND(M68,0))</f>
        <v>0</v>
      </c>
      <c r="O68" s="2274" t="s">
        <v>1590</v>
      </c>
    </row>
    <row r="69" spans="1:36" ht="13.2">
      <c r="A69" s="49" t="s">
        <v>42</v>
      </c>
      <c r="B69" s="50" t="s">
        <v>1591</v>
      </c>
      <c r="C69" s="2505">
        <f>C65-C68</f>
        <v>0</v>
      </c>
      <c r="D69" s="46" t="s">
        <v>41</v>
      </c>
      <c r="E69" s="48"/>
      <c r="F69" s="2681"/>
      <c r="G69" s="2681"/>
      <c r="H69" s="862"/>
      <c r="I69" s="862"/>
      <c r="J69" s="2562"/>
      <c r="K69" s="3284"/>
      <c r="L69" s="1176" t="s">
        <v>1592</v>
      </c>
      <c r="M69" s="1176" t="b">
        <f>IF(N51&gt;=10000,(8.25+(N51-10000)*0.01%),IF(AND(N51&gt;=8000,N51&lt;10000),(7.85+(N51-8000)*0.02%),IF(AND(N51&gt;=5000,N51&lt;8000),(6.65+(N51-5000)*0.04%),IF(AND(N51&gt;=2000,N51&lt;5000),(4.25+(PN51-2000)*0.08%),IF(AND(N51&gt;=1000,N51&lt;2000),(2.75+(N51-1000)*0.15%),IF(AND(N51&gt;=100,N51&lt;1000),(0.5+(N51-100)*0.25%),IF(AND(N51&gt;0,N51&lt;100),N51*0.5%)))))))</f>
        <v>0</v>
      </c>
      <c r="N69" s="231">
        <f>ROUND(M69*0.9,1)</f>
        <v>0</v>
      </c>
      <c r="O69" s="2274"/>
    </row>
    <row r="70" spans="1:36" ht="13.8" thickBot="1">
      <c r="A70" s="51" t="s">
        <v>46</v>
      </c>
      <c r="B70" s="52" t="s">
        <v>1593</v>
      </c>
      <c r="C70" s="2506">
        <f>IF(C69&lt;=0,0,ROUND(C69*D70,0))</f>
        <v>0</v>
      </c>
      <c r="D70" s="2023">
        <f>'数据-取费表'!E29</f>
        <v>5.6000000000000001E-2</v>
      </c>
      <c r="E70" s="53"/>
      <c r="F70" s="2681"/>
      <c r="G70" s="2681"/>
      <c r="H70" s="862"/>
      <c r="I70" s="862"/>
      <c r="J70" s="2562"/>
      <c r="K70" s="3284"/>
      <c r="L70" s="1176" t="s">
        <v>1594</v>
      </c>
      <c r="M70" s="1176">
        <f>IF(N51&gt;10000,N51*0.5%,IF(AND(N51&gt;5000,N51&lt;=10000),N51*1%,IF(AND(N51&gt;1000,N51&lt;=5000),N51*2%,IF(AND(N51&gt;200,N51&lt;=1000),N51*3%,N51*5%))))</f>
        <v>0</v>
      </c>
      <c r="N70" s="231">
        <f>ROUND(M70,1)</f>
        <v>0</v>
      </c>
      <c r="O70" s="2274"/>
    </row>
    <row r="71" spans="1:36" ht="7.5" customHeight="1">
      <c r="A71" s="1326"/>
      <c r="B71" s="1327"/>
      <c r="C71" s="2507"/>
      <c r="D71" s="2063"/>
      <c r="E71" s="1330"/>
      <c r="F71" s="1309"/>
      <c r="G71" s="1309"/>
      <c r="H71" s="1330"/>
      <c r="I71" s="1330"/>
      <c r="J71" s="2562"/>
      <c r="K71" s="3284"/>
      <c r="L71" s="1176" t="s">
        <v>1595</v>
      </c>
      <c r="M71" s="1176"/>
      <c r="N71" s="231">
        <f>ROUND(SUM(N65:N70),0)</f>
        <v>0</v>
      </c>
      <c r="O71" s="2275" t="e">
        <f>N71/N51</f>
        <v>#DIV/0!</v>
      </c>
    </row>
    <row r="72" spans="1:36" s="582" customFormat="1" ht="14.4" thickBot="1">
      <c r="A72" s="3271" t="s">
        <v>1596</v>
      </c>
      <c r="B72" s="3272"/>
      <c r="C72" s="3272"/>
      <c r="D72" s="3272"/>
      <c r="E72" s="3272"/>
      <c r="F72" s="3272"/>
      <c r="G72" s="3272"/>
      <c r="H72" s="3272"/>
      <c r="I72" s="1331"/>
      <c r="J72" s="2571"/>
      <c r="K72" s="888"/>
      <c r="L72" s="888"/>
      <c r="M72" s="888"/>
      <c r="N72" s="888"/>
      <c r="O72" s="888"/>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3.8">
      <c r="A73" s="3210" t="s">
        <v>1576</v>
      </c>
      <c r="B73" s="3211"/>
      <c r="C73" s="1445"/>
      <c r="D73" s="1445" t="s">
        <v>1577</v>
      </c>
      <c r="E73" s="54" t="s">
        <v>1578</v>
      </c>
      <c r="F73" s="55"/>
      <c r="G73" s="55"/>
      <c r="H73" s="56"/>
      <c r="I73" s="2508"/>
      <c r="J73" s="2591"/>
      <c r="K73" s="888"/>
      <c r="L73" s="888"/>
      <c r="M73" s="888"/>
      <c r="N73" s="888"/>
      <c r="O73" s="888"/>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13.8">
      <c r="A74" s="57">
        <v>1</v>
      </c>
      <c r="B74" s="50" t="s">
        <v>1597</v>
      </c>
      <c r="C74" s="2505">
        <f>ROUND(D47/(1+'数据-取费表'!F30),0)</f>
        <v>0</v>
      </c>
      <c r="D74" s="46" t="s">
        <v>41</v>
      </c>
      <c r="E74" s="1196"/>
      <c r="F74" s="1197"/>
      <c r="G74" s="1197"/>
      <c r="H74" s="58"/>
      <c r="I74" s="2508"/>
      <c r="J74" s="2591"/>
      <c r="K74" s="888"/>
      <c r="L74" s="888"/>
      <c r="M74" s="888"/>
      <c r="N74" s="888"/>
      <c r="O74" s="888"/>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13.8">
      <c r="A75" s="59">
        <v>2</v>
      </c>
      <c r="B75" s="37" t="s">
        <v>1599</v>
      </c>
      <c r="C75" s="2505">
        <f>C76+C80</f>
        <v>0</v>
      </c>
      <c r="D75" s="46" t="s">
        <v>41</v>
      </c>
      <c r="E75" s="1196"/>
      <c r="F75" s="1197"/>
      <c r="G75" s="1197"/>
      <c r="H75" s="58"/>
      <c r="I75" s="2508"/>
      <c r="J75" s="2591"/>
      <c r="K75" s="888"/>
      <c r="L75" s="888"/>
      <c r="M75" s="888"/>
      <c r="N75" s="888"/>
      <c r="O75" s="888"/>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24">
      <c r="A76" s="45" t="s">
        <v>73</v>
      </c>
      <c r="B76" s="46" t="s">
        <v>1600</v>
      </c>
      <c r="C76" s="46">
        <f>ROUND(IF(G79="2016年5月1日后购买",C77/(1+'数据-取费表'!F30)+C78+C79,C77+C78+C79),0)</f>
        <v>0</v>
      </c>
      <c r="D76" s="46" t="s">
        <v>41</v>
      </c>
      <c r="E76" s="1196"/>
      <c r="F76" s="1197"/>
      <c r="G76" s="1197"/>
      <c r="H76" s="58"/>
      <c r="I76" s="2508"/>
      <c r="J76" s="2591"/>
      <c r="K76" s="888"/>
      <c r="L76" s="888"/>
      <c r="M76" s="888"/>
      <c r="N76" s="888"/>
      <c r="O76" s="888"/>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28.8">
      <c r="A77" s="45" t="s">
        <v>74</v>
      </c>
      <c r="B77" s="46" t="s">
        <v>1601</v>
      </c>
      <c r="C77" s="2025"/>
      <c r="D77" s="46" t="s">
        <v>41</v>
      </c>
      <c r="E77" s="60" t="s">
        <v>1602</v>
      </c>
      <c r="F77" s="2509" t="s">
        <v>1603</v>
      </c>
      <c r="G77" s="60" t="s">
        <v>1604</v>
      </c>
      <c r="H77" s="2510"/>
      <c r="I77" s="584"/>
      <c r="J77" s="2592"/>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75</v>
      </c>
      <c r="B78" s="61" t="s">
        <v>1605</v>
      </c>
      <c r="C78" s="46">
        <f>IF(F77="购房发票",ROUND(C77*H77*D78,0),0)</f>
        <v>0</v>
      </c>
      <c r="D78" s="2511">
        <v>0.05</v>
      </c>
      <c r="E78" s="3153" t="s">
        <v>1606</v>
      </c>
      <c r="F78" s="3191"/>
      <c r="G78" s="3191"/>
      <c r="H78" s="3205"/>
      <c r="I78" s="2508"/>
      <c r="J78" s="2591"/>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24.75" customHeight="1">
      <c r="A79" s="45" t="s">
        <v>76</v>
      </c>
      <c r="B79" s="46" t="s">
        <v>1607</v>
      </c>
      <c r="C79" s="46">
        <f>ROUND(IF(G79="个人住宅",0,IF(G79="2016年5月1日前购买",C77*D79,C77*D79/(1+'数据-取费表'!F30))),0)</f>
        <v>0</v>
      </c>
      <c r="D79" s="2512">
        <f>'数据-取费表'!E36+'数据-取费表'!E37</f>
        <v>3.0499999999999999E-2</v>
      </c>
      <c r="E79" s="11" t="s">
        <v>1608</v>
      </c>
      <c r="F79" s="1886"/>
      <c r="G79" s="1333" t="s">
        <v>1609</v>
      </c>
      <c r="H79" s="1882" t="str">
        <f>IF(G79="个人买卖住房","免征印花税"," ")</f>
        <v xml:space="preserve"> </v>
      </c>
      <c r="I79" s="2508"/>
      <c r="J79" s="2591"/>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75" customHeight="1">
      <c r="A80" s="45" t="s">
        <v>77</v>
      </c>
      <c r="B80" s="46" t="s">
        <v>1610</v>
      </c>
      <c r="C80" s="2513">
        <f>ROUND(D47*D80/(1+'数据-取费表'!F30),0)</f>
        <v>0</v>
      </c>
      <c r="D80" s="2514">
        <f>'数据-取费表'!E31</f>
        <v>6.000000000000001E-3</v>
      </c>
      <c r="E80" s="3185" t="s">
        <v>1611</v>
      </c>
      <c r="F80" s="3186"/>
      <c r="G80" s="3186"/>
      <c r="H80" s="3187"/>
      <c r="I80" s="585"/>
      <c r="J80" s="2593"/>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13.8">
      <c r="A81" s="49" t="s">
        <v>42</v>
      </c>
      <c r="B81" s="50" t="s">
        <v>1612</v>
      </c>
      <c r="C81" s="2505">
        <f>C74-C75</f>
        <v>0</v>
      </c>
      <c r="D81" s="46" t="s">
        <v>41</v>
      </c>
      <c r="E81" s="1196"/>
      <c r="F81" s="1197"/>
      <c r="G81" s="1197"/>
      <c r="H81" s="58"/>
      <c r="I81" s="2508"/>
      <c r="J81" s="2591"/>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24">
      <c r="A82" s="49" t="s">
        <v>43</v>
      </c>
      <c r="B82" s="50" t="s">
        <v>1613</v>
      </c>
      <c r="C82" s="2515">
        <f>IF(C81&lt;=0,0,C81/C75)</f>
        <v>0</v>
      </c>
      <c r="D82" s="46" t="s">
        <v>41</v>
      </c>
      <c r="E82" s="11" t="str">
        <f>IF(C82&gt;=200%,"增值额超过扣除项目金额200%",IF(C82&gt;=100%,"增值额超过扣除项目金额100%，未超过200%",IF(C82&gt;=50%,"增值额超过扣除项目金额50%，未超过100%",IF(C82&lt;50%,"增值额未超过扣除项目金额50%"))))</f>
        <v>增值额未超过扣除项目金额50%</v>
      </c>
      <c r="F82" s="1197"/>
      <c r="G82" s="1197"/>
      <c r="H82" s="58"/>
      <c r="I82" s="2508"/>
      <c r="J82" s="2591"/>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4.4" thickBot="1">
      <c r="A83" s="51" t="s">
        <v>44</v>
      </c>
      <c r="B83" s="52" t="s">
        <v>1614</v>
      </c>
      <c r="C83" s="2516">
        <f>ROUND(IF(C81&lt;=0,0,IF(C82&gt;=200%,C81*60%-C75*35%,IF(C82&gt;=100%,C81*50%-C75*15%,IF(C82&gt;=50%,C81*40%-C75*5%,IF(C82&lt;50%,C81*30%,0))))),0)</f>
        <v>0</v>
      </c>
      <c r="D83" s="1957" t="s">
        <v>41</v>
      </c>
      <c r="E83" s="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8"/>
      <c r="J83" s="2591"/>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7.5" customHeight="1">
      <c r="A84" s="584"/>
      <c r="B84" s="584"/>
      <c r="C84" s="584"/>
      <c r="D84" s="584"/>
      <c r="E84" s="584"/>
      <c r="F84" s="584"/>
      <c r="G84" s="584"/>
      <c r="H84" s="585"/>
      <c r="I84" s="585"/>
      <c r="J84" s="2593"/>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14.4" thickBot="1">
      <c r="A85" s="3271" t="s">
        <v>1615</v>
      </c>
      <c r="B85" s="3272"/>
      <c r="C85" s="3272"/>
      <c r="D85" s="3272"/>
      <c r="E85" s="3272"/>
      <c r="F85" s="3272"/>
      <c r="G85" s="3272"/>
      <c r="H85" s="3272"/>
      <c r="I85" s="584"/>
      <c r="J85" s="2592"/>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3.8">
      <c r="A86" s="3210" t="s">
        <v>1576</v>
      </c>
      <c r="B86" s="3211"/>
      <c r="C86" s="1445"/>
      <c r="D86" s="1445" t="s">
        <v>1577</v>
      </c>
      <c r="E86" s="54" t="s">
        <v>1578</v>
      </c>
      <c r="F86" s="55"/>
      <c r="G86" s="55"/>
      <c r="H86" s="68"/>
      <c r="I86" s="584"/>
      <c r="J86" s="2592"/>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3.8">
      <c r="A87" s="57">
        <v>1</v>
      </c>
      <c r="B87" s="50" t="s">
        <v>1597</v>
      </c>
      <c r="C87" s="2505">
        <f>ROUND(D47/(1+'数据-取费表'!F30),0)</f>
        <v>0</v>
      </c>
      <c r="D87" s="46" t="s">
        <v>41</v>
      </c>
      <c r="E87" s="1196"/>
      <c r="F87" s="1197"/>
      <c r="G87" s="1197"/>
      <c r="H87" s="69"/>
      <c r="I87" s="584"/>
      <c r="J87" s="2592"/>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3.8">
      <c r="A88" s="59">
        <v>2</v>
      </c>
      <c r="B88" s="37" t="s">
        <v>1599</v>
      </c>
      <c r="C88" s="2505">
        <f>IF(H90="仅含出让金",C89+C92+C93+C94+C95+C96,C89+C93+C94+C95+C96)</f>
        <v>0</v>
      </c>
      <c r="D88" s="2517"/>
      <c r="E88" s="1196"/>
      <c r="F88" s="1197"/>
      <c r="G88" s="1197"/>
      <c r="H88" s="69"/>
      <c r="I88" s="584"/>
      <c r="J88" s="2592"/>
      <c r="K88" s="888"/>
      <c r="L88" s="888"/>
      <c r="M88" s="888"/>
      <c r="N88" s="888"/>
      <c r="O88" s="888"/>
      <c r="P88" s="888"/>
      <c r="Q88" s="888"/>
      <c r="R88" s="888"/>
      <c r="S88" s="888"/>
      <c r="T88" s="888"/>
      <c r="U88" s="888"/>
      <c r="V88" s="888"/>
      <c r="W88" s="888"/>
      <c r="X88" s="888"/>
      <c r="Y88" s="888"/>
      <c r="Z88" s="888"/>
      <c r="AA88" s="888"/>
      <c r="AB88" s="1325"/>
      <c r="AC88" s="1325"/>
      <c r="AD88" s="1325"/>
      <c r="AE88" s="1325"/>
      <c r="AF88" s="1325"/>
      <c r="AG88" s="1325"/>
      <c r="AH88" s="1325"/>
      <c r="AI88" s="1325"/>
      <c r="AJ88" s="1325"/>
    </row>
    <row r="89" spans="1:36" s="582" customFormat="1" ht="13.8">
      <c r="A89" s="45" t="s">
        <v>73</v>
      </c>
      <c r="B89" s="46" t="s">
        <v>1616</v>
      </c>
      <c r="C89" s="2513">
        <f>C90+C91</f>
        <v>0</v>
      </c>
      <c r="D89" s="2514"/>
      <c r="E89" s="1879"/>
      <c r="F89" s="1880"/>
      <c r="G89" s="1880"/>
      <c r="H89" s="1881"/>
      <c r="I89" s="584"/>
      <c r="J89" s="2592"/>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14.4">
      <c r="A90" s="45" t="s">
        <v>74</v>
      </c>
      <c r="B90" s="46" t="s">
        <v>1617</v>
      </c>
      <c r="C90" s="2518"/>
      <c r="D90" s="2514"/>
      <c r="E90" s="70" t="s">
        <v>1618</v>
      </c>
      <c r="F90" s="1880"/>
      <c r="G90" s="71" t="s">
        <v>1619</v>
      </c>
      <c r="H90" s="1335"/>
      <c r="I90" s="584"/>
      <c r="J90" s="2592"/>
      <c r="K90" s="2675" t="s">
        <v>2577</v>
      </c>
      <c r="L90" s="1325"/>
      <c r="M90" s="1325"/>
      <c r="N90" s="1325"/>
      <c r="O90" s="1325"/>
      <c r="P90" s="1325"/>
      <c r="Q90" s="1325"/>
      <c r="R90" s="1325"/>
      <c r="S90" s="1325"/>
      <c r="T90" s="888"/>
      <c r="U90" s="888"/>
      <c r="V90" s="888"/>
      <c r="W90" s="888"/>
      <c r="X90" s="888"/>
      <c r="Y90" s="888"/>
      <c r="Z90" s="888"/>
      <c r="AA90" s="888"/>
      <c r="AB90" s="1325"/>
      <c r="AC90" s="1325"/>
      <c r="AD90" s="1325"/>
      <c r="AE90" s="1325"/>
      <c r="AF90" s="1325"/>
      <c r="AG90" s="1325"/>
      <c r="AH90" s="1325"/>
      <c r="AI90" s="1325"/>
      <c r="AJ90" s="1325"/>
    </row>
    <row r="91" spans="1:36" s="582" customFormat="1" ht="13.8">
      <c r="A91" s="45" t="s">
        <v>75</v>
      </c>
      <c r="B91" s="46" t="s">
        <v>1607</v>
      </c>
      <c r="C91" s="2513">
        <f>ROUND(C90*D91,0)</f>
        <v>0</v>
      </c>
      <c r="D91" s="2514">
        <f>'数据-取费表'!E36+'数据-取费表'!E37</f>
        <v>3.0499999999999999E-2</v>
      </c>
      <c r="E91" s="70" t="s">
        <v>1620</v>
      </c>
      <c r="F91" s="1880"/>
      <c r="G91" s="1880"/>
      <c r="H91" s="1881"/>
      <c r="I91" s="584"/>
      <c r="J91" s="2592"/>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14.4">
      <c r="A92" s="45" t="s">
        <v>77</v>
      </c>
      <c r="B92" s="46" t="s">
        <v>1621</v>
      </c>
      <c r="C92" s="2518"/>
      <c r="D92" s="2514"/>
      <c r="E92" s="70" t="str">
        <f>IF(H90="-","土地取得成本中已包含该笔费用"," ")</f>
        <v xml:space="preserve"> </v>
      </c>
      <c r="F92" s="1880"/>
      <c r="G92" s="3246" t="s">
        <v>2494</v>
      </c>
      <c r="H92" s="3273"/>
      <c r="I92" s="584"/>
      <c r="J92" s="2592"/>
      <c r="K92" s="2675" t="s">
        <v>2578</v>
      </c>
      <c r="L92" s="1325"/>
      <c r="M92" s="1325"/>
      <c r="N92" s="1325"/>
      <c r="O92" s="1325"/>
      <c r="P92" s="1325"/>
      <c r="Q92" s="1325"/>
      <c r="R92" s="1325"/>
      <c r="S92" s="1325"/>
      <c r="T92" s="888"/>
      <c r="U92" s="888"/>
      <c r="V92" s="888"/>
      <c r="W92" s="888"/>
      <c r="X92" s="888"/>
      <c r="Y92" s="888"/>
      <c r="Z92" s="888"/>
      <c r="AA92" s="888"/>
      <c r="AB92" s="1325"/>
      <c r="AC92" s="1325"/>
      <c r="AD92" s="1325"/>
      <c r="AE92" s="1325"/>
      <c r="AF92" s="1325"/>
      <c r="AG92" s="1325"/>
      <c r="AH92" s="1325"/>
      <c r="AI92" s="1325"/>
      <c r="AJ92" s="1325"/>
    </row>
    <row r="93" spans="1:36" s="582" customFormat="1" ht="30.75" customHeight="1">
      <c r="A93" s="45" t="s">
        <v>78</v>
      </c>
      <c r="B93" s="46" t="s">
        <v>1622</v>
      </c>
      <c r="C93" s="2513">
        <f>IF(H93="——",成本法!C33,I93)</f>
        <v>0</v>
      </c>
      <c r="D93" s="2514"/>
      <c r="E93" s="3185" t="s">
        <v>1623</v>
      </c>
      <c r="F93" s="3186"/>
      <c r="G93" s="3186"/>
      <c r="H93" s="1336" t="s">
        <v>1624</v>
      </c>
      <c r="I93" s="2519"/>
      <c r="J93" s="2594"/>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79</v>
      </c>
      <c r="B94" s="46" t="s">
        <v>1625</v>
      </c>
      <c r="C94" s="2513">
        <f>ROUND((C89+C92+C93)*D94,0)</f>
        <v>0</v>
      </c>
      <c r="D94" s="2514">
        <v>0.1</v>
      </c>
      <c r="E94" s="3185" t="s">
        <v>1626</v>
      </c>
      <c r="F94" s="3186"/>
      <c r="G94" s="3186"/>
      <c r="H94" s="3187"/>
      <c r="I94" s="584"/>
      <c r="J94" s="2592"/>
      <c r="K94" s="2676" t="s">
        <v>2579</v>
      </c>
      <c r="L94" s="1325"/>
      <c r="M94" s="1325"/>
      <c r="N94" s="1325"/>
      <c r="O94" s="1325"/>
      <c r="P94" s="1325"/>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25.5" customHeight="1">
      <c r="A95" s="45" t="s">
        <v>80</v>
      </c>
      <c r="B95" s="46" t="s">
        <v>1610</v>
      </c>
      <c r="C95" s="2513">
        <f>ROUND(D47*D95/(1+'数据-取费表'!F30),0)</f>
        <v>0</v>
      </c>
      <c r="D95" s="2514">
        <f>'数据-取费表'!E31</f>
        <v>6.000000000000001E-3</v>
      </c>
      <c r="E95" s="3185" t="s">
        <v>1611</v>
      </c>
      <c r="F95" s="3186"/>
      <c r="G95" s="3186"/>
      <c r="H95" s="3187"/>
      <c r="I95" s="584"/>
      <c r="J95" s="2592"/>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5.5" customHeight="1">
      <c r="A96" s="45" t="s">
        <v>81</v>
      </c>
      <c r="B96" s="46" t="s">
        <v>1627</v>
      </c>
      <c r="C96" s="2513">
        <f>ROUND((C89+C92+C93)*D96,0)</f>
        <v>0</v>
      </c>
      <c r="D96" s="2514">
        <v>0.2</v>
      </c>
      <c r="E96" s="3185" t="s">
        <v>1628</v>
      </c>
      <c r="F96" s="3186"/>
      <c r="G96" s="3186"/>
      <c r="H96" s="3187"/>
      <c r="I96" s="584"/>
      <c r="J96" s="2592"/>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13.8">
      <c r="A97" s="49" t="s">
        <v>42</v>
      </c>
      <c r="B97" s="50" t="s">
        <v>1612</v>
      </c>
      <c r="C97" s="2505">
        <f>ROUND(C87-C88,0)</f>
        <v>0</v>
      </c>
      <c r="D97" s="46" t="s">
        <v>41</v>
      </c>
      <c r="E97" s="1196"/>
      <c r="F97" s="1197"/>
      <c r="G97" s="1197"/>
      <c r="H97" s="69"/>
      <c r="I97" s="584"/>
      <c r="J97" s="2592"/>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s="582" customFormat="1" ht="24">
      <c r="A98" s="49" t="s">
        <v>43</v>
      </c>
      <c r="B98" s="50" t="s">
        <v>1613</v>
      </c>
      <c r="C98" s="2515">
        <f>IF(C97&lt;=0,0,C97/C88)</f>
        <v>0</v>
      </c>
      <c r="D98" s="46" t="s">
        <v>41</v>
      </c>
      <c r="E98" s="11" t="str">
        <f>IF(C98&gt;=200%,"增值额超过扣除项目金额200%",IF(C98&gt;=100%,"增值额超过扣除项目金额100%，未超过200%",IF(C98&gt;=50%,"增值额超过扣除项目金额50%，未超过100%",IF(C98&lt;50%,"增值额未超过扣除项目金额50%"))))</f>
        <v>增值额未超过扣除项目金额50%</v>
      </c>
      <c r="F98" s="1197"/>
      <c r="G98" s="1197"/>
      <c r="H98" s="69"/>
      <c r="I98" s="584"/>
      <c r="J98" s="2592"/>
      <c r="K98" s="888"/>
      <c r="L98" s="888"/>
      <c r="M98" s="888"/>
      <c r="N98" s="888"/>
      <c r="O98" s="888"/>
      <c r="P98" s="888"/>
      <c r="Q98" s="888"/>
      <c r="R98" s="888"/>
      <c r="S98" s="888"/>
      <c r="T98" s="888"/>
      <c r="U98" s="888"/>
      <c r="V98" s="888"/>
      <c r="W98" s="888"/>
      <c r="X98" s="888"/>
      <c r="Y98" s="888"/>
      <c r="Z98" s="888"/>
      <c r="AA98" s="888"/>
      <c r="AB98" s="1325"/>
      <c r="AC98" s="1325"/>
      <c r="AD98" s="1325"/>
      <c r="AE98" s="1325"/>
      <c r="AF98" s="1325"/>
      <c r="AG98" s="1325"/>
      <c r="AH98" s="1325"/>
      <c r="AI98" s="1325"/>
      <c r="AJ98" s="1325"/>
    </row>
    <row r="99" spans="1:36" s="582" customFormat="1" ht="14.4" thickBot="1">
      <c r="A99" s="62" t="s">
        <v>44</v>
      </c>
      <c r="B99" s="52" t="s">
        <v>1614</v>
      </c>
      <c r="C99" s="63">
        <f>ROUND(IF(C97&lt;=0,0,IF(C98&gt;=200%,C97*60%-C88*35%,IF(C98&gt;=100%,C97*50%-C88*15%,IF(C98&gt;=50%,C97*40%-C88*5%,IF(C98&lt;50%,C97*30%,0))))),0)</f>
        <v>0</v>
      </c>
      <c r="D99" s="64" t="s">
        <v>41</v>
      </c>
      <c r="E99" s="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3"/>
      <c r="K99" s="888"/>
      <c r="L99" s="888"/>
      <c r="M99" s="888"/>
      <c r="N99" s="888"/>
      <c r="O99" s="888"/>
      <c r="P99" s="888"/>
      <c r="Q99" s="888"/>
      <c r="R99" s="888"/>
      <c r="S99" s="888"/>
      <c r="T99" s="888"/>
      <c r="U99" s="888"/>
      <c r="V99" s="888"/>
      <c r="W99" s="888"/>
      <c r="X99" s="888"/>
      <c r="Y99" s="888"/>
      <c r="Z99" s="888"/>
      <c r="AA99" s="888"/>
      <c r="AB99" s="1325"/>
      <c r="AC99" s="1325"/>
      <c r="AD99" s="1325"/>
      <c r="AE99" s="1325"/>
      <c r="AF99" s="1325"/>
      <c r="AG99" s="1325"/>
      <c r="AH99" s="1325"/>
      <c r="AI99" s="1325"/>
      <c r="AJ99" s="1325"/>
    </row>
    <row r="100" spans="1:36" ht="21.75" customHeight="1" thickBot="1">
      <c r="A100" s="1320" t="s">
        <v>1629</v>
      </c>
      <c r="B100" s="1313"/>
      <c r="C100" s="1313"/>
      <c r="D100" s="1313"/>
      <c r="E100" s="735"/>
      <c r="F100" s="735"/>
      <c r="G100" s="735"/>
      <c r="H100" s="786"/>
      <c r="I100" s="1313"/>
    </row>
    <row r="101" spans="1:36" ht="13.8">
      <c r="A101" s="3232" t="s">
        <v>1630</v>
      </c>
      <c r="B101" s="3233"/>
      <c r="C101" s="3233"/>
      <c r="D101" s="3234"/>
      <c r="E101" s="1313"/>
      <c r="F101" s="3268" t="s">
        <v>2536</v>
      </c>
      <c r="G101" s="3269"/>
      <c r="H101" s="3269"/>
      <c r="I101" s="3270"/>
      <c r="J101" s="2595"/>
    </row>
    <row r="102" spans="1:36" ht="15">
      <c r="A102" s="3244" t="s">
        <v>1632</v>
      </c>
      <c r="B102" s="3245"/>
      <c r="C102" s="2520">
        <f>C4</f>
        <v>0</v>
      </c>
      <c r="D102" s="2521">
        <f>D4</f>
        <v>0</v>
      </c>
      <c r="E102" s="1313"/>
      <c r="F102" s="3156" t="s">
        <v>2537</v>
      </c>
      <c r="G102" s="3157"/>
      <c r="H102" s="3162" t="s">
        <v>2538</v>
      </c>
      <c r="I102" s="3155"/>
      <c r="J102" s="2577"/>
    </row>
    <row r="103" spans="1:36" ht="13.2">
      <c r="A103" s="3265" t="s">
        <v>2532</v>
      </c>
      <c r="B103" s="1840" t="str">
        <f>IF(H19="元","总价（元）","总价（万元）")</f>
        <v>总价（元）</v>
      </c>
      <c r="C103" s="1176" t="e">
        <f ca="1">C19</f>
        <v>#REF!</v>
      </c>
      <c r="D103" s="2524" t="e">
        <f ca="1">D19</f>
        <v>#REF!</v>
      </c>
      <c r="E103" s="1313"/>
      <c r="F103" s="3266"/>
      <c r="G103" s="3267"/>
      <c r="H103" s="3154">
        <f>典型户型修正!B25</f>
        <v>0</v>
      </c>
      <c r="I103" s="3155"/>
      <c r="J103" s="2577"/>
    </row>
    <row r="104" spans="1:36" ht="13.2">
      <c r="A104" s="3265"/>
      <c r="B104" s="1840" t="s">
        <v>2533</v>
      </c>
      <c r="C104" s="2525" t="e">
        <f ca="1">C20</f>
        <v>#REF!</v>
      </c>
      <c r="D104" s="2526" t="e">
        <f ca="1">D20</f>
        <v>#REF!</v>
      </c>
      <c r="E104" s="1313"/>
      <c r="F104" s="3166" t="s">
        <v>2539</v>
      </c>
      <c r="G104" s="3167"/>
      <c r="H104" s="2534" t="str">
        <f>C110</f>
        <v>总价（元）</v>
      </c>
      <c r="I104" s="2535">
        <f>H125</f>
        <v>0</v>
      </c>
      <c r="J104" s="2577"/>
    </row>
    <row r="105" spans="1:36" ht="13.2">
      <c r="A105" s="3265" t="s">
        <v>2534</v>
      </c>
      <c r="B105" s="2026" t="str">
        <f>B103</f>
        <v>总价（元）</v>
      </c>
      <c r="C105" s="11" t="e">
        <f ca="1">ROUND(IF('数据-取费表'!B4="总价",G19,IF(H19="元",G20*'数据-取费表'!E5,G20*'数据-取费表'!E5/10000)),0)</f>
        <v>#REF!</v>
      </c>
      <c r="D105" s="2527"/>
      <c r="E105" s="1313"/>
      <c r="F105" s="3166"/>
      <c r="G105" s="3167"/>
      <c r="H105" s="2534" t="s">
        <v>2540</v>
      </c>
      <c r="I105" s="48" t="e">
        <f>I125</f>
        <v>#DIV/0!</v>
      </c>
      <c r="J105" s="2561"/>
    </row>
    <row r="106" spans="1:36" ht="13.2">
      <c r="A106" s="3265"/>
      <c r="B106" s="1840" t="s">
        <v>2533</v>
      </c>
      <c r="C106" s="1330" t="e">
        <f ca="1">ROUND(IF('数据-取费表'!B4="楼面单价",G20,IF(H19="元",G19/'数据-取费表'!E5,G19*10000/'数据-取费表'!E5)),0)</f>
        <v>#REF!</v>
      </c>
      <c r="D106" s="2527"/>
      <c r="E106" s="1313"/>
      <c r="F106" s="3166"/>
      <c r="G106" s="3167"/>
      <c r="H106" s="3226"/>
      <c r="I106" s="3227"/>
      <c r="J106" s="2578"/>
    </row>
    <row r="107" spans="1:36" ht="13.2">
      <c r="A107" s="3259" t="s">
        <v>2535</v>
      </c>
      <c r="B107" s="2528" t="str">
        <f>B103</f>
        <v>总价（元）</v>
      </c>
      <c r="C107" s="2529">
        <f>H125</f>
        <v>0</v>
      </c>
      <c r="D107" s="2530"/>
      <c r="E107" s="1313"/>
      <c r="F107" s="3230" t="s">
        <v>2541</v>
      </c>
      <c r="G107" s="3231"/>
      <c r="H107" s="2536" t="str">
        <f>C112</f>
        <v>总额（元）</v>
      </c>
      <c r="I107" s="2535">
        <f>SUMIF(I108:I110,"&lt;9E307")</f>
        <v>0</v>
      </c>
      <c r="J107" s="2577"/>
    </row>
    <row r="108" spans="1:36" ht="14.4" thickBot="1">
      <c r="A108" s="3225"/>
      <c r="B108" s="2531" t="s">
        <v>2533</v>
      </c>
      <c r="C108" s="2532" t="e">
        <f>I125</f>
        <v>#DIV/0!</v>
      </c>
      <c r="D108" s="2533"/>
      <c r="E108" s="1313"/>
      <c r="F108" s="3168" t="s">
        <v>2542</v>
      </c>
      <c r="G108" s="3169"/>
      <c r="H108" s="2536" t="str">
        <f>C113</f>
        <v>总额（元）</v>
      </c>
      <c r="I108" s="2537">
        <f>IF(D38="同一抵押权人同一抵押物续贷",C38&amp;"（续贷，未扣减，详见特别提示）",C38)</f>
        <v>0</v>
      </c>
      <c r="J108" s="2561"/>
      <c r="L108" s="1315" t="str">
        <f>IF(D125=0,"本次评估不存在"&amp;A125&amp;"。","本次评估"&amp;A125&amp;"为"&amp;D125&amp;"元人民币。")</f>
        <v>本次评估不存在北京市房地产。</v>
      </c>
      <c r="M108" s="1313"/>
      <c r="N108" s="1313"/>
      <c r="O108" s="1313"/>
      <c r="P108" s="1313"/>
      <c r="Q108" s="1313"/>
    </row>
    <row r="109" spans="1:36" ht="13.8">
      <c r="A109" s="3262" t="s">
        <v>1633</v>
      </c>
      <c r="B109" s="3263"/>
      <c r="C109" s="3263"/>
      <c r="D109" s="3264"/>
      <c r="E109" s="1313"/>
      <c r="F109" s="3168" t="s">
        <v>2543</v>
      </c>
      <c r="G109" s="3169"/>
      <c r="H109" s="2536" t="str">
        <f>C114</f>
        <v>总额（元）</v>
      </c>
      <c r="I109" s="48">
        <f>C39</f>
        <v>0</v>
      </c>
      <c r="J109" s="2561"/>
    </row>
    <row r="110" spans="1:36" ht="13.2">
      <c r="A110" s="3166" t="s">
        <v>2546</v>
      </c>
      <c r="B110" s="3167"/>
      <c r="C110" s="2534" t="str">
        <f>B103</f>
        <v>总价（元）</v>
      </c>
      <c r="D110" s="2535">
        <f>H125</f>
        <v>0</v>
      </c>
      <c r="E110" s="1313"/>
      <c r="F110" s="3168" t="s">
        <v>2544</v>
      </c>
      <c r="G110" s="3169"/>
      <c r="H110" s="2536" t="str">
        <f>C115</f>
        <v>总额（元）</v>
      </c>
      <c r="I110" s="48">
        <f>C40</f>
        <v>0</v>
      </c>
      <c r="J110" s="2561"/>
    </row>
    <row r="111" spans="1:36" ht="13.2">
      <c r="A111" s="3166"/>
      <c r="B111" s="3167"/>
      <c r="C111" s="2534" t="s">
        <v>2547</v>
      </c>
      <c r="D111" s="48" t="e">
        <f>I125</f>
        <v>#DIV/0!</v>
      </c>
      <c r="E111" s="1313"/>
      <c r="F111" s="3166"/>
      <c r="G111" s="3167"/>
      <c r="H111" s="3228"/>
      <c r="I111" s="3229"/>
      <c r="J111" s="2579"/>
    </row>
    <row r="112" spans="1:36" ht="28.5" customHeight="1">
      <c r="A112" s="3173" t="s">
        <v>2541</v>
      </c>
      <c r="B112" s="3174"/>
      <c r="C112" s="2536" t="str">
        <f>IF(H19="元","总额（元）","总额（万元）")</f>
        <v>总额（元）</v>
      </c>
      <c r="D112" s="2535">
        <f>IF(D38="正常操作",I108+I109+I110,I109+I110)</f>
        <v>0</v>
      </c>
      <c r="E112" s="1313"/>
      <c r="F112" s="3158" t="str">
        <f>IF(项目基本情况!F5="已注销","——","3.房地产抵押价值")</f>
        <v>3.房地产抵押价值</v>
      </c>
      <c r="G112" s="3159"/>
      <c r="H112" s="1330" t="str">
        <f>C116</f>
        <v>总价（元）</v>
      </c>
      <c r="I112" s="2535">
        <f>IF(F112="——","——",I104-I107)</f>
        <v>0</v>
      </c>
      <c r="J112" s="2577"/>
    </row>
    <row r="113" spans="1:27" ht="13.2">
      <c r="A113" s="3168" t="s">
        <v>2548</v>
      </c>
      <c r="B113" s="3169"/>
      <c r="C113" s="2536" t="str">
        <f>C112</f>
        <v>总额（元）</v>
      </c>
      <c r="D113" s="48">
        <f>IF(D38="同一抵押权人同一抵押物续贷",C38&amp;"（未扣减，详见特别提示）",C38)</f>
        <v>0</v>
      </c>
      <c r="E113" s="1313"/>
      <c r="F113" s="3257"/>
      <c r="G113" s="3258"/>
      <c r="H113" s="2534" t="s">
        <v>2540</v>
      </c>
      <c r="I113" s="2538" t="e">
        <f>D117</f>
        <v>#DIV/0!</v>
      </c>
      <c r="J113" s="2580"/>
    </row>
    <row r="114" spans="1:27" ht="13.2">
      <c r="A114" s="3168" t="s">
        <v>2549</v>
      </c>
      <c r="B114" s="3169"/>
      <c r="C114" s="2536" t="str">
        <f>C112</f>
        <v>总额（元）</v>
      </c>
      <c r="D114" s="48">
        <f>C39</f>
        <v>0</v>
      </c>
      <c r="E114" s="1313"/>
      <c r="F114" s="3158" t="str">
        <f>IF(项目基本情况!F5="已注销及未注销","4.抵押担保权已注销时的房地产抵押价值",IF(项目基本情况!F5="已注销","3.抵押担保权已注销时的房地产抵押价值","——"))</f>
        <v>——</v>
      </c>
      <c r="G114" s="3159"/>
      <c r="H114" s="1330" t="str">
        <f>C118</f>
        <v>总价（元）</v>
      </c>
      <c r="I114" s="2535" t="str">
        <f>IF(F114="——","——",I104-I109-I110)</f>
        <v>——</v>
      </c>
      <c r="J114" s="2577"/>
    </row>
    <row r="115" spans="1:27" ht="13.2">
      <c r="A115" s="3168" t="s">
        <v>2550</v>
      </c>
      <c r="B115" s="3169"/>
      <c r="C115" s="2536" t="str">
        <f>C112</f>
        <v>总额（元）</v>
      </c>
      <c r="D115" s="48">
        <f>C40</f>
        <v>0</v>
      </c>
      <c r="E115" s="1313"/>
      <c r="F115" s="3257"/>
      <c r="G115" s="3258"/>
      <c r="H115" s="2534" t="s">
        <v>2540</v>
      </c>
      <c r="I115" s="48" t="str">
        <f>D119</f>
        <v>——</v>
      </c>
      <c r="J115" s="2561"/>
    </row>
    <row r="116" spans="1:27" ht="13.2">
      <c r="A116" s="3166" t="str">
        <f>IF(项目基本情况!F5="已注销","——","3.房地产抵押价值")</f>
        <v>3.房地产抵押价值</v>
      </c>
      <c r="B116" s="3167"/>
      <c r="C116" s="2534" t="str">
        <f>B103</f>
        <v>总价（元）</v>
      </c>
      <c r="D116" s="2535">
        <f>IF(A116="——","——",D110-D112)</f>
        <v>0</v>
      </c>
      <c r="E116" s="1313"/>
      <c r="F116" s="3158" t="str">
        <f>IF(项目基本情况!G5="抵押净值",IF(OR(项目基本情况!F5="已注销",项目基本情况!F5="房地产抵押价值"),"4.抵押净值","5.抵押净值"),"——")</f>
        <v>——</v>
      </c>
      <c r="G116" s="3159"/>
      <c r="H116" s="2534" t="str">
        <f>C120</f>
        <v>总价（元）</v>
      </c>
      <c r="I116" s="2535" t="str">
        <f>IF(F116="——","——",O61)</f>
        <v>——</v>
      </c>
      <c r="J116" s="2577"/>
    </row>
    <row r="117" spans="1:27" ht="13.8" thickBot="1">
      <c r="A117" s="3166"/>
      <c r="B117" s="3167"/>
      <c r="C117" s="2534" t="s">
        <v>2547</v>
      </c>
      <c r="D117" s="48" t="e">
        <f>ROUND(IF(D116=D110,D111,IF(H19="元",D116/B125,D116*10000/B125)),0)</f>
        <v>#DIV/0!</v>
      </c>
      <c r="E117" s="1313"/>
      <c r="F117" s="3160"/>
      <c r="G117" s="3161"/>
      <c r="H117" s="2539" t="s">
        <v>2540</v>
      </c>
      <c r="I117" s="2523" t="str">
        <f>D121</f>
        <v>——</v>
      </c>
      <c r="J117" s="2561"/>
    </row>
    <row r="118" spans="1:27" ht="15.6">
      <c r="A118" s="3166" t="str">
        <f>IF(项目基本情况!F5="已注销及未注销","4.抵押担保权已注销时的房地产抵押价值",IF(项目基本情况!F5="已注销","3.抵押担保权已注销时的房地产抵押价值","——"))</f>
        <v>——</v>
      </c>
      <c r="B118" s="3167"/>
      <c r="C118" s="2534" t="str">
        <f>B103</f>
        <v>总价（元）</v>
      </c>
      <c r="D118" s="2535" t="str">
        <f>IF(A118="——","——",D110-D114-D115)</f>
        <v>——</v>
      </c>
      <c r="E118" s="1313"/>
      <c r="F118" s="3252"/>
      <c r="G118" s="3252"/>
      <c r="H118" s="3216"/>
      <c r="I118" s="3216"/>
      <c r="J118" s="2581"/>
      <c r="O118" s="28"/>
      <c r="P118" s="28"/>
    </row>
    <row r="119" spans="1:27" s="1177" customFormat="1" ht="13.2">
      <c r="A119" s="3166"/>
      <c r="B119" s="3167"/>
      <c r="C119" s="2534" t="s">
        <v>2547</v>
      </c>
      <c r="D119" s="48" t="str">
        <f>IF(A118="——","——",IF(H19="元",ROUND(D118/B125,0),ROUND(D118*10000/B125,0)))</f>
        <v>——</v>
      </c>
      <c r="E119" s="1313"/>
      <c r="F119" s="3261" t="str">
        <f>IF(B33="总价","（以上估价结果中楼面单价为总价除以建筑面积得出）","（以上估价结果中总价为楼面单价乘以建筑面积得出）")</f>
        <v>（以上估价结果中总价为楼面单价乘以建筑面积得出）</v>
      </c>
      <c r="G119" s="3261"/>
      <c r="H119" s="3261"/>
      <c r="I119" s="3261"/>
      <c r="J119" s="2582"/>
      <c r="K119" s="629"/>
      <c r="L119" s="629"/>
      <c r="M119" s="629"/>
      <c r="N119" s="629"/>
      <c r="O119" s="28"/>
      <c r="P119" s="28"/>
      <c r="Q119" s="629"/>
      <c r="R119" s="629"/>
      <c r="S119" s="629"/>
      <c r="T119" s="629"/>
      <c r="U119" s="629"/>
      <c r="V119" s="629"/>
      <c r="W119" s="629"/>
      <c r="X119" s="629"/>
      <c r="Y119" s="629"/>
      <c r="Z119" s="629"/>
      <c r="AA119" s="629"/>
    </row>
    <row r="120" spans="1:27" s="1177" customFormat="1" ht="13.2">
      <c r="A120" s="3166" t="str">
        <f>IF(项目基本情况!G5="抵押净值",IF(OR(项目基本情况!F5="已注销",项目基本情况!F5="房地产抵押价值"),"4.抵押净值","5.抵押净值"),"——")</f>
        <v>——</v>
      </c>
      <c r="B120" s="3167"/>
      <c r="C120" s="2534" t="str">
        <f>B103</f>
        <v>总价（元）</v>
      </c>
      <c r="D120" s="2535" t="str">
        <f>IF(A120="——","——",O61)</f>
        <v>——</v>
      </c>
      <c r="E120" s="1313"/>
      <c r="F120" s="1360"/>
      <c r="G120" s="1360"/>
      <c r="H120" s="1360"/>
      <c r="I120" s="1360"/>
      <c r="J120" s="2582"/>
      <c r="K120" s="629"/>
      <c r="L120" s="629"/>
      <c r="M120" s="629"/>
      <c r="N120" s="629"/>
      <c r="O120" s="28"/>
      <c r="P120" s="28"/>
      <c r="Q120" s="629"/>
      <c r="R120" s="629"/>
      <c r="S120" s="629"/>
      <c r="T120" s="629"/>
      <c r="U120" s="629"/>
      <c r="V120" s="629"/>
      <c r="W120" s="629"/>
      <c r="X120" s="629"/>
      <c r="Y120" s="629"/>
      <c r="Z120" s="629"/>
      <c r="AA120" s="629"/>
    </row>
    <row r="121" spans="1:27" s="1177" customFormat="1" ht="13.8" thickBot="1">
      <c r="A121" s="3171"/>
      <c r="B121" s="3172"/>
      <c r="C121" s="2539" t="s">
        <v>2547</v>
      </c>
      <c r="D121" s="2523" t="str">
        <f>IF(D120=D110,D111,IF(A120="——","——",O63))</f>
        <v>——</v>
      </c>
      <c r="E121" s="1313"/>
      <c r="F121" s="1360"/>
      <c r="G121" s="1360"/>
      <c r="H121" s="1360"/>
      <c r="I121" s="1360"/>
      <c r="J121" s="2582"/>
      <c r="K121" s="629"/>
      <c r="L121" s="629"/>
      <c r="M121" s="629"/>
      <c r="N121" s="629"/>
      <c r="O121" s="28"/>
      <c r="P121" s="28"/>
      <c r="Q121" s="629"/>
      <c r="R121" s="629"/>
      <c r="S121" s="629"/>
      <c r="T121" s="629"/>
      <c r="U121" s="629"/>
      <c r="V121" s="629"/>
      <c r="W121" s="629"/>
      <c r="X121" s="629"/>
      <c r="Y121" s="629"/>
      <c r="Z121" s="629"/>
      <c r="AA121" s="629"/>
    </row>
    <row r="122" spans="1:27" s="1177" customFormat="1" ht="14.4">
      <c r="A122" s="3217" t="s">
        <v>1672</v>
      </c>
      <c r="B122" s="3218"/>
      <c r="C122" s="3218"/>
      <c r="D122" s="3218"/>
      <c r="E122" s="3218"/>
      <c r="F122" s="3218"/>
      <c r="G122" s="3218"/>
      <c r="H122" s="3218"/>
      <c r="I122" s="3218"/>
      <c r="J122" s="2583"/>
      <c r="K122" s="629"/>
      <c r="L122" s="629"/>
      <c r="M122" s="629"/>
      <c r="N122" s="629"/>
      <c r="O122" s="629"/>
      <c r="P122" s="629"/>
      <c r="Q122" s="629"/>
      <c r="R122" s="629"/>
      <c r="S122" s="629"/>
      <c r="T122" s="629"/>
      <c r="U122" s="629"/>
      <c r="V122" s="629"/>
      <c r="W122" s="629"/>
      <c r="X122" s="629"/>
      <c r="Y122" s="629"/>
      <c r="Z122" s="629"/>
      <c r="AA122" s="629"/>
    </row>
    <row r="123" spans="1:27" s="1177" customFormat="1" ht="13.2">
      <c r="A123" s="3151" t="s">
        <v>2551</v>
      </c>
      <c r="B123" s="3177" t="s">
        <v>2552</v>
      </c>
      <c r="C123" s="3177" t="s">
        <v>2558</v>
      </c>
      <c r="D123" s="3239" t="s">
        <v>2553</v>
      </c>
      <c r="E123" s="3240"/>
      <c r="F123" s="3152" t="s">
        <v>2559</v>
      </c>
      <c r="G123" s="3152"/>
      <c r="H123" s="3152" t="s">
        <v>2554</v>
      </c>
      <c r="I123" s="3238"/>
      <c r="J123" s="2561"/>
      <c r="K123" s="629"/>
      <c r="L123" s="629"/>
      <c r="M123" s="629"/>
      <c r="N123" s="629"/>
      <c r="O123" s="629"/>
      <c r="P123" s="629"/>
      <c r="Q123" s="629"/>
      <c r="R123" s="629"/>
      <c r="S123" s="629"/>
      <c r="T123" s="629"/>
      <c r="U123" s="629"/>
      <c r="V123" s="629"/>
      <c r="W123" s="629"/>
      <c r="X123" s="629"/>
      <c r="Y123" s="629"/>
      <c r="Z123" s="629"/>
      <c r="AA123" s="629"/>
    </row>
    <row r="124" spans="1:27" s="1177" customFormat="1" ht="13.2">
      <c r="A124" s="3151"/>
      <c r="B124" s="3178"/>
      <c r="C124" s="3178"/>
      <c r="D124" s="1199" t="s">
        <v>2555</v>
      </c>
      <c r="E124" s="1199" t="s">
        <v>2560</v>
      </c>
      <c r="F124" s="1199" t="s">
        <v>2555</v>
      </c>
      <c r="G124" s="1199" t="s">
        <v>2556</v>
      </c>
      <c r="H124" s="1199" t="s">
        <v>2555</v>
      </c>
      <c r="I124" s="48" t="s">
        <v>2556</v>
      </c>
      <c r="J124" s="2561"/>
      <c r="K124" s="629"/>
      <c r="L124" s="629"/>
      <c r="M124" s="629"/>
      <c r="N124" s="629"/>
      <c r="O124" s="629"/>
      <c r="P124" s="629"/>
      <c r="Q124" s="629"/>
      <c r="R124" s="629"/>
      <c r="S124" s="629"/>
      <c r="T124" s="629"/>
      <c r="U124" s="629"/>
      <c r="V124" s="629"/>
      <c r="W124" s="629"/>
      <c r="X124" s="629"/>
      <c r="Y124" s="629"/>
      <c r="Z124" s="629"/>
      <c r="AA124" s="629"/>
    </row>
    <row r="125" spans="1:27" s="1177" customFormat="1" ht="13.2">
      <c r="A125" s="1876" t="str">
        <f>项目基本情况!I1</f>
        <v>北京市房地产</v>
      </c>
      <c r="B125" s="1199">
        <f>典型户型修正!B25</f>
        <v>0</v>
      </c>
      <c r="C125" s="1308"/>
      <c r="D125" s="1199">
        <f>C36</f>
        <v>0</v>
      </c>
      <c r="E125" s="1199" t="e">
        <f>ROUND(IF(H19="元",D125/B125,D125*10000/B125),0)</f>
        <v>#DIV/0!</v>
      </c>
      <c r="F125" s="1199">
        <f>C37</f>
        <v>0</v>
      </c>
      <c r="G125" s="1199" t="e">
        <f>ROUND(IF(H19="元",F125/B125,F125*10000/B125),0)</f>
        <v>#DIV/0!</v>
      </c>
      <c r="H125" s="1199">
        <f>C34</f>
        <v>0</v>
      </c>
      <c r="I125" s="48" t="e">
        <f>C35</f>
        <v>#DIV/0!</v>
      </c>
      <c r="J125" s="2561"/>
      <c r="K125" s="629"/>
      <c r="L125" s="629"/>
      <c r="M125" s="629"/>
      <c r="N125" s="629"/>
      <c r="O125" s="629"/>
      <c r="P125" s="629"/>
      <c r="Q125" s="629"/>
      <c r="R125" s="629"/>
      <c r="S125" s="629"/>
      <c r="T125" s="629"/>
      <c r="U125" s="629"/>
      <c r="V125" s="629"/>
      <c r="W125" s="629"/>
      <c r="X125" s="629"/>
      <c r="Y125" s="629"/>
      <c r="Z125" s="629"/>
      <c r="AA125" s="629"/>
    </row>
    <row r="126" spans="1:27" s="1177" customFormat="1" ht="13.2">
      <c r="A126" s="3151" t="s">
        <v>2557</v>
      </c>
      <c r="B126" s="3152"/>
      <c r="C126" s="3152"/>
      <c r="D126" s="3179" t="str">
        <f>IF(H19="元",NUMBERSTRING(INT(D125),2)&amp;"元整",NUMBERSTRING(INT(D125*10000),2)&amp;"元整")</f>
        <v>零元整</v>
      </c>
      <c r="E126" s="3222"/>
      <c r="F126" s="3179" t="str">
        <f>IF(H19="元",NUMBERSTRING(INT(F125),2)&amp;"元整",NUMBERSTRING(INT(F125*10000),2)&amp;"元整")</f>
        <v>零元整</v>
      </c>
      <c r="G126" s="3222"/>
      <c r="H126" s="3179" t="str">
        <f>IF(H19="元",NUMBERSTRING(INT(H125),2)&amp;"元整",NUMBERSTRING(INT(H125*10000),2)&amp;"元整")</f>
        <v>零元整</v>
      </c>
      <c r="I126" s="3180"/>
      <c r="J126" s="2584"/>
      <c r="K126" s="629"/>
      <c r="L126" s="629"/>
      <c r="M126" s="629"/>
      <c r="N126" s="629"/>
      <c r="O126" s="629"/>
      <c r="P126" s="629"/>
      <c r="Q126" s="629"/>
      <c r="R126" s="629"/>
      <c r="S126" s="629"/>
      <c r="T126" s="629"/>
      <c r="U126" s="629"/>
      <c r="V126" s="629"/>
      <c r="W126" s="629"/>
      <c r="X126" s="629"/>
      <c r="Y126" s="629"/>
      <c r="Z126" s="629"/>
      <c r="AA126" s="629"/>
    </row>
    <row r="127" spans="1:27" s="1177" customFormat="1" ht="13.2">
      <c r="A127" s="3156" t="str">
        <f>IF(项目基本情况!D5="房地产市场价值","——",MID(A112,3,LEN(A112)-2))</f>
        <v>估价师所知悉的法定优先受偿款</v>
      </c>
      <c r="B127" s="3162"/>
      <c r="C127" s="3157"/>
      <c r="D127" s="3154">
        <f>I107</f>
        <v>0</v>
      </c>
      <c r="E127" s="3162"/>
      <c r="F127" s="3162"/>
      <c r="G127" s="3162"/>
      <c r="H127" s="3162"/>
      <c r="I127" s="3155"/>
      <c r="J127" s="2577"/>
      <c r="K127" s="629"/>
      <c r="L127" s="629"/>
      <c r="M127" s="629"/>
      <c r="N127" s="629"/>
      <c r="O127" s="629"/>
      <c r="P127" s="629"/>
      <c r="Q127" s="629"/>
      <c r="R127" s="629"/>
      <c r="S127" s="629"/>
      <c r="T127" s="629"/>
      <c r="U127" s="629"/>
      <c r="V127" s="629"/>
      <c r="W127" s="629"/>
      <c r="X127" s="629"/>
      <c r="Y127" s="629"/>
      <c r="Z127" s="629"/>
      <c r="AA127" s="629"/>
    </row>
    <row r="128" spans="1:27" s="1177" customFormat="1" ht="13.2">
      <c r="A128" s="3223" t="s">
        <v>2557</v>
      </c>
      <c r="B128" s="3191"/>
      <c r="C128" s="3192"/>
      <c r="D128" s="3163">
        <f>H111</f>
        <v>0</v>
      </c>
      <c r="E128" s="3164"/>
      <c r="F128" s="3164"/>
      <c r="G128" s="3164"/>
      <c r="H128" s="3164"/>
      <c r="I128" s="3165"/>
      <c r="J128" s="2585"/>
      <c r="K128" s="629"/>
      <c r="L128" s="629"/>
      <c r="M128" s="629"/>
      <c r="N128" s="629"/>
      <c r="O128" s="629"/>
      <c r="P128" s="629"/>
      <c r="Q128" s="629"/>
      <c r="R128" s="629"/>
      <c r="S128" s="629"/>
      <c r="T128" s="629"/>
      <c r="U128" s="629"/>
      <c r="V128" s="629"/>
      <c r="W128" s="629"/>
      <c r="X128" s="629"/>
      <c r="Y128" s="629"/>
      <c r="Z128" s="629"/>
      <c r="AA128" s="629"/>
    </row>
    <row r="129" spans="1:27" s="1177" customFormat="1" ht="13.2">
      <c r="A129" s="3166" t="str">
        <f>IF(项目基本情况!D5="房地产市场价值","——",MID(A116,3,LEN(A116)-2))</f>
        <v>房地产抵押价值</v>
      </c>
      <c r="B129" s="3167"/>
      <c r="C129" s="3167"/>
      <c r="D129" s="3154">
        <f>I112</f>
        <v>0</v>
      </c>
      <c r="E129" s="3162"/>
      <c r="F129" s="3162"/>
      <c r="G129" s="3162"/>
      <c r="H129" s="3162"/>
      <c r="I129" s="3155"/>
      <c r="J129" s="2577"/>
      <c r="K129" s="629"/>
      <c r="L129" s="629"/>
      <c r="M129" s="629"/>
      <c r="N129" s="629"/>
      <c r="O129" s="629"/>
      <c r="P129" s="629"/>
      <c r="Q129" s="629"/>
      <c r="R129" s="629"/>
      <c r="S129" s="629"/>
      <c r="T129" s="629"/>
      <c r="U129" s="629"/>
      <c r="V129" s="629"/>
      <c r="W129" s="629"/>
      <c r="X129" s="629"/>
      <c r="Y129" s="629"/>
      <c r="Z129" s="629"/>
      <c r="AA129" s="629"/>
    </row>
    <row r="130" spans="1:27" s="1177" customFormat="1" ht="13.2">
      <c r="A130" s="3151" t="s">
        <v>2557</v>
      </c>
      <c r="B130" s="3152"/>
      <c r="C130" s="3152"/>
      <c r="D130" s="3163" t="e">
        <f>I113</f>
        <v>#DIV/0!</v>
      </c>
      <c r="E130" s="3164"/>
      <c r="F130" s="3164"/>
      <c r="G130" s="3164"/>
      <c r="H130" s="3164"/>
      <c r="I130" s="3165"/>
      <c r="J130" s="2585"/>
      <c r="K130" s="629"/>
      <c r="L130" s="629"/>
      <c r="M130" s="629"/>
      <c r="N130" s="629"/>
      <c r="O130" s="629"/>
      <c r="P130" s="629"/>
      <c r="Q130" s="629"/>
      <c r="R130" s="629"/>
      <c r="S130" s="629"/>
      <c r="T130" s="629"/>
      <c r="U130" s="629"/>
      <c r="V130" s="629"/>
      <c r="W130" s="629"/>
      <c r="X130" s="629"/>
      <c r="Y130" s="629"/>
      <c r="Z130" s="629"/>
      <c r="AA130" s="629"/>
    </row>
    <row r="131" spans="1:27" s="1177" customFormat="1" ht="13.8" thickBot="1">
      <c r="A131" s="3166" t="str">
        <f>IF(项目基本情况!D5="房地产市场价值","——",MID(A118,3,LEN(A118)-2))</f>
        <v/>
      </c>
      <c r="B131" s="3167"/>
      <c r="C131" s="3167"/>
      <c r="D131" s="3199" t="str">
        <f>I114</f>
        <v>——</v>
      </c>
      <c r="E131" s="3200"/>
      <c r="F131" s="3200"/>
      <c r="G131" s="3200"/>
      <c r="H131" s="3200"/>
      <c r="I131" s="3251"/>
      <c r="J131" s="2577"/>
      <c r="K131" s="629"/>
      <c r="L131" s="629"/>
      <c r="M131" s="629"/>
      <c r="N131" s="629"/>
      <c r="O131" s="629"/>
      <c r="P131" s="629"/>
      <c r="Q131" s="629"/>
      <c r="R131" s="629"/>
      <c r="S131" s="629"/>
      <c r="T131" s="629"/>
      <c r="U131" s="629"/>
      <c r="V131" s="629"/>
      <c r="W131" s="629"/>
      <c r="X131" s="629"/>
      <c r="Y131" s="629"/>
      <c r="Z131" s="629"/>
      <c r="AA131" s="629"/>
    </row>
    <row r="132" spans="1:27" s="1177" customFormat="1" ht="14.4" thickTop="1" thickBot="1">
      <c r="A132" s="3151" t="s">
        <v>2557</v>
      </c>
      <c r="B132" s="3152"/>
      <c r="C132" s="3153"/>
      <c r="D132" s="3215" t="str">
        <f>I115</f>
        <v>——</v>
      </c>
      <c r="E132" s="3215"/>
      <c r="F132" s="3215"/>
      <c r="G132" s="3215"/>
      <c r="H132" s="3215"/>
      <c r="I132" s="3215"/>
      <c r="J132" s="2585"/>
      <c r="K132" s="629"/>
      <c r="L132" s="629"/>
      <c r="M132" s="629"/>
      <c r="N132" s="629"/>
      <c r="O132" s="629"/>
      <c r="P132" s="629"/>
      <c r="Q132" s="629"/>
      <c r="R132" s="629"/>
      <c r="S132" s="629"/>
      <c r="T132" s="629"/>
      <c r="U132" s="629"/>
      <c r="V132" s="629"/>
      <c r="W132" s="629"/>
      <c r="X132" s="629"/>
      <c r="Y132" s="629"/>
      <c r="Z132" s="629"/>
      <c r="AA132" s="629"/>
    </row>
    <row r="133" spans="1:27" s="1177" customFormat="1" ht="14.4" thickTop="1" thickBot="1">
      <c r="A133" s="3166" t="str">
        <f>IF(项目基本情况!D5="房地产市场价值","——",MID(F116,3,LEN(F116)-2))</f>
        <v/>
      </c>
      <c r="B133" s="3167"/>
      <c r="C133" s="3154"/>
      <c r="D133" s="3170" t="str">
        <f>I116</f>
        <v>——</v>
      </c>
      <c r="E133" s="3170"/>
      <c r="F133" s="3170"/>
      <c r="G133" s="3170"/>
      <c r="H133" s="3170"/>
      <c r="I133" s="3170"/>
      <c r="J133" s="2577"/>
      <c r="K133" s="629"/>
      <c r="L133" s="629"/>
      <c r="M133" s="629"/>
      <c r="N133" s="629"/>
      <c r="O133" s="629"/>
      <c r="P133" s="629"/>
      <c r="Q133" s="629"/>
      <c r="R133" s="629"/>
      <c r="S133" s="629"/>
      <c r="T133" s="629"/>
      <c r="U133" s="629"/>
      <c r="V133" s="629"/>
      <c r="W133" s="629"/>
      <c r="X133" s="629"/>
      <c r="Y133" s="629"/>
      <c r="Z133" s="629"/>
      <c r="AA133" s="629"/>
    </row>
    <row r="134" spans="1:27" s="1177" customFormat="1" ht="14.4" thickTop="1" thickBot="1">
      <c r="A134" s="3175" t="s">
        <v>2557</v>
      </c>
      <c r="B134" s="3176"/>
      <c r="C134" s="3176"/>
      <c r="D134" s="3181">
        <f>H118</f>
        <v>0</v>
      </c>
      <c r="E134" s="3182"/>
      <c r="F134" s="3182"/>
      <c r="G134" s="3182"/>
      <c r="H134" s="3182"/>
      <c r="I134" s="3183"/>
      <c r="J134" s="2585"/>
      <c r="K134" s="629"/>
      <c r="L134" s="629"/>
      <c r="M134" s="629"/>
      <c r="N134" s="629"/>
      <c r="O134" s="629"/>
      <c r="P134" s="629"/>
      <c r="Q134" s="629"/>
      <c r="R134" s="629"/>
      <c r="S134" s="629"/>
      <c r="T134" s="629"/>
      <c r="U134" s="629"/>
      <c r="V134" s="629"/>
      <c r="W134" s="629"/>
      <c r="X134" s="629"/>
      <c r="Y134" s="629"/>
      <c r="Z134" s="629"/>
      <c r="AA134" s="629"/>
    </row>
    <row r="135" spans="1:27" s="1177" customFormat="1" ht="13.2">
      <c r="A135" s="1330" t="str">
        <f>IF(H19="元","单位：平方米、元、元/平方米（币种：人民币）","单位：平方米、万元、元/平方米（币种：人民币）")</f>
        <v>单位：平方米、元、元/平方米（币种：人民币）</v>
      </c>
      <c r="B135" s="1330"/>
      <c r="C135" s="1330"/>
      <c r="D135" s="1330"/>
      <c r="E135" s="1330"/>
      <c r="F135" s="1330"/>
      <c r="G135" s="1330"/>
      <c r="H135" s="1330"/>
      <c r="I135" s="1330"/>
      <c r="J135" s="2562"/>
      <c r="K135" s="629"/>
      <c r="L135" s="629"/>
      <c r="M135" s="629"/>
      <c r="N135" s="629"/>
      <c r="O135" s="629"/>
      <c r="P135" s="629"/>
      <c r="Q135" s="629"/>
      <c r="R135" s="629"/>
      <c r="S135" s="629"/>
      <c r="T135" s="629"/>
      <c r="U135" s="629"/>
      <c r="V135" s="629"/>
      <c r="W135" s="629"/>
      <c r="X135" s="629"/>
      <c r="Y135" s="629"/>
      <c r="Z135" s="629"/>
      <c r="AA135" s="629"/>
    </row>
    <row r="136" spans="1:27" s="1177" customFormat="1" ht="13.8" thickBot="1">
      <c r="A136" s="3149" t="str">
        <f>IF(B33="总价","（以上估价结果中楼面单价为总价除以建筑面积得出）","（以上估价结果中总价为楼面单价乘以建筑面积得出）")</f>
        <v>（以上估价结果中总价为楼面单价乘以建筑面积得出）</v>
      </c>
      <c r="B136" s="3149"/>
      <c r="C136" s="3149"/>
      <c r="D136" s="3149"/>
      <c r="E136" s="3149"/>
      <c r="F136" s="3149"/>
      <c r="G136" s="3149"/>
      <c r="H136" s="3149"/>
      <c r="I136" s="3149"/>
      <c r="J136" s="2579"/>
      <c r="K136" s="629"/>
      <c r="L136" s="629"/>
      <c r="M136" s="629"/>
      <c r="N136" s="629"/>
      <c r="O136" s="629"/>
      <c r="P136" s="629"/>
      <c r="Q136" s="629"/>
      <c r="R136" s="629"/>
      <c r="S136" s="629"/>
      <c r="T136" s="629"/>
      <c r="U136" s="629"/>
      <c r="V136" s="629"/>
      <c r="W136" s="629"/>
      <c r="X136" s="629"/>
      <c r="Y136" s="629"/>
      <c r="Z136" s="629"/>
      <c r="AA136" s="629"/>
    </row>
    <row r="137" spans="1:27" s="1177" customFormat="1" ht="21.75" customHeight="1">
      <c r="A137" s="1338" t="s">
        <v>1635</v>
      </c>
      <c r="B137" s="1339"/>
      <c r="C137" s="1340" t="s">
        <v>1636</v>
      </c>
      <c r="D137" s="633"/>
      <c r="E137" s="633"/>
      <c r="F137" s="633"/>
      <c r="G137" s="633"/>
      <c r="H137" s="632"/>
      <c r="I137" s="1341"/>
      <c r="J137" s="2586"/>
      <c r="K137" s="629"/>
      <c r="L137" s="629"/>
      <c r="M137" s="629"/>
      <c r="N137" s="629"/>
      <c r="O137" s="629"/>
      <c r="P137" s="629"/>
      <c r="Q137" s="629"/>
      <c r="R137" s="629"/>
      <c r="S137" s="629"/>
      <c r="T137" s="629"/>
      <c r="U137" s="629"/>
      <c r="V137" s="629"/>
      <c r="W137" s="629"/>
      <c r="X137" s="629"/>
      <c r="Y137" s="629"/>
      <c r="Z137" s="629"/>
      <c r="AA137" s="629"/>
    </row>
    <row r="138" spans="1:27" s="1177" customFormat="1" ht="21.75" customHeight="1">
      <c r="A138" s="1342">
        <v>1</v>
      </c>
      <c r="B138" s="1343"/>
      <c r="C138" s="1343"/>
      <c r="D138" s="633"/>
      <c r="E138" s="633"/>
      <c r="F138" s="633"/>
      <c r="G138" s="633"/>
      <c r="H138" s="632"/>
      <c r="I138" s="1341"/>
      <c r="J138" s="2586"/>
      <c r="K138" s="629"/>
      <c r="L138" s="629"/>
      <c r="M138" s="629"/>
      <c r="N138" s="629"/>
      <c r="O138" s="629"/>
      <c r="P138" s="629"/>
      <c r="Q138" s="629"/>
      <c r="R138" s="629"/>
      <c r="S138" s="629"/>
      <c r="T138" s="629"/>
      <c r="U138" s="629"/>
      <c r="V138" s="629"/>
      <c r="W138" s="629"/>
      <c r="X138" s="629"/>
      <c r="Y138" s="629"/>
      <c r="Z138" s="629"/>
      <c r="AA138" s="629"/>
    </row>
    <row r="139" spans="1:27" s="1177" customFormat="1" ht="21.75" customHeight="1">
      <c r="A139" s="1342">
        <v>2</v>
      </c>
      <c r="B139" s="1343"/>
      <c r="C139" s="1343"/>
      <c r="D139" s="633"/>
      <c r="E139" s="633"/>
      <c r="F139" s="633"/>
      <c r="G139" s="633"/>
      <c r="H139" s="632"/>
      <c r="I139" s="1341"/>
      <c r="J139" s="2586"/>
      <c r="K139" s="629"/>
      <c r="L139" s="629"/>
      <c r="M139" s="629"/>
      <c r="N139" s="629"/>
      <c r="O139" s="629"/>
      <c r="P139" s="629"/>
      <c r="Q139" s="629"/>
      <c r="R139" s="629"/>
      <c r="S139" s="629"/>
      <c r="T139" s="629"/>
      <c r="U139" s="629"/>
      <c r="V139" s="629"/>
      <c r="W139" s="629"/>
      <c r="X139" s="629"/>
      <c r="Y139" s="629"/>
      <c r="Z139" s="629"/>
      <c r="AA139" s="629"/>
    </row>
    <row r="140" spans="1:27" s="1177" customFormat="1" ht="21.75" customHeight="1">
      <c r="A140" s="1342">
        <v>3</v>
      </c>
      <c r="B140" s="1343"/>
      <c r="C140" s="1343"/>
      <c r="D140" s="633"/>
      <c r="E140" s="633"/>
      <c r="F140" s="28"/>
      <c r="G140" s="28"/>
      <c r="H140" s="28"/>
      <c r="I140" s="28"/>
      <c r="J140" s="2586"/>
      <c r="K140" s="629"/>
      <c r="L140" s="629"/>
      <c r="M140" s="629"/>
      <c r="N140" s="629"/>
      <c r="O140" s="629"/>
      <c r="P140" s="629"/>
      <c r="Q140" s="629"/>
      <c r="R140" s="629"/>
      <c r="S140" s="629"/>
      <c r="T140" s="629"/>
      <c r="U140" s="629"/>
      <c r="V140" s="629"/>
      <c r="W140" s="629"/>
      <c r="X140" s="629"/>
      <c r="Y140" s="629"/>
      <c r="Z140" s="629"/>
      <c r="AA140" s="629"/>
    </row>
    <row r="141" spans="1:27" s="1177" customFormat="1" ht="21.75" customHeight="1">
      <c r="A141" s="1344"/>
      <c r="B141" s="1345"/>
      <c r="C141" s="1345"/>
      <c r="D141" s="1346"/>
      <c r="E141" s="1346"/>
      <c r="F141" s="1346"/>
      <c r="G141" s="1346"/>
      <c r="H141" s="1347"/>
      <c r="I141" s="1348"/>
      <c r="J141" s="2586"/>
      <c r="K141" s="629"/>
      <c r="L141" s="629"/>
      <c r="M141" s="629"/>
      <c r="N141" s="629"/>
      <c r="O141" s="629"/>
      <c r="P141" s="629"/>
      <c r="Q141" s="629"/>
      <c r="R141" s="629"/>
      <c r="S141" s="629"/>
      <c r="T141" s="629"/>
      <c r="U141" s="629"/>
      <c r="V141" s="629"/>
      <c r="W141" s="629"/>
      <c r="X141" s="629"/>
      <c r="Y141" s="629"/>
      <c r="Z141" s="629"/>
      <c r="AA141" s="629"/>
    </row>
    <row r="142" spans="1:27" s="1177" customFormat="1" ht="21.75" customHeight="1">
      <c r="A142" s="1343"/>
      <c r="B142" s="1343"/>
      <c r="C142" s="1343"/>
      <c r="D142" s="633"/>
      <c r="E142" s="633"/>
      <c r="F142" s="633"/>
      <c r="G142" s="633"/>
      <c r="H142" s="632"/>
      <c r="I142" s="629"/>
      <c r="J142" s="2586"/>
      <c r="K142" s="629"/>
      <c r="L142" s="629"/>
      <c r="M142" s="629"/>
      <c r="N142" s="629"/>
      <c r="O142" s="629"/>
      <c r="P142" s="629"/>
      <c r="Q142" s="629"/>
      <c r="R142" s="629"/>
      <c r="S142" s="629"/>
      <c r="T142" s="629"/>
      <c r="U142" s="629"/>
      <c r="V142" s="629"/>
      <c r="W142" s="629"/>
      <c r="X142" s="629"/>
      <c r="Y142" s="629"/>
      <c r="Z142" s="629"/>
      <c r="AA142" s="629"/>
    </row>
    <row r="143" spans="1:27" s="1177" customFormat="1" ht="21.75" customHeight="1">
      <c r="A143" s="629"/>
      <c r="B143" s="629"/>
      <c r="C143" s="629"/>
      <c r="D143" s="629"/>
      <c r="E143" s="629"/>
      <c r="F143" s="1349" t="s">
        <v>1637</v>
      </c>
      <c r="G143" s="1350"/>
      <c r="H143" s="1350"/>
      <c r="I143" s="1351" t="s">
        <v>1638</v>
      </c>
      <c r="J143" s="2587"/>
      <c r="K143" s="629"/>
      <c r="L143" s="629"/>
      <c r="M143" s="629"/>
      <c r="N143" s="629"/>
      <c r="O143" s="629"/>
      <c r="P143" s="629"/>
      <c r="Q143" s="629"/>
      <c r="R143" s="629"/>
      <c r="S143" s="629"/>
      <c r="T143" s="629"/>
      <c r="U143" s="629"/>
      <c r="V143" s="629"/>
      <c r="W143" s="629"/>
      <c r="X143" s="629"/>
      <c r="Y143" s="629"/>
      <c r="Z143" s="629"/>
      <c r="AA143" s="629"/>
    </row>
    <row r="144" spans="1:27" s="1177" customFormat="1" ht="21.75" customHeight="1">
      <c r="A144" s="629"/>
      <c r="B144" s="1352" t="s">
        <v>1639</v>
      </c>
      <c r="C144" s="629"/>
      <c r="D144" s="629"/>
      <c r="E144" s="629"/>
      <c r="F144" s="629"/>
      <c r="G144" s="629"/>
      <c r="H144" s="629"/>
      <c r="I144" s="629"/>
      <c r="J144" s="2586"/>
      <c r="K144" s="629"/>
      <c r="L144" s="629"/>
      <c r="M144" s="629"/>
      <c r="N144" s="629"/>
      <c r="O144" s="629"/>
      <c r="P144" s="629"/>
      <c r="Q144" s="629"/>
      <c r="R144" s="629"/>
      <c r="S144" s="629"/>
      <c r="T144" s="629"/>
      <c r="U144" s="629"/>
      <c r="V144" s="629"/>
      <c r="W144" s="629"/>
      <c r="X144" s="629"/>
      <c r="Y144" s="629"/>
      <c r="Z144" s="629"/>
      <c r="AA144" s="629"/>
    </row>
    <row r="145" spans="1:27" s="1177" customFormat="1" ht="21.75" customHeight="1">
      <c r="A145" s="629"/>
      <c r="B145" s="629"/>
      <c r="C145" s="629"/>
      <c r="D145" s="629"/>
      <c r="E145" s="629"/>
      <c r="F145" s="629"/>
      <c r="G145" s="629"/>
      <c r="H145" s="629"/>
      <c r="I145" s="629"/>
      <c r="J145" s="2586"/>
      <c r="K145" s="629"/>
      <c r="L145" s="629"/>
      <c r="M145" s="629"/>
      <c r="N145" s="629"/>
      <c r="O145" s="629"/>
      <c r="P145" s="629"/>
      <c r="Q145" s="629"/>
      <c r="R145" s="629"/>
      <c r="S145" s="629"/>
      <c r="T145" s="629"/>
      <c r="U145" s="629"/>
      <c r="V145" s="629"/>
      <c r="W145" s="629"/>
      <c r="X145" s="629"/>
      <c r="Y145" s="629"/>
      <c r="Z145" s="629"/>
      <c r="AA145" s="629"/>
    </row>
    <row r="146" spans="1:27" s="1177" customFormat="1" ht="21.75" customHeight="1">
      <c r="A146" s="629"/>
      <c r="B146" s="1350"/>
      <c r="C146" s="1350"/>
      <c r="D146" s="1350"/>
      <c r="E146" s="1350"/>
      <c r="F146" s="1350"/>
      <c r="G146" s="1350"/>
      <c r="H146" s="1350"/>
      <c r="I146" s="1351" t="s">
        <v>1640</v>
      </c>
      <c r="J146" s="2587"/>
      <c r="K146" s="629"/>
      <c r="L146" s="629"/>
      <c r="M146" s="629"/>
      <c r="N146" s="629"/>
      <c r="O146" s="629"/>
      <c r="P146" s="629"/>
      <c r="Q146" s="629"/>
      <c r="R146" s="629"/>
      <c r="S146" s="629"/>
      <c r="T146" s="629"/>
      <c r="U146" s="629"/>
      <c r="V146" s="629"/>
      <c r="W146" s="629"/>
      <c r="X146" s="629"/>
      <c r="Y146" s="629"/>
      <c r="Z146" s="629"/>
      <c r="AA146" s="629"/>
    </row>
    <row r="147" spans="1:27" s="1177" customFormat="1" ht="21.75" customHeight="1">
      <c r="A147" s="629"/>
      <c r="B147" s="1352" t="s">
        <v>1641</v>
      </c>
      <c r="C147" s="629"/>
      <c r="D147" s="629"/>
      <c r="E147" s="629"/>
      <c r="F147" s="629"/>
      <c r="G147" s="629"/>
      <c r="H147" s="629"/>
      <c r="I147" s="629"/>
      <c r="J147" s="2586"/>
      <c r="K147" s="629"/>
      <c r="L147" s="629"/>
      <c r="M147" s="629"/>
      <c r="N147" s="629"/>
      <c r="O147" s="629"/>
      <c r="P147" s="629"/>
      <c r="Q147" s="629"/>
      <c r="R147" s="629"/>
      <c r="S147" s="629"/>
      <c r="T147" s="629"/>
      <c r="U147" s="629"/>
      <c r="V147" s="629"/>
      <c r="W147" s="629"/>
      <c r="X147" s="629"/>
      <c r="Y147" s="629"/>
      <c r="Z147" s="629"/>
      <c r="AA147" s="629"/>
    </row>
    <row r="148" spans="1:27" s="1177" customFormat="1" ht="21.75" customHeight="1">
      <c r="A148" s="629"/>
      <c r="B148" s="1352"/>
      <c r="C148" s="629"/>
      <c r="D148" s="629"/>
      <c r="E148" s="629"/>
      <c r="F148" s="629"/>
      <c r="G148" s="629"/>
      <c r="H148" s="629"/>
      <c r="I148" s="629"/>
      <c r="J148" s="2586"/>
      <c r="K148" s="629"/>
      <c r="L148" s="629"/>
      <c r="M148" s="629"/>
      <c r="N148" s="629"/>
      <c r="O148" s="629"/>
      <c r="P148" s="629"/>
      <c r="Q148" s="629"/>
      <c r="R148" s="629"/>
      <c r="S148" s="629"/>
      <c r="T148" s="629"/>
      <c r="U148" s="629"/>
      <c r="V148" s="629"/>
      <c r="W148" s="629"/>
      <c r="X148" s="629"/>
      <c r="Y148" s="629"/>
      <c r="Z148" s="629"/>
      <c r="AA148" s="629"/>
    </row>
    <row r="149" spans="1:27" s="1177" customFormat="1" ht="21.75" customHeight="1">
      <c r="A149" s="629"/>
      <c r="B149" s="1350"/>
      <c r="C149" s="1350"/>
      <c r="D149" s="1350"/>
      <c r="E149" s="1350"/>
      <c r="F149" s="1350"/>
      <c r="G149" s="1350"/>
      <c r="H149" s="1350"/>
      <c r="I149" s="1351" t="s">
        <v>1640</v>
      </c>
      <c r="J149" s="2587"/>
      <c r="K149" s="629"/>
      <c r="L149" s="629"/>
      <c r="M149" s="629"/>
      <c r="N149" s="629"/>
      <c r="O149" s="629"/>
      <c r="P149" s="629"/>
      <c r="Q149" s="629"/>
      <c r="R149" s="629"/>
      <c r="S149" s="629"/>
      <c r="T149" s="629"/>
      <c r="U149" s="629"/>
      <c r="V149" s="629"/>
      <c r="W149" s="629"/>
      <c r="X149" s="629"/>
      <c r="Y149" s="629"/>
      <c r="Z149" s="629"/>
      <c r="AA149" s="629"/>
    </row>
    <row r="150" spans="1:27" s="1177" customFormat="1" ht="21.75" customHeight="1">
      <c r="A150" s="629"/>
      <c r="B150" s="1352"/>
      <c r="C150" s="1353"/>
      <c r="D150" s="1354"/>
      <c r="E150" s="1354"/>
      <c r="F150" s="1355"/>
      <c r="G150" s="629"/>
      <c r="H150" s="629"/>
      <c r="I150" s="629"/>
      <c r="J150" s="2586"/>
      <c r="K150" s="629"/>
      <c r="L150" s="629"/>
      <c r="M150" s="629"/>
      <c r="N150" s="629"/>
      <c r="O150" s="629"/>
      <c r="P150" s="629"/>
      <c r="Q150" s="629"/>
      <c r="R150" s="629"/>
      <c r="S150" s="629"/>
      <c r="T150" s="629"/>
      <c r="U150" s="629"/>
      <c r="V150" s="629"/>
      <c r="W150" s="629"/>
      <c r="X150" s="629"/>
      <c r="Y150" s="629"/>
      <c r="Z150" s="629"/>
      <c r="AA150" s="629"/>
    </row>
    <row r="151" spans="1:27" s="629" customFormat="1" ht="21.75" customHeight="1">
      <c r="B151" s="1352"/>
      <c r="C151" s="1353"/>
      <c r="D151" s="1354"/>
      <c r="E151" s="1354"/>
      <c r="J151" s="2586"/>
    </row>
    <row r="152" spans="1:27" s="629" customFormat="1" ht="21.75" customHeight="1">
      <c r="J152" s="2586"/>
    </row>
    <row r="153" spans="1:27" s="629" customFormat="1" ht="21.75" customHeight="1">
      <c r="J153" s="2586"/>
    </row>
    <row r="154" spans="1:27" s="629" customFormat="1" ht="21.75" customHeight="1">
      <c r="J154" s="2586"/>
    </row>
    <row r="155" spans="1:27" s="629" customFormat="1" ht="21.75" customHeight="1">
      <c r="J155" s="2586"/>
    </row>
    <row r="156" spans="1:27" s="629" customFormat="1" ht="21.75" customHeight="1">
      <c r="J156" s="2586"/>
    </row>
    <row r="157" spans="1:27" s="629" customFormat="1" ht="21.75" customHeight="1">
      <c r="J157" s="2586"/>
    </row>
    <row r="158" spans="1:27" s="629" customFormat="1" ht="21.75" customHeight="1">
      <c r="J158" s="2586"/>
    </row>
    <row r="159" spans="1:27" s="629" customFormat="1" ht="21.75" customHeight="1">
      <c r="J159" s="2586"/>
    </row>
    <row r="160" spans="1:27" s="629" customFormat="1" ht="21.75" customHeight="1">
      <c r="J160" s="2586"/>
    </row>
    <row r="161" spans="10:10" s="629" customFormat="1" ht="21.75" customHeight="1">
      <c r="J161" s="2586"/>
    </row>
    <row r="162" spans="10:10" s="629" customFormat="1" ht="21.75" customHeight="1">
      <c r="J162" s="2586"/>
    </row>
    <row r="163" spans="10:10" s="629" customFormat="1" ht="21.75" customHeight="1">
      <c r="J163" s="2586"/>
    </row>
    <row r="164" spans="10:10" s="629" customFormat="1" ht="21.75" customHeight="1">
      <c r="J164" s="2586"/>
    </row>
    <row r="165" spans="10:10" s="629" customFormat="1" ht="21.75" customHeight="1">
      <c r="J165" s="2586"/>
    </row>
    <row r="166" spans="10:10" s="629" customFormat="1" ht="21.75" customHeight="1">
      <c r="J166" s="2586"/>
    </row>
    <row r="167" spans="10:10" s="629" customFormat="1" ht="21.75" customHeight="1">
      <c r="J167" s="2586"/>
    </row>
    <row r="168" spans="10:10" s="629" customFormat="1" ht="21.75" customHeight="1">
      <c r="J168" s="2586"/>
    </row>
    <row r="169" spans="10:10" s="629" customFormat="1" ht="21.75" customHeight="1">
      <c r="J169" s="2586"/>
    </row>
    <row r="170" spans="10:10" s="629" customFormat="1" ht="21.75" customHeight="1">
      <c r="J170" s="2586"/>
    </row>
    <row r="171" spans="10:10" s="629" customFormat="1" ht="21.75" customHeight="1">
      <c r="J171" s="2586"/>
    </row>
    <row r="172" spans="10:10" s="629" customFormat="1" ht="21.75" customHeight="1">
      <c r="J172" s="2586"/>
    </row>
    <row r="173" spans="10:10" s="629" customFormat="1" ht="21.75" customHeight="1">
      <c r="J173" s="2586"/>
    </row>
    <row r="174" spans="10:10" s="629" customFormat="1" ht="21.75" customHeight="1">
      <c r="J174" s="2586"/>
    </row>
    <row r="175" spans="10:10" s="629" customFormat="1" ht="21.75" customHeight="1">
      <c r="J175" s="2586"/>
    </row>
    <row r="176" spans="10:10" s="629" customFormat="1" ht="21.75" customHeight="1">
      <c r="J176" s="2586"/>
    </row>
    <row r="177" spans="10:10" s="629" customFormat="1" ht="21.75" customHeight="1">
      <c r="J177" s="2586"/>
    </row>
    <row r="178" spans="10:10" s="629" customFormat="1" ht="21.75" customHeight="1">
      <c r="J178" s="2586"/>
    </row>
    <row r="179" spans="10:10" s="629" customFormat="1" ht="21.75" customHeight="1">
      <c r="J179" s="2586"/>
    </row>
    <row r="180" spans="10:10" s="629" customFormat="1" ht="21.75" customHeight="1">
      <c r="J180" s="2586"/>
    </row>
    <row r="181" spans="10:10" s="629" customFormat="1" ht="21.75" customHeight="1">
      <c r="J181" s="2586"/>
    </row>
    <row r="182" spans="10:10" s="629" customFormat="1" ht="21.75" customHeight="1">
      <c r="J182" s="2586"/>
    </row>
    <row r="183" spans="10:10" s="629" customFormat="1" ht="21.75" customHeight="1">
      <c r="J183" s="2586"/>
    </row>
    <row r="184" spans="10:10" s="629" customFormat="1" ht="21.75" customHeight="1">
      <c r="J184" s="2586"/>
    </row>
    <row r="185" spans="10:10" s="629" customFormat="1" ht="21.75" customHeight="1">
      <c r="J185" s="2586"/>
    </row>
    <row r="186" spans="10:10" s="629" customFormat="1" ht="21.75" customHeight="1">
      <c r="J186" s="2586"/>
    </row>
    <row r="187" spans="10:10" s="629" customFormat="1" ht="21.75" customHeight="1">
      <c r="J187" s="2586"/>
    </row>
    <row r="188" spans="10:10" s="629" customFormat="1" ht="21.75" customHeight="1">
      <c r="J188" s="2586"/>
    </row>
    <row r="189" spans="10:10" s="629" customFormat="1" ht="21.75" customHeight="1">
      <c r="J189" s="2586"/>
    </row>
    <row r="190" spans="10:10" s="629" customFormat="1" ht="21.75" customHeight="1">
      <c r="J190" s="2586"/>
    </row>
    <row r="191" spans="10:10" s="629" customFormat="1" ht="21.75" customHeight="1">
      <c r="J191" s="2586"/>
    </row>
    <row r="192" spans="10:10" s="629" customFormat="1" ht="21.75" customHeight="1">
      <c r="J192" s="2586"/>
    </row>
    <row r="193" spans="10:10" s="629" customFormat="1" ht="21.75" customHeight="1">
      <c r="J193" s="2586"/>
    </row>
    <row r="194" spans="10:10" s="629" customFormat="1" ht="21.75" customHeight="1">
      <c r="J194" s="2586"/>
    </row>
    <row r="195" spans="10:10" s="629" customFormat="1" ht="21.75" customHeight="1">
      <c r="J195" s="2586"/>
    </row>
    <row r="196" spans="10:10" s="629" customFormat="1" ht="21.75" customHeight="1">
      <c r="J196" s="2586"/>
    </row>
    <row r="197" spans="10:10" s="629" customFormat="1" ht="21.75" customHeight="1">
      <c r="J197" s="2586"/>
    </row>
    <row r="198" spans="10:10" s="629" customFormat="1" ht="21.75" customHeight="1">
      <c r="J198" s="2586"/>
    </row>
    <row r="199" spans="10:10" s="629" customFormat="1" ht="21.75" customHeight="1">
      <c r="J199" s="2586"/>
    </row>
    <row r="200" spans="10:10" s="629" customFormat="1" ht="21.75" customHeight="1">
      <c r="J200" s="2586"/>
    </row>
    <row r="201" spans="10:10" s="629" customFormat="1" ht="21.75" customHeight="1">
      <c r="J201" s="2586"/>
    </row>
    <row r="202" spans="10:10" s="629" customFormat="1" ht="21.75" customHeight="1">
      <c r="J202" s="2586"/>
    </row>
    <row r="203" spans="10:10" s="629" customFormat="1" ht="21.75" customHeight="1">
      <c r="J203" s="2586"/>
    </row>
    <row r="204" spans="10:10" s="629" customFormat="1" ht="21.75" customHeight="1">
      <c r="J204" s="2586"/>
    </row>
    <row r="205" spans="10:10" s="629" customFormat="1" ht="21.75" customHeight="1">
      <c r="J205" s="2586"/>
    </row>
    <row r="206" spans="10:10" s="629" customFormat="1" ht="21.75" customHeight="1">
      <c r="J206" s="2586"/>
    </row>
    <row r="207" spans="10:10" s="629" customFormat="1" ht="21.75" customHeight="1">
      <c r="J207" s="2586"/>
    </row>
    <row r="208" spans="10:10" s="629" customFormat="1" ht="21.75" customHeight="1">
      <c r="J208" s="2586"/>
    </row>
    <row r="209" spans="10:10" s="629" customFormat="1" ht="21.75" customHeight="1">
      <c r="J209" s="2586"/>
    </row>
    <row r="210" spans="10:10" s="629" customFormat="1" ht="21.75" customHeight="1">
      <c r="J210" s="2586"/>
    </row>
    <row r="211" spans="10:10" s="629" customFormat="1" ht="21.75" customHeight="1">
      <c r="J211" s="2586"/>
    </row>
    <row r="212" spans="10:10" s="629" customFormat="1" ht="21.75" customHeight="1">
      <c r="J212" s="2586"/>
    </row>
    <row r="213" spans="10:10" s="629" customFormat="1" ht="21.75" customHeight="1">
      <c r="J213" s="2586"/>
    </row>
    <row r="214" spans="10:10" s="629" customFormat="1" ht="21.75" customHeight="1">
      <c r="J214" s="2586"/>
    </row>
    <row r="215" spans="10:10" s="629" customFormat="1" ht="21.75" customHeight="1">
      <c r="J215" s="2586"/>
    </row>
    <row r="216" spans="10:10" s="629" customFormat="1" ht="21.75" customHeight="1">
      <c r="J216" s="2586"/>
    </row>
    <row r="217" spans="10:10" s="629" customFormat="1" ht="21.75" customHeight="1">
      <c r="J217" s="2586"/>
    </row>
    <row r="218" spans="10:10" s="629" customFormat="1" ht="21.75" customHeight="1">
      <c r="J218" s="2586"/>
    </row>
    <row r="219" spans="10:10" s="629" customFormat="1" ht="21.75" customHeight="1">
      <c r="J219" s="2586"/>
    </row>
    <row r="220" spans="10:10" s="629" customFormat="1" ht="21.75" customHeight="1">
      <c r="J220" s="2586"/>
    </row>
    <row r="221" spans="10:10" s="629" customFormat="1" ht="21.75" customHeight="1">
      <c r="J221" s="2586"/>
    </row>
    <row r="222" spans="10:10" s="629" customFormat="1" ht="21.75" customHeight="1">
      <c r="J222" s="2586"/>
    </row>
    <row r="223" spans="10:10" s="629" customFormat="1" ht="21.75" customHeight="1">
      <c r="J223" s="2586"/>
    </row>
    <row r="224" spans="10:10" s="629" customFormat="1" ht="21.75" customHeight="1">
      <c r="J224" s="2586"/>
    </row>
    <row r="225" spans="10:10" s="629" customFormat="1" ht="21.75" customHeight="1">
      <c r="J225" s="2586"/>
    </row>
    <row r="226" spans="10:10" s="629" customFormat="1" ht="21.75" customHeight="1">
      <c r="J226" s="2586"/>
    </row>
    <row r="227" spans="10:10" s="629" customFormat="1" ht="21.75" customHeight="1">
      <c r="J227" s="2586"/>
    </row>
    <row r="228" spans="10:10" s="629" customFormat="1" ht="21.75" customHeight="1">
      <c r="J228" s="2586"/>
    </row>
    <row r="229" spans="10:10" s="629" customFormat="1" ht="21.75" customHeight="1">
      <c r="J229" s="2586"/>
    </row>
    <row r="230" spans="10:10" s="629" customFormat="1" ht="21.75" customHeight="1">
      <c r="J230" s="2586"/>
    </row>
    <row r="231" spans="10:10" s="629" customFormat="1" ht="21.75" customHeight="1">
      <c r="J231" s="2586"/>
    </row>
    <row r="232" spans="10:10" s="629" customFormat="1" ht="21.75" customHeight="1">
      <c r="J232" s="2586"/>
    </row>
    <row r="233" spans="10:10" s="629" customFormat="1" ht="21.75" customHeight="1">
      <c r="J233" s="2586"/>
    </row>
    <row r="234" spans="10:10" s="629" customFormat="1" ht="21.75" customHeight="1">
      <c r="J234" s="2586"/>
    </row>
    <row r="235" spans="10:10" s="629" customFormat="1" ht="21.75" customHeight="1">
      <c r="J235" s="2586"/>
    </row>
    <row r="236" spans="10:10" s="629" customFormat="1" ht="21.75" customHeight="1">
      <c r="J236" s="2586"/>
    </row>
    <row r="237" spans="10:10" s="629" customFormat="1" ht="21.75" customHeight="1">
      <c r="J237" s="2586"/>
    </row>
    <row r="238" spans="10:10" s="629" customFormat="1" ht="21.75" customHeight="1">
      <c r="J238" s="2586"/>
    </row>
    <row r="239" spans="10:10" s="629" customFormat="1" ht="21.75" customHeight="1">
      <c r="J239" s="2586"/>
    </row>
    <row r="240" spans="10:10" s="629" customFormat="1" ht="21.75" customHeight="1">
      <c r="J240" s="2586"/>
    </row>
    <row r="241" spans="10:10" s="629" customFormat="1" ht="21.75" customHeight="1">
      <c r="J241" s="2586"/>
    </row>
    <row r="242" spans="10:10" s="629" customFormat="1" ht="21.75" customHeight="1">
      <c r="J242" s="2586"/>
    </row>
    <row r="243" spans="10:10" s="629" customFormat="1" ht="21.75" customHeight="1">
      <c r="J243" s="2586"/>
    </row>
    <row r="244" spans="10:10" s="629" customFormat="1" ht="21.75" customHeight="1">
      <c r="J244" s="2586"/>
    </row>
    <row r="245" spans="10:10" s="629" customFormat="1" ht="21.75" customHeight="1">
      <c r="J245" s="2586"/>
    </row>
    <row r="246" spans="10:10" s="629" customFormat="1" ht="21.75" customHeight="1">
      <c r="J246" s="2586"/>
    </row>
    <row r="247" spans="10:10" s="629" customFormat="1" ht="21.75" customHeight="1">
      <c r="J247" s="2586"/>
    </row>
    <row r="248" spans="10:10" s="629" customFormat="1" ht="21.75" customHeight="1">
      <c r="J248" s="2586"/>
    </row>
    <row r="249" spans="10:10" s="629" customFormat="1" ht="21.75" customHeight="1">
      <c r="J249" s="2586"/>
    </row>
    <row r="250" spans="10:10" s="629" customFormat="1" ht="21.75" customHeight="1">
      <c r="J250" s="2586"/>
    </row>
    <row r="251" spans="10:10" s="629" customFormat="1" ht="21.75" customHeight="1">
      <c r="J251" s="2586"/>
    </row>
    <row r="252" spans="10:10" s="629" customFormat="1" ht="21.75" customHeight="1">
      <c r="J252" s="2586"/>
    </row>
    <row r="253" spans="10:10" s="629" customFormat="1" ht="21.75" customHeight="1">
      <c r="J253" s="2586"/>
    </row>
    <row r="254" spans="10:10" s="629" customFormat="1" ht="21.75" customHeight="1">
      <c r="J254" s="2586"/>
    </row>
    <row r="255" spans="10:10" s="629" customFormat="1" ht="21.75" customHeight="1">
      <c r="J255" s="2586"/>
    </row>
    <row r="256" spans="10:10" s="629" customFormat="1" ht="21.75" customHeight="1">
      <c r="J256" s="2586"/>
    </row>
    <row r="257" spans="10:10" s="629" customFormat="1" ht="21.75" customHeight="1">
      <c r="J257" s="2586"/>
    </row>
    <row r="258" spans="10:10" s="629" customFormat="1" ht="21.75" customHeight="1">
      <c r="J258" s="2586"/>
    </row>
    <row r="259" spans="10:10" s="629" customFormat="1" ht="21.75" customHeight="1">
      <c r="J259" s="2586"/>
    </row>
    <row r="260" spans="10:10" s="629" customFormat="1" ht="21.75" customHeight="1">
      <c r="J260" s="2586"/>
    </row>
    <row r="261" spans="10:10" s="629" customFormat="1" ht="21.75" customHeight="1">
      <c r="J261" s="2586"/>
    </row>
    <row r="262" spans="10:10" s="629" customFormat="1" ht="21.75" customHeight="1">
      <c r="J262" s="2586"/>
    </row>
    <row r="263" spans="10:10" s="629" customFormat="1" ht="21.75" customHeight="1">
      <c r="J263" s="2586"/>
    </row>
    <row r="264" spans="10:10" s="629" customFormat="1" ht="21.75" customHeight="1">
      <c r="J264" s="2586"/>
    </row>
    <row r="265" spans="10:10" s="629" customFormat="1" ht="21.75" customHeight="1">
      <c r="J265" s="2586"/>
    </row>
    <row r="266" spans="10:10" s="629" customFormat="1" ht="21.75" customHeight="1">
      <c r="J266" s="2586"/>
    </row>
    <row r="267" spans="10:10" s="629" customFormat="1" ht="21.75" customHeight="1">
      <c r="J267" s="2586"/>
    </row>
    <row r="268" spans="10:10" s="629" customFormat="1" ht="21.75" customHeight="1">
      <c r="J268" s="2586"/>
    </row>
    <row r="269" spans="10:10" s="629" customFormat="1" ht="21.75" customHeight="1">
      <c r="J269" s="2586"/>
    </row>
    <row r="270" spans="10:10" s="629" customFormat="1" ht="21.75" customHeight="1">
      <c r="J270" s="2586"/>
    </row>
    <row r="271" spans="10:10" s="629" customFormat="1" ht="21.75" customHeight="1">
      <c r="J271" s="2586"/>
    </row>
    <row r="272" spans="10:10" s="629" customFormat="1" ht="21.75" customHeight="1">
      <c r="J272" s="2586"/>
    </row>
    <row r="273" spans="10:10" s="629" customFormat="1" ht="21.75" customHeight="1">
      <c r="J273" s="2586"/>
    </row>
    <row r="274" spans="10:10" s="629" customFormat="1" ht="21.75" customHeight="1">
      <c r="J274" s="2586"/>
    </row>
    <row r="275" spans="10:10" s="629" customFormat="1" ht="21.75" customHeight="1">
      <c r="J275" s="2586"/>
    </row>
    <row r="276" spans="10:10" s="629" customFormat="1" ht="21.75" customHeight="1">
      <c r="J276" s="2586"/>
    </row>
    <row r="277" spans="10:10" s="629" customFormat="1" ht="21.75" customHeight="1">
      <c r="J277" s="2586"/>
    </row>
    <row r="278" spans="10:10" s="629" customFormat="1" ht="21.75" customHeight="1">
      <c r="J278" s="2586"/>
    </row>
    <row r="279" spans="10:10" s="629" customFormat="1" ht="21.75" customHeight="1">
      <c r="J279" s="2586"/>
    </row>
    <row r="280" spans="10:10" s="629" customFormat="1" ht="21.75" customHeight="1">
      <c r="J280" s="2586"/>
    </row>
    <row r="281" spans="10:10" s="629" customFormat="1" ht="21.75" customHeight="1">
      <c r="J281" s="2586"/>
    </row>
    <row r="282" spans="10:10" s="629" customFormat="1" ht="21.75" customHeight="1">
      <c r="J282" s="2586"/>
    </row>
    <row r="283" spans="10:10" s="629" customFormat="1" ht="21.75" customHeight="1">
      <c r="J283" s="2586"/>
    </row>
    <row r="284" spans="10:10" s="629" customFormat="1" ht="21.75" customHeight="1">
      <c r="J284" s="2586"/>
    </row>
    <row r="285" spans="10:10" s="629" customFormat="1" ht="21.75" customHeight="1">
      <c r="J285" s="2586"/>
    </row>
    <row r="286" spans="10:10" s="629" customFormat="1" ht="21.75" customHeight="1">
      <c r="J286" s="2586"/>
    </row>
    <row r="287" spans="10:10" s="629" customFormat="1" ht="21.75" customHeight="1">
      <c r="J287" s="2586"/>
    </row>
    <row r="288" spans="10:10" s="629" customFormat="1" ht="21.75" customHeight="1">
      <c r="J288" s="2586"/>
    </row>
    <row r="289" spans="10:10" s="629" customFormat="1" ht="21.75" customHeight="1">
      <c r="J289" s="2586"/>
    </row>
    <row r="290" spans="10:10" s="629" customFormat="1" ht="21.75" customHeight="1">
      <c r="J290" s="2586"/>
    </row>
    <row r="291" spans="10:10" s="629" customFormat="1" ht="21.75" customHeight="1">
      <c r="J291" s="2586"/>
    </row>
    <row r="292" spans="10:10" s="629" customFormat="1" ht="21.75" customHeight="1">
      <c r="J292" s="2586"/>
    </row>
    <row r="293" spans="10:10" s="629" customFormat="1" ht="21.75" customHeight="1">
      <c r="J293" s="2586"/>
    </row>
    <row r="294" spans="10:10" s="629" customFormat="1" ht="21.75" customHeight="1">
      <c r="J294" s="2586"/>
    </row>
    <row r="295" spans="10:10" s="629" customFormat="1" ht="21.75" customHeight="1">
      <c r="J295" s="2586"/>
    </row>
    <row r="296" spans="10:10" s="629" customFormat="1" ht="21.75" customHeight="1">
      <c r="J296" s="2586"/>
    </row>
    <row r="297" spans="10:10" s="629" customFormat="1" ht="21.75" customHeight="1">
      <c r="J297" s="2586"/>
    </row>
    <row r="298" spans="10:10" s="629" customFormat="1" ht="21.75" customHeight="1">
      <c r="J298" s="2586"/>
    </row>
    <row r="299" spans="10:10" s="629" customFormat="1" ht="21.75" customHeight="1">
      <c r="J299" s="2586"/>
    </row>
    <row r="300" spans="10:10" s="629" customFormat="1" ht="21.75" customHeight="1">
      <c r="J300" s="2586"/>
    </row>
    <row r="301" spans="10:10" s="629" customFormat="1" ht="21.75" customHeight="1">
      <c r="J301" s="2586"/>
    </row>
    <row r="302" spans="10:10" s="629" customFormat="1" ht="21.75" customHeight="1">
      <c r="J302" s="2586"/>
    </row>
    <row r="303" spans="10:10" s="629" customFormat="1" ht="21.75" customHeight="1">
      <c r="J303" s="2586"/>
    </row>
    <row r="304" spans="10:10" s="629" customFormat="1" ht="21.75" customHeight="1">
      <c r="J304" s="2586"/>
    </row>
    <row r="305" spans="10:10" s="629" customFormat="1" ht="21.75" customHeight="1">
      <c r="J305" s="2586"/>
    </row>
    <row r="306" spans="10:10" s="629" customFormat="1" ht="21.75" customHeight="1">
      <c r="J306" s="2586"/>
    </row>
    <row r="307" spans="10:10" s="629" customFormat="1" ht="21.75" customHeight="1">
      <c r="J307" s="2586"/>
    </row>
    <row r="308" spans="10:10" s="629" customFormat="1" ht="21.75" customHeight="1">
      <c r="J308" s="2586"/>
    </row>
    <row r="309" spans="10:10" s="629" customFormat="1" ht="21.75" customHeight="1">
      <c r="J309" s="2586"/>
    </row>
    <row r="310" spans="10:10" s="629" customFormat="1" ht="21.75" customHeight="1">
      <c r="J310" s="2586"/>
    </row>
    <row r="311" spans="10:10" s="629" customFormat="1" ht="21.75" customHeight="1">
      <c r="J311" s="2586"/>
    </row>
    <row r="312" spans="10:10" s="629" customFormat="1" ht="21.75" customHeight="1">
      <c r="J312" s="2586"/>
    </row>
    <row r="313" spans="10:10" s="629" customFormat="1" ht="21.75" customHeight="1">
      <c r="J313" s="2586"/>
    </row>
    <row r="314" spans="10:10" s="629" customFormat="1" ht="21.75" customHeight="1">
      <c r="J314" s="2586"/>
    </row>
    <row r="315" spans="10:10" s="629" customFormat="1" ht="21.75" customHeight="1">
      <c r="J315" s="2586"/>
    </row>
    <row r="316" spans="10:10" s="629" customFormat="1" ht="21.75" customHeight="1">
      <c r="J316" s="2586"/>
    </row>
    <row r="317" spans="10:10" s="629" customFormat="1" ht="21.75" customHeight="1">
      <c r="J317" s="2586"/>
    </row>
    <row r="318" spans="10:10" s="629" customFormat="1" ht="21.75" customHeight="1">
      <c r="J318" s="2586"/>
    </row>
    <row r="319" spans="10:10" s="629" customFormat="1" ht="21.75" customHeight="1">
      <c r="J319" s="2586"/>
    </row>
    <row r="320" spans="10:10" s="629" customFormat="1" ht="21.75" customHeight="1">
      <c r="J320" s="2586"/>
    </row>
    <row r="321" spans="10:10" s="629" customFormat="1" ht="21.75" customHeight="1">
      <c r="J321" s="2586"/>
    </row>
    <row r="322" spans="10:10" s="629" customFormat="1" ht="21.75" customHeight="1">
      <c r="J322" s="2586"/>
    </row>
    <row r="323" spans="10:10" s="629" customFormat="1" ht="21.75" customHeight="1">
      <c r="J323" s="2586"/>
    </row>
    <row r="324" spans="10:10" s="629" customFormat="1" ht="21.75" customHeight="1">
      <c r="J324" s="2586"/>
    </row>
    <row r="325" spans="10:10" s="629" customFormat="1" ht="21.75" customHeight="1">
      <c r="J325" s="2586"/>
    </row>
    <row r="326" spans="10:10" s="629" customFormat="1" ht="21.75" customHeight="1">
      <c r="J326" s="2586"/>
    </row>
    <row r="327" spans="10:10" s="629" customFormat="1" ht="21.75" customHeight="1">
      <c r="J327" s="2586"/>
    </row>
    <row r="328" spans="10:10" s="629" customFormat="1" ht="21.75" customHeight="1">
      <c r="J328" s="2586"/>
    </row>
    <row r="329" spans="10:10" s="629" customFormat="1" ht="21.75" customHeight="1">
      <c r="J329" s="2586"/>
    </row>
    <row r="330" spans="10:10" s="629" customFormat="1" ht="21.75" customHeight="1">
      <c r="J330" s="2586"/>
    </row>
    <row r="331" spans="10:10" s="629" customFormat="1" ht="21.75" customHeight="1">
      <c r="J331" s="2586"/>
    </row>
    <row r="332" spans="10:10" s="629" customFormat="1" ht="21.75" customHeight="1">
      <c r="J332" s="2586"/>
    </row>
    <row r="333" spans="10:10" s="629" customFormat="1" ht="21.75" customHeight="1">
      <c r="J333" s="2586"/>
    </row>
    <row r="334" spans="10:10" s="629" customFormat="1" ht="21.75" customHeight="1">
      <c r="J334" s="2586"/>
    </row>
    <row r="335" spans="10:10" s="629" customFormat="1" ht="21.75" customHeight="1">
      <c r="J335" s="2586"/>
    </row>
    <row r="336" spans="10:10" s="629" customFormat="1" ht="21.75" customHeight="1">
      <c r="J336" s="2586"/>
    </row>
    <row r="337" spans="10:10" s="629" customFormat="1" ht="21.75" customHeight="1">
      <c r="J337" s="2586"/>
    </row>
    <row r="338" spans="10:10" s="629" customFormat="1" ht="21.75" customHeight="1">
      <c r="J338" s="2586"/>
    </row>
    <row r="339" spans="10:10" s="629" customFormat="1" ht="21.75" customHeight="1">
      <c r="J339" s="2586"/>
    </row>
    <row r="340" spans="10:10" s="629" customFormat="1" ht="21.75" customHeight="1">
      <c r="J340" s="2586"/>
    </row>
    <row r="341" spans="10:10" s="629" customFormat="1" ht="21.75" customHeight="1">
      <c r="J341" s="2586"/>
    </row>
    <row r="342" spans="10:10" s="629" customFormat="1" ht="21.75" customHeight="1">
      <c r="J342" s="2586"/>
    </row>
    <row r="343" spans="10:10" s="629" customFormat="1" ht="21.75" customHeight="1">
      <c r="J343" s="2586"/>
    </row>
    <row r="344" spans="10:10" s="629" customFormat="1" ht="21.75" customHeight="1">
      <c r="J344" s="2586"/>
    </row>
    <row r="345" spans="10:10" s="629" customFormat="1" ht="21.75" customHeight="1">
      <c r="J345" s="2586"/>
    </row>
    <row r="346" spans="10:10" s="629" customFormat="1" ht="21.75" customHeight="1">
      <c r="J346" s="2586"/>
    </row>
    <row r="347" spans="10:10" s="629" customFormat="1" ht="21.75" customHeight="1">
      <c r="J347" s="2586"/>
    </row>
    <row r="348" spans="10:10" s="629" customFormat="1" ht="21.75" customHeight="1">
      <c r="J348" s="2586"/>
    </row>
    <row r="349" spans="10:10" s="629" customFormat="1" ht="21.75" customHeight="1">
      <c r="J349" s="2586"/>
    </row>
    <row r="350" spans="10:10" s="629" customFormat="1" ht="21.75" customHeight="1">
      <c r="J350" s="2586"/>
    </row>
    <row r="351" spans="10:10" s="629" customFormat="1" ht="21.75" customHeight="1">
      <c r="J351" s="2586"/>
    </row>
    <row r="352" spans="10:10" s="629" customFormat="1" ht="21.75" customHeight="1">
      <c r="J352" s="2586"/>
    </row>
    <row r="353" spans="10:10" s="629" customFormat="1" ht="21.75" customHeight="1">
      <c r="J353" s="2586"/>
    </row>
    <row r="354" spans="10:10" s="629" customFormat="1" ht="21.75" customHeight="1">
      <c r="J354" s="2586"/>
    </row>
    <row r="355" spans="10:10" s="629" customFormat="1" ht="21.75" customHeight="1">
      <c r="J355" s="2586"/>
    </row>
    <row r="356" spans="10:10" s="629" customFormat="1" ht="21.75" customHeight="1">
      <c r="J356" s="2586"/>
    </row>
    <row r="357" spans="10:10" s="629" customFormat="1" ht="21.75" customHeight="1">
      <c r="J357" s="2586"/>
    </row>
    <row r="358" spans="10:10" s="629" customFormat="1" ht="21.75" customHeight="1">
      <c r="J358" s="2586"/>
    </row>
    <row r="359" spans="10:10" s="629" customFormat="1" ht="21.75" customHeight="1">
      <c r="J359" s="2586"/>
    </row>
    <row r="360" spans="10:10" s="629" customFormat="1" ht="21.75" customHeight="1">
      <c r="J360" s="2586"/>
    </row>
    <row r="361" spans="10:10" s="629" customFormat="1" ht="21.75" customHeight="1">
      <c r="J361" s="2586"/>
    </row>
    <row r="362" spans="10:10" s="629" customFormat="1" ht="21.75" customHeight="1">
      <c r="J362" s="2586"/>
    </row>
    <row r="363" spans="10:10" s="629" customFormat="1" ht="21.75" customHeight="1">
      <c r="J363" s="2586"/>
    </row>
    <row r="364" spans="10:10" s="629" customFormat="1" ht="21.75" customHeight="1">
      <c r="J364" s="2586"/>
    </row>
    <row r="365" spans="10:10" s="629" customFormat="1" ht="21.75" customHeight="1">
      <c r="J365" s="2586"/>
    </row>
    <row r="366" spans="10:10" s="629" customFormat="1" ht="21.75" customHeight="1">
      <c r="J366" s="2586"/>
    </row>
    <row r="367" spans="10:10" s="629" customFormat="1" ht="21.75" customHeight="1">
      <c r="J367" s="2586"/>
    </row>
    <row r="368" spans="10:10" s="629" customFormat="1" ht="21.75" customHeight="1">
      <c r="J368" s="2586"/>
    </row>
    <row r="369" spans="10:27" s="629" customFormat="1" ht="21.75" customHeight="1">
      <c r="J369" s="2586"/>
    </row>
    <row r="370" spans="10:27" s="629" customFormat="1" ht="21.75" customHeight="1">
      <c r="J370" s="2586"/>
    </row>
    <row r="371" spans="10:27" s="629" customFormat="1" ht="21.75" customHeight="1">
      <c r="J371" s="2586"/>
    </row>
    <row r="372" spans="10:27" s="629" customFormat="1" ht="21.75" customHeight="1">
      <c r="J372" s="2586"/>
    </row>
    <row r="373" spans="10:27" s="629" customFormat="1" ht="21.75" customHeight="1">
      <c r="J373" s="2586"/>
    </row>
    <row r="374" spans="10:27" s="629" customFormat="1" ht="21.75" customHeight="1">
      <c r="J374" s="2586"/>
    </row>
    <row r="375" spans="10:27" s="629" customFormat="1" ht="21.75" customHeight="1">
      <c r="J375" s="2586"/>
    </row>
    <row r="376" spans="10:27" s="629" customFormat="1" ht="21.75" customHeight="1">
      <c r="J376" s="2586"/>
    </row>
    <row r="377" spans="10:27" s="629" customFormat="1" ht="21.75" customHeight="1">
      <c r="J377" s="2586"/>
    </row>
    <row r="378" spans="10:27" s="629" customFormat="1" ht="21.75" customHeight="1">
      <c r="J378" s="2586"/>
    </row>
    <row r="379" spans="10:27" s="629" customFormat="1" ht="21.75" customHeight="1">
      <c r="J379" s="2586"/>
    </row>
    <row r="380" spans="10:27" s="629" customFormat="1" ht="21.75" customHeight="1">
      <c r="J380" s="2586"/>
    </row>
    <row r="381" spans="10:27" s="629" customFormat="1" ht="21.75" customHeight="1">
      <c r="J381" s="2586"/>
    </row>
    <row r="382" spans="10:27" s="629" customFormat="1" ht="21.75" customHeight="1">
      <c r="J382" s="2586"/>
    </row>
    <row r="383" spans="10:27" s="1177" customFormat="1" ht="21.75" customHeight="1">
      <c r="J383" s="2558"/>
      <c r="K383" s="629"/>
      <c r="L383" s="629"/>
      <c r="M383" s="629"/>
      <c r="N383" s="629"/>
      <c r="O383" s="629"/>
      <c r="P383" s="629"/>
      <c r="Q383" s="629"/>
      <c r="R383" s="629"/>
      <c r="S383" s="629"/>
      <c r="T383" s="629"/>
      <c r="U383" s="629"/>
      <c r="V383" s="629"/>
      <c r="W383" s="629"/>
      <c r="X383" s="629"/>
      <c r="Y383" s="629"/>
      <c r="Z383" s="629"/>
      <c r="AA383" s="629"/>
    </row>
    <row r="384" spans="10:27" s="1177" customFormat="1" ht="21.75" customHeight="1">
      <c r="J384" s="2558"/>
      <c r="K384" s="629"/>
      <c r="L384" s="629"/>
      <c r="M384" s="629"/>
      <c r="N384" s="629"/>
      <c r="O384" s="629"/>
      <c r="P384" s="629"/>
      <c r="Q384" s="629"/>
      <c r="R384" s="629"/>
      <c r="S384" s="629"/>
      <c r="T384" s="629"/>
      <c r="U384" s="629"/>
      <c r="V384" s="629"/>
      <c r="W384" s="629"/>
      <c r="X384" s="629"/>
      <c r="Y384" s="629"/>
      <c r="Z384" s="629"/>
      <c r="AA384" s="629"/>
    </row>
    <row r="385" spans="10:27" s="1177" customFormat="1" ht="21.75" customHeight="1">
      <c r="J385" s="2558"/>
      <c r="K385" s="629"/>
      <c r="L385" s="629"/>
      <c r="M385" s="629"/>
      <c r="N385" s="629"/>
      <c r="O385" s="629"/>
      <c r="P385" s="629"/>
      <c r="Q385" s="629"/>
      <c r="R385" s="629"/>
      <c r="S385" s="629"/>
      <c r="T385" s="629"/>
      <c r="U385" s="629"/>
      <c r="V385" s="629"/>
      <c r="W385" s="629"/>
      <c r="X385" s="629"/>
      <c r="Y385" s="629"/>
      <c r="Z385" s="629"/>
      <c r="AA385" s="629"/>
    </row>
    <row r="386" spans="10:27" s="1177" customFormat="1" ht="21.75" customHeight="1">
      <c r="J386" s="2558"/>
      <c r="K386" s="629"/>
      <c r="L386" s="629"/>
      <c r="M386" s="629"/>
      <c r="N386" s="629"/>
      <c r="O386" s="629"/>
      <c r="P386" s="629"/>
      <c r="Q386" s="629"/>
      <c r="R386" s="629"/>
      <c r="S386" s="629"/>
      <c r="T386" s="629"/>
      <c r="U386" s="629"/>
      <c r="V386" s="629"/>
      <c r="W386" s="629"/>
      <c r="X386" s="629"/>
      <c r="Y386" s="629"/>
      <c r="Z386" s="629"/>
      <c r="AA386" s="629"/>
    </row>
    <row r="387" spans="10:27" s="1177" customFormat="1" ht="21.75" customHeight="1">
      <c r="J387" s="2558"/>
      <c r="K387" s="629"/>
      <c r="L387" s="629"/>
      <c r="M387" s="629"/>
      <c r="N387" s="629"/>
      <c r="O387" s="629"/>
      <c r="P387" s="629"/>
      <c r="Q387" s="629"/>
      <c r="R387" s="629"/>
      <c r="S387" s="629"/>
      <c r="T387" s="629"/>
      <c r="U387" s="629"/>
      <c r="V387" s="629"/>
      <c r="W387" s="629"/>
      <c r="X387" s="629"/>
      <c r="Y387" s="629"/>
      <c r="Z387" s="629"/>
      <c r="AA387" s="629"/>
    </row>
    <row r="388" spans="10:27" s="1177" customFormat="1" ht="21.75" customHeight="1">
      <c r="J388" s="2558"/>
      <c r="K388" s="629"/>
      <c r="L388" s="629"/>
      <c r="M388" s="629"/>
      <c r="N388" s="629"/>
      <c r="O388" s="629"/>
      <c r="P388" s="629"/>
      <c r="Q388" s="629"/>
      <c r="R388" s="629"/>
      <c r="S388" s="629"/>
      <c r="T388" s="629"/>
      <c r="U388" s="629"/>
      <c r="V388" s="629"/>
      <c r="W388" s="629"/>
      <c r="X388" s="629"/>
      <c r="Y388" s="629"/>
      <c r="Z388" s="629"/>
      <c r="AA388" s="629"/>
    </row>
    <row r="389" spans="10:27" s="1177" customFormat="1" ht="21.75" customHeight="1">
      <c r="J389" s="2558"/>
      <c r="K389" s="629"/>
      <c r="L389" s="629"/>
      <c r="M389" s="629"/>
      <c r="N389" s="629"/>
      <c r="O389" s="629"/>
      <c r="P389" s="629"/>
      <c r="Q389" s="629"/>
      <c r="R389" s="629"/>
      <c r="S389" s="629"/>
      <c r="T389" s="629"/>
      <c r="U389" s="629"/>
      <c r="V389" s="629"/>
      <c r="W389" s="629"/>
      <c r="X389" s="629"/>
      <c r="Y389" s="629"/>
      <c r="Z389" s="629"/>
      <c r="AA389" s="629"/>
    </row>
    <row r="390" spans="10:27" s="1177" customFormat="1" ht="21.75" customHeight="1">
      <c r="J390" s="2558"/>
      <c r="K390" s="629"/>
      <c r="L390" s="629"/>
      <c r="M390" s="629"/>
      <c r="N390" s="629"/>
      <c r="O390" s="629"/>
      <c r="P390" s="629"/>
      <c r="Q390" s="629"/>
      <c r="R390" s="629"/>
      <c r="S390" s="629"/>
      <c r="T390" s="629"/>
      <c r="U390" s="629"/>
      <c r="V390" s="629"/>
      <c r="W390" s="629"/>
      <c r="X390" s="629"/>
      <c r="Y390" s="629"/>
      <c r="Z390" s="629"/>
      <c r="AA390" s="629"/>
    </row>
    <row r="391" spans="10:27" s="1177" customFormat="1" ht="21.75" customHeight="1">
      <c r="J391" s="2558"/>
      <c r="K391" s="629"/>
      <c r="L391" s="629"/>
      <c r="M391" s="629"/>
      <c r="N391" s="629"/>
      <c r="O391" s="629"/>
      <c r="P391" s="629"/>
      <c r="Q391" s="629"/>
      <c r="R391" s="629"/>
      <c r="S391" s="629"/>
      <c r="T391" s="629"/>
      <c r="U391" s="629"/>
      <c r="V391" s="629"/>
      <c r="W391" s="629"/>
      <c r="X391" s="629"/>
      <c r="Y391" s="629"/>
      <c r="Z391" s="629"/>
      <c r="AA391" s="629"/>
    </row>
    <row r="392" spans="10:27" s="1177" customFormat="1" ht="21.75" customHeight="1">
      <c r="J392" s="2558"/>
      <c r="K392" s="629"/>
      <c r="L392" s="629"/>
      <c r="M392" s="629"/>
      <c r="N392" s="629"/>
      <c r="O392" s="629"/>
      <c r="P392" s="629"/>
      <c r="Q392" s="629"/>
      <c r="R392" s="629"/>
      <c r="S392" s="629"/>
      <c r="T392" s="629"/>
      <c r="U392" s="629"/>
      <c r="V392" s="629"/>
      <c r="W392" s="629"/>
      <c r="X392" s="629"/>
      <c r="Y392" s="629"/>
      <c r="Z392" s="629"/>
      <c r="AA392" s="629"/>
    </row>
    <row r="393" spans="10:27" s="1177" customFormat="1" ht="21.75" customHeight="1">
      <c r="J393" s="2558"/>
      <c r="K393" s="629"/>
      <c r="L393" s="629"/>
      <c r="M393" s="629"/>
      <c r="N393" s="629"/>
      <c r="O393" s="629"/>
      <c r="P393" s="629"/>
      <c r="Q393" s="629"/>
      <c r="R393" s="629"/>
      <c r="S393" s="629"/>
      <c r="T393" s="629"/>
      <c r="U393" s="629"/>
      <c r="V393" s="629"/>
      <c r="W393" s="629"/>
      <c r="X393" s="629"/>
      <c r="Y393" s="629"/>
      <c r="Z393" s="629"/>
      <c r="AA393" s="629"/>
    </row>
    <row r="394" spans="10:27" s="1177" customFormat="1" ht="21.75" customHeight="1">
      <c r="J394" s="2558"/>
      <c r="K394" s="629"/>
      <c r="L394" s="629"/>
      <c r="M394" s="629"/>
      <c r="N394" s="629"/>
      <c r="O394" s="629"/>
      <c r="P394" s="629"/>
      <c r="Q394" s="629"/>
      <c r="R394" s="629"/>
      <c r="S394" s="629"/>
      <c r="T394" s="629"/>
      <c r="U394" s="629"/>
      <c r="V394" s="629"/>
      <c r="W394" s="629"/>
      <c r="X394" s="629"/>
      <c r="Y394" s="629"/>
      <c r="Z394" s="629"/>
      <c r="AA394" s="629"/>
    </row>
    <row r="395" spans="10:27" s="1177" customFormat="1" ht="21.75" customHeight="1">
      <c r="J395" s="2558"/>
      <c r="K395" s="629"/>
      <c r="L395" s="629"/>
      <c r="M395" s="629"/>
      <c r="N395" s="629"/>
      <c r="O395" s="629"/>
      <c r="P395" s="629"/>
      <c r="Q395" s="629"/>
      <c r="R395" s="629"/>
      <c r="S395" s="629"/>
      <c r="T395" s="629"/>
      <c r="U395" s="629"/>
      <c r="V395" s="629"/>
      <c r="W395" s="629"/>
      <c r="X395" s="629"/>
      <c r="Y395" s="629"/>
      <c r="Z395" s="629"/>
      <c r="AA395" s="629"/>
    </row>
    <row r="396" spans="10:27" s="1177" customFormat="1" ht="21.75" customHeight="1">
      <c r="J396" s="2558"/>
      <c r="K396" s="629"/>
      <c r="L396" s="629"/>
      <c r="M396" s="629"/>
      <c r="N396" s="629"/>
      <c r="O396" s="629"/>
      <c r="P396" s="629"/>
      <c r="Q396" s="629"/>
      <c r="R396" s="629"/>
      <c r="S396" s="629"/>
      <c r="T396" s="629"/>
      <c r="U396" s="629"/>
      <c r="V396" s="629"/>
      <c r="W396" s="629"/>
      <c r="X396" s="629"/>
      <c r="Y396" s="629"/>
      <c r="Z396" s="629"/>
      <c r="AA396" s="629"/>
    </row>
    <row r="397" spans="10:27" s="1177" customFormat="1" ht="21.75" customHeight="1">
      <c r="J397" s="2558"/>
      <c r="K397" s="629"/>
      <c r="L397" s="629"/>
      <c r="M397" s="629"/>
      <c r="N397" s="629"/>
      <c r="O397" s="629"/>
      <c r="P397" s="629"/>
      <c r="Q397" s="629"/>
      <c r="R397" s="629"/>
      <c r="S397" s="629"/>
      <c r="T397" s="629"/>
      <c r="U397" s="629"/>
      <c r="V397" s="629"/>
      <c r="W397" s="629"/>
      <c r="X397" s="629"/>
      <c r="Y397" s="629"/>
      <c r="Z397" s="629"/>
      <c r="AA397" s="629"/>
    </row>
    <row r="398" spans="10:27" s="1177" customFormat="1" ht="21.75" customHeight="1">
      <c r="J398" s="2558"/>
      <c r="K398" s="629"/>
      <c r="L398" s="629"/>
      <c r="M398" s="629"/>
      <c r="N398" s="629"/>
      <c r="O398" s="629"/>
      <c r="P398" s="629"/>
      <c r="Q398" s="629"/>
      <c r="R398" s="629"/>
      <c r="S398" s="629"/>
      <c r="T398" s="629"/>
      <c r="U398" s="629"/>
      <c r="V398" s="629"/>
      <c r="W398" s="629"/>
      <c r="X398" s="629"/>
      <c r="Y398" s="629"/>
      <c r="Z398" s="629"/>
      <c r="AA398" s="629"/>
    </row>
    <row r="399" spans="10:27" s="1177" customFormat="1" ht="21.75" customHeight="1">
      <c r="J399" s="2558"/>
      <c r="K399" s="629"/>
      <c r="L399" s="629"/>
      <c r="M399" s="629"/>
      <c r="N399" s="629"/>
      <c r="O399" s="629"/>
      <c r="P399" s="629"/>
      <c r="Q399" s="629"/>
      <c r="R399" s="629"/>
      <c r="S399" s="629"/>
      <c r="T399" s="629"/>
      <c r="U399" s="629"/>
      <c r="V399" s="629"/>
      <c r="W399" s="629"/>
      <c r="X399" s="629"/>
      <c r="Y399" s="629"/>
      <c r="Z399" s="629"/>
      <c r="AA399" s="629"/>
    </row>
    <row r="400" spans="10:27" s="1177" customFormat="1" ht="21.75" customHeight="1">
      <c r="J400" s="2558"/>
      <c r="K400" s="629"/>
      <c r="L400" s="629"/>
      <c r="M400" s="629"/>
      <c r="N400" s="629"/>
      <c r="O400" s="629"/>
      <c r="P400" s="629"/>
      <c r="Q400" s="629"/>
      <c r="R400" s="629"/>
      <c r="S400" s="629"/>
      <c r="T400" s="629"/>
      <c r="U400" s="629"/>
      <c r="V400" s="629"/>
      <c r="W400" s="629"/>
      <c r="X400" s="629"/>
      <c r="Y400" s="629"/>
      <c r="Z400" s="629"/>
      <c r="AA400" s="629"/>
    </row>
    <row r="401" spans="10:27" s="1177" customFormat="1" ht="21.75" customHeight="1">
      <c r="J401" s="2558"/>
      <c r="K401" s="629"/>
      <c r="L401" s="629"/>
      <c r="M401" s="629"/>
      <c r="N401" s="629"/>
      <c r="O401" s="629"/>
      <c r="P401" s="629"/>
      <c r="Q401" s="629"/>
      <c r="R401" s="629"/>
      <c r="S401" s="629"/>
      <c r="T401" s="629"/>
      <c r="U401" s="629"/>
      <c r="V401" s="629"/>
      <c r="W401" s="629"/>
      <c r="X401" s="629"/>
      <c r="Y401" s="629"/>
      <c r="Z401" s="629"/>
      <c r="AA401" s="629"/>
    </row>
    <row r="402" spans="10:27" s="1177" customFormat="1" ht="21.75" customHeight="1">
      <c r="J402" s="2558"/>
      <c r="K402" s="629"/>
      <c r="L402" s="629"/>
      <c r="M402" s="629"/>
      <c r="N402" s="629"/>
      <c r="O402" s="629"/>
      <c r="P402" s="629"/>
      <c r="Q402" s="629"/>
      <c r="R402" s="629"/>
      <c r="S402" s="629"/>
      <c r="T402" s="629"/>
      <c r="U402" s="629"/>
      <c r="V402" s="629"/>
      <c r="W402" s="629"/>
      <c r="X402" s="629"/>
      <c r="Y402" s="629"/>
      <c r="Z402" s="629"/>
      <c r="AA402" s="629"/>
    </row>
    <row r="403" spans="10:27" s="1177" customFormat="1" ht="21.75" customHeight="1">
      <c r="J403" s="2558"/>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8"/>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8"/>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8"/>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8"/>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8"/>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8"/>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8"/>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8"/>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8"/>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8"/>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8"/>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8"/>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8"/>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8"/>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8"/>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8"/>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8"/>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8"/>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8"/>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8"/>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8"/>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8"/>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8"/>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8"/>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8"/>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8"/>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8"/>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8"/>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8"/>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8"/>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8"/>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8"/>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8"/>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8"/>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8"/>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8"/>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8"/>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8"/>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8"/>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8"/>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8"/>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8"/>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8"/>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8"/>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8"/>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8"/>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8"/>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8"/>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8"/>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8"/>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8"/>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8"/>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8"/>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8"/>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8"/>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8"/>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8"/>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8"/>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8"/>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8"/>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8"/>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8"/>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8"/>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8"/>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8"/>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8"/>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8"/>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8"/>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8"/>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8"/>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8"/>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8"/>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8"/>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8"/>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8"/>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8"/>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8"/>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8"/>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8"/>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8"/>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8"/>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8"/>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8"/>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8"/>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8"/>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8"/>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8"/>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8"/>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8"/>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8"/>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8"/>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8"/>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8"/>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8"/>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8"/>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8"/>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8"/>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8"/>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8"/>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8"/>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8"/>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8"/>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8"/>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8"/>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8"/>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8"/>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8"/>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8"/>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8"/>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8"/>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8"/>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8"/>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J516" s="2558"/>
      <c r="K516" s="629"/>
      <c r="L516" s="629"/>
      <c r="M516" s="629"/>
      <c r="N516" s="629"/>
      <c r="O516" s="629"/>
      <c r="P516" s="629"/>
      <c r="Q516" s="629"/>
      <c r="R516" s="629"/>
      <c r="S516" s="629"/>
      <c r="T516" s="629"/>
      <c r="U516" s="629"/>
      <c r="V516" s="629"/>
      <c r="W516" s="629"/>
      <c r="X516" s="629"/>
      <c r="Y516" s="629"/>
      <c r="Z516" s="629"/>
      <c r="AA516" s="629"/>
    </row>
    <row r="517" spans="6:27" s="1177" customFormat="1" ht="21.75" customHeight="1">
      <c r="J517" s="2558"/>
      <c r="K517" s="629"/>
      <c r="L517" s="629"/>
      <c r="M517" s="629"/>
      <c r="N517" s="629"/>
      <c r="O517" s="629"/>
      <c r="P517" s="629"/>
      <c r="Q517" s="629"/>
      <c r="R517" s="629"/>
      <c r="S517" s="629"/>
      <c r="T517" s="629"/>
      <c r="U517" s="629"/>
      <c r="V517" s="629"/>
      <c r="W517" s="629"/>
      <c r="X517" s="629"/>
      <c r="Y517" s="629"/>
      <c r="Z517" s="629"/>
      <c r="AA517" s="629"/>
    </row>
    <row r="518" spans="6:27" s="1177" customFormat="1" ht="21.75" customHeight="1">
      <c r="J518" s="2558"/>
      <c r="K518" s="629"/>
      <c r="L518" s="629"/>
      <c r="M518" s="629"/>
      <c r="N518" s="629"/>
      <c r="O518" s="629"/>
      <c r="P518" s="629"/>
      <c r="Q518" s="629"/>
      <c r="R518" s="629"/>
      <c r="S518" s="629"/>
      <c r="T518" s="629"/>
      <c r="U518" s="629"/>
      <c r="V518" s="629"/>
      <c r="W518" s="629"/>
      <c r="X518" s="629"/>
      <c r="Y518" s="629"/>
      <c r="Z518" s="629"/>
      <c r="AA518" s="629"/>
    </row>
    <row r="519" spans="6:27" s="1177" customFormat="1" ht="21.75" customHeight="1">
      <c r="J519" s="2558"/>
      <c r="K519" s="629"/>
      <c r="L519" s="629"/>
      <c r="M519" s="629"/>
      <c r="N519" s="629"/>
      <c r="O519" s="629"/>
      <c r="P519" s="629"/>
      <c r="Q519" s="629"/>
      <c r="R519" s="629"/>
      <c r="S519" s="629"/>
      <c r="T519" s="629"/>
      <c r="U519" s="629"/>
      <c r="V519" s="629"/>
      <c r="W519" s="629"/>
      <c r="X519" s="629"/>
      <c r="Y519" s="629"/>
      <c r="Z519" s="629"/>
      <c r="AA519" s="629"/>
    </row>
    <row r="520" spans="6:27" s="1177" customFormat="1" ht="21.75" customHeight="1">
      <c r="F520" s="734"/>
      <c r="G520" s="734"/>
      <c r="H520" s="734"/>
      <c r="I520" s="734"/>
      <c r="J520" s="2558"/>
      <c r="K520" s="629"/>
      <c r="L520" s="629"/>
      <c r="M520" s="629"/>
      <c r="N520" s="629"/>
      <c r="O520" s="629"/>
      <c r="P520" s="629"/>
      <c r="Q520" s="629"/>
      <c r="R520" s="629"/>
      <c r="S520" s="629"/>
      <c r="T520" s="629"/>
      <c r="U520" s="629"/>
      <c r="V520" s="629"/>
      <c r="W520" s="629"/>
      <c r="X520" s="629"/>
      <c r="Y520" s="629"/>
      <c r="Z520" s="629"/>
      <c r="AA520" s="62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5" sqref="C5:C8"/>
    </sheetView>
  </sheetViews>
  <sheetFormatPr defaultColWidth="8.33203125" defaultRowHeight="13.2"/>
  <cols>
    <col min="1" max="1" width="9.33203125" style="127" customWidth="1"/>
    <col min="2" max="2" width="29.21875" style="112" customWidth="1"/>
    <col min="3" max="3" width="12.109375" style="112" customWidth="1"/>
    <col min="4" max="4" width="12.21875" style="130" customWidth="1"/>
    <col min="5" max="5" width="11.21875" style="130" customWidth="1"/>
    <col min="6" max="6" width="9.44140625" style="112" customWidth="1"/>
    <col min="7" max="7" width="31.88671875" style="112" customWidth="1"/>
    <col min="8" max="123" width="9" style="118" customWidth="1"/>
    <col min="124" max="254" width="9" style="112" customWidth="1"/>
    <col min="255" max="16384" width="8.33203125" style="112"/>
  </cols>
  <sheetData>
    <row r="1" spans="1:123" s="76" customFormat="1" ht="21">
      <c r="A1" s="73" t="s">
        <v>1673</v>
      </c>
      <c r="B1" s="913"/>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7532452</v>
      </c>
      <c r="C2" s="75" t="str">
        <f>'数据-取费表'!B3</f>
        <v>元</v>
      </c>
      <c r="D2" s="1361" t="s">
        <v>1001</v>
      </c>
      <c r="E2" s="1054" t="e">
        <f ca="1">SUMIF(INDIRECT("'"&amp;G2&amp;"'"&amp;"!A:A"),"承租人权益价值",INDIRECT("'"&amp;G2&amp;"'"&amp;"!c:c"))</f>
        <v>#REF!</v>
      </c>
      <c r="F2" s="1362" t="str">
        <f>C2</f>
        <v>元</v>
      </c>
      <c r="G2" s="1204"/>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45489</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2">
      <c r="A4" s="81" t="s">
        <v>1677</v>
      </c>
      <c r="B4" s="82"/>
      <c r="C4" s="82"/>
      <c r="D4" s="82"/>
      <c r="E4" s="82"/>
      <c r="F4" s="82"/>
      <c r="G4" s="83"/>
      <c r="H4" s="2684"/>
      <c r="I4" s="2684"/>
      <c r="J4" s="2684"/>
      <c r="K4" s="2684"/>
      <c r="L4" s="2684"/>
      <c r="M4" s="2684"/>
      <c r="N4" s="2684"/>
      <c r="O4" s="2684"/>
      <c r="P4" s="2684"/>
      <c r="Q4" s="2684"/>
      <c r="R4" s="2684"/>
      <c r="S4" s="2684"/>
      <c r="T4" s="2684"/>
      <c r="U4" s="2684"/>
      <c r="V4" s="2684"/>
      <c r="W4" s="2684"/>
      <c r="X4" s="2684"/>
      <c r="Y4" s="2684"/>
      <c r="Z4" s="2684"/>
      <c r="AA4" s="2684"/>
      <c r="AB4" s="2684"/>
      <c r="AC4" s="2684"/>
      <c r="AD4" s="2684"/>
      <c r="AE4" s="2684"/>
      <c r="AF4" s="2684"/>
      <c r="AG4" s="2684"/>
      <c r="AH4" s="2684"/>
      <c r="AI4" s="2684"/>
      <c r="AJ4" s="2684"/>
      <c r="AK4" s="2684"/>
      <c r="AL4" s="2684"/>
      <c r="AM4" s="2684"/>
      <c r="AN4" s="2684"/>
      <c r="AO4" s="2684"/>
      <c r="AP4" s="2684"/>
      <c r="AQ4" s="2684"/>
      <c r="AR4" s="2684"/>
      <c r="AS4" s="2684"/>
      <c r="AT4" s="2684"/>
      <c r="AU4" s="2684"/>
      <c r="AV4" s="2684"/>
      <c r="AW4" s="2684"/>
      <c r="AX4" s="2684"/>
      <c r="AY4" s="2684"/>
      <c r="AZ4" s="2684"/>
      <c r="BA4" s="2684"/>
      <c r="BB4" s="2684"/>
      <c r="BC4" s="2684"/>
      <c r="BD4" s="2684"/>
      <c r="BE4" s="2684"/>
      <c r="BF4" s="2684"/>
      <c r="BG4" s="2684"/>
      <c r="BH4" s="2684"/>
      <c r="BI4" s="2684"/>
      <c r="BJ4" s="2684"/>
      <c r="BK4" s="2684"/>
      <c r="BL4" s="2684"/>
      <c r="BM4" s="2684"/>
      <c r="BN4" s="2684"/>
      <c r="BO4" s="2684"/>
      <c r="BP4" s="2684"/>
      <c r="BQ4" s="2684"/>
      <c r="BR4" s="2684"/>
      <c r="BS4" s="2684"/>
      <c r="BT4" s="2684"/>
      <c r="BU4" s="2684"/>
      <c r="BV4" s="2684"/>
      <c r="BW4" s="2684"/>
      <c r="BX4" s="2684"/>
      <c r="BY4" s="2684"/>
      <c r="BZ4" s="2684"/>
      <c r="CA4" s="2684"/>
      <c r="CB4" s="2684"/>
      <c r="CC4" s="2684"/>
      <c r="CD4" s="2684"/>
      <c r="CE4" s="2684"/>
      <c r="CF4" s="2684"/>
      <c r="CG4" s="2684"/>
      <c r="CH4" s="2684"/>
      <c r="CI4" s="2684"/>
      <c r="CJ4" s="2684"/>
      <c r="CK4" s="2684"/>
      <c r="CL4" s="2684"/>
      <c r="CM4" s="2684"/>
      <c r="CN4" s="2684"/>
      <c r="CO4" s="2684"/>
      <c r="CP4" s="2684"/>
      <c r="CQ4" s="2684"/>
      <c r="CR4" s="2684"/>
      <c r="CS4" s="2684"/>
      <c r="CT4" s="2684"/>
      <c r="CU4" s="2684"/>
      <c r="CV4" s="2684"/>
      <c r="CW4" s="2684"/>
      <c r="CX4" s="2684"/>
      <c r="CY4" s="2684"/>
      <c r="CZ4" s="2684"/>
      <c r="DA4" s="2684"/>
      <c r="DB4" s="2684"/>
      <c r="DC4" s="2684"/>
      <c r="DD4" s="2684"/>
      <c r="DE4" s="2684"/>
      <c r="DF4" s="2684"/>
      <c r="DG4" s="2684"/>
      <c r="DH4" s="2684"/>
      <c r="DI4" s="2684"/>
      <c r="DJ4" s="2684"/>
      <c r="DK4" s="2684"/>
      <c r="DL4" s="2684"/>
      <c r="DM4" s="2684"/>
      <c r="DN4" s="2684"/>
      <c r="DO4" s="2684"/>
      <c r="DP4" s="2684"/>
      <c r="DQ4" s="2684"/>
      <c r="DR4" s="2684"/>
      <c r="DS4" s="2684"/>
    </row>
    <row r="5" spans="1:123" s="87" customFormat="1" ht="13.5" customHeight="1">
      <c r="A5" s="116" t="s">
        <v>1678</v>
      </c>
      <c r="B5" s="85" t="s">
        <v>1679</v>
      </c>
      <c r="C5" s="107">
        <f>C6+C7+C8</f>
        <v>4670103</v>
      </c>
      <c r="D5" s="107" t="s">
        <v>1680</v>
      </c>
      <c r="E5" s="1040" t="s">
        <v>1681</v>
      </c>
      <c r="F5" s="1040"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9">
        <f>ROUND([2]基准地价修正!$C$33*[2]基准地价修正!$D$33,0)</f>
        <v>4499743</v>
      </c>
      <c r="D6" s="1041"/>
      <c r="E6" s="1042"/>
      <c r="F6" s="1042"/>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137242</v>
      </c>
      <c r="D7" s="111"/>
      <c r="E7" s="1042"/>
      <c r="F7" s="1043">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33118</v>
      </c>
      <c r="D8" s="1044"/>
      <c r="E8" s="111"/>
      <c r="F8" s="1043"/>
      <c r="G8" s="1363" t="s">
        <v>3042</v>
      </c>
    </row>
    <row r="9" spans="1:123" s="87" customFormat="1" ht="13.5" customHeight="1">
      <c r="A9" s="904" t="s">
        <v>763</v>
      </c>
      <c r="B9" s="93" t="s">
        <v>1689</v>
      </c>
      <c r="C9" s="1045">
        <f>ROUND(D9*E9,0)</f>
        <v>0</v>
      </c>
      <c r="D9" s="1046">
        <f>IF('数据-取费表'!B10="住宅",IF(B1="仅计算典型户型",'数据-取费表'!E5,'数据-取费表'!B5),0)</f>
        <v>0</v>
      </c>
      <c r="E9" s="1045">
        <f>'数据-取费表'!E11</f>
        <v>0</v>
      </c>
      <c r="F9" s="1043"/>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4" t="s">
        <v>764</v>
      </c>
      <c r="B10" s="93" t="s">
        <v>1690</v>
      </c>
      <c r="C10" s="1045">
        <f>ROUND(D10*E10,0)</f>
        <v>33118</v>
      </c>
      <c r="D10" s="1046">
        <f>IF('数据-取费表'!B10&lt;&gt;"住宅",IF(B1="仅计算典型户型",'数据-取费表'!E5,'数据-取费表'!B5),0)</f>
        <v>165.59</v>
      </c>
      <c r="E10" s="1045">
        <f>'数据-取费表'!E12</f>
        <v>200</v>
      </c>
      <c r="F10" s="1043"/>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2"/>
      <c r="F11" s="1042"/>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7"/>
      <c r="F12" s="1043">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2"/>
      <c r="F13" s="1042"/>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2"/>
      <c r="F14" s="1042"/>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2"/>
      <c r="F15" s="1042"/>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2"/>
      <c r="F16" s="1042"/>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8"/>
      <c r="D17" s="1048"/>
      <c r="E17" s="1048"/>
      <c r="F17" s="1048"/>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2"/>
      <c r="F18" s="1043">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t="str">
        <f>IF(G19="已包含在土地取得成本中","0",ROUND(D19*E19,0))</f>
        <v>0</v>
      </c>
      <c r="D19" s="1049">
        <f>IF(B1="仅计算典型户型",'数据-取费表'!E5,'数据-取费表'!B5)</f>
        <v>165.59</v>
      </c>
      <c r="E19" s="107">
        <f>'数据-取费表'!E15</f>
        <v>200</v>
      </c>
      <c r="F19" s="108"/>
      <c r="G19" s="1363" t="s">
        <v>3043</v>
      </c>
    </row>
    <row r="20" spans="1:123" s="87" customFormat="1" ht="13.5" customHeight="1">
      <c r="A20" s="116" t="s">
        <v>1702</v>
      </c>
      <c r="B20" s="85" t="s">
        <v>1703</v>
      </c>
      <c r="C20" s="95">
        <f>ROUND((C5+C19)*F20,0)</f>
        <v>140103</v>
      </c>
      <c r="D20" s="95"/>
      <c r="E20" s="95"/>
      <c r="F20" s="99">
        <f>'数据-取费表'!E25</f>
        <v>0.03</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0.03</v>
      </c>
      <c r="D21" s="98" t="s">
        <v>1707</v>
      </c>
      <c r="E21" s="95"/>
      <c r="F21" s="99">
        <f>'数据-取费表'!E26</f>
        <v>0.03</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401476</v>
      </c>
      <c r="D22" s="97">
        <f ca="1">C26</f>
        <v>1.1999999999999999E-3</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5">
        <f ca="1">ROUND(IF('数据-取费表'!B24&lt;=1,C5*F22*'数据-取费表'!B25,C5*(POWER((1+F22),'数据-取费表'!B25)-1)),0)</f>
        <v>395662</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5">
        <f ca="1">ROUND(IF('数据-取费表'!B24&lt;=1,C19*F22*('数据-取费表'!B21/2+'数据-取费表'!B23),C19*(POWER((1+F22),('数据-取费表'!B21/2+'数据-取费表'!B23))-1)),0)</f>
        <v>0</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5">
        <f ca="1">ROUND(IF('数据-取费表'!B24&lt;=1,C20*F22*'数据-取费表'!B25/2,C20*(POWER((1+F22),'数据-取费表'!B25/2)-1)),0)</f>
        <v>5814</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1.1999999999999999E-3</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6.4">
      <c r="A27" s="905" t="s">
        <v>1720</v>
      </c>
      <c r="B27" s="106" t="s">
        <v>1721</v>
      </c>
      <c r="C27" s="107">
        <f>C28</f>
        <v>962041</v>
      </c>
      <c r="D27" s="97">
        <f>C29</f>
        <v>6.0000000000000001E-3</v>
      </c>
      <c r="E27" s="98" t="s">
        <v>1707</v>
      </c>
      <c r="F27" s="108">
        <f>'数据-取费表'!E28</f>
        <v>0.2</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962041</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6.0000000000000001E-3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5"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6788041</v>
      </c>
      <c r="D31" s="1049"/>
      <c r="E31" s="107"/>
      <c r="F31" s="1050"/>
      <c r="G31" s="96" t="s">
        <v>1729</v>
      </c>
    </row>
    <row r="32" spans="1:123" s="84" customFormat="1" ht="16.2">
      <c r="A32" s="113" t="s">
        <v>1730</v>
      </c>
      <c r="B32" s="114"/>
      <c r="C32" s="1051"/>
      <c r="D32" s="1051"/>
      <c r="E32" s="1051"/>
      <c r="F32" s="1051"/>
      <c r="G32" s="115"/>
      <c r="H32" s="2684"/>
      <c r="I32" s="2684"/>
      <c r="J32" s="2684"/>
      <c r="K32" s="2684"/>
      <c r="L32" s="2684"/>
      <c r="M32" s="2684"/>
      <c r="N32" s="2684"/>
      <c r="O32" s="2684"/>
      <c r="P32" s="2684"/>
      <c r="Q32" s="2684"/>
      <c r="R32" s="2684"/>
      <c r="S32" s="2684"/>
      <c r="T32" s="2684"/>
      <c r="U32" s="2684"/>
      <c r="V32" s="2684"/>
      <c r="W32" s="2684"/>
      <c r="X32" s="2684"/>
      <c r="Y32" s="2684"/>
      <c r="Z32" s="2684"/>
      <c r="AA32" s="2684"/>
      <c r="AB32" s="2684"/>
      <c r="AC32" s="2684"/>
      <c r="AD32" s="2684"/>
      <c r="AE32" s="2684"/>
      <c r="AF32" s="2684"/>
      <c r="AG32" s="2684"/>
      <c r="AH32" s="2684"/>
      <c r="AI32" s="2684"/>
      <c r="AJ32" s="2684"/>
      <c r="AK32" s="2684"/>
      <c r="AL32" s="2684"/>
      <c r="AM32" s="2684"/>
      <c r="AN32" s="2684"/>
      <c r="AO32" s="2684"/>
      <c r="AP32" s="2684"/>
      <c r="AQ32" s="2684"/>
      <c r="AR32" s="2684"/>
      <c r="AS32" s="2684"/>
      <c r="AT32" s="2684"/>
      <c r="AU32" s="2684"/>
      <c r="AV32" s="2684"/>
      <c r="AW32" s="2684"/>
      <c r="AX32" s="2684"/>
      <c r="AY32" s="2684"/>
      <c r="AZ32" s="2684"/>
      <c r="BA32" s="2684"/>
      <c r="BB32" s="2684"/>
      <c r="BC32" s="2684"/>
      <c r="BD32" s="2684"/>
      <c r="BE32" s="2684"/>
      <c r="BF32" s="2684"/>
      <c r="BG32" s="2684"/>
      <c r="BH32" s="2684"/>
      <c r="BI32" s="2684"/>
      <c r="BJ32" s="2684"/>
      <c r="BK32" s="2684"/>
      <c r="BL32" s="2684"/>
      <c r="BM32" s="2684"/>
      <c r="BN32" s="2684"/>
      <c r="BO32" s="2684"/>
      <c r="BP32" s="2684"/>
      <c r="BQ32" s="2684"/>
      <c r="BR32" s="2684"/>
      <c r="BS32" s="2684"/>
      <c r="BT32" s="2684"/>
      <c r="BU32" s="2684"/>
      <c r="BV32" s="2684"/>
      <c r="BW32" s="2684"/>
      <c r="BX32" s="2684"/>
      <c r="BY32" s="2684"/>
      <c r="BZ32" s="2684"/>
      <c r="CA32" s="2684"/>
      <c r="CB32" s="2684"/>
      <c r="CC32" s="2684"/>
      <c r="CD32" s="2684"/>
      <c r="CE32" s="2684"/>
      <c r="CF32" s="2684"/>
      <c r="CG32" s="2684"/>
      <c r="CH32" s="2684"/>
      <c r="CI32" s="2684"/>
      <c r="CJ32" s="2684"/>
      <c r="CK32" s="2684"/>
      <c r="CL32" s="2684"/>
      <c r="CM32" s="2684"/>
      <c r="CN32" s="2684"/>
      <c r="CO32" s="2684"/>
      <c r="CP32" s="2684"/>
      <c r="CQ32" s="2684"/>
      <c r="CR32" s="2684"/>
      <c r="CS32" s="2684"/>
      <c r="CT32" s="2684"/>
      <c r="CU32" s="2684"/>
      <c r="CV32" s="2684"/>
      <c r="CW32" s="2684"/>
      <c r="CX32" s="2684"/>
      <c r="CY32" s="2684"/>
      <c r="CZ32" s="2684"/>
      <c r="DA32" s="2684"/>
      <c r="DB32" s="2684"/>
      <c r="DC32" s="2684"/>
      <c r="DD32" s="2684"/>
      <c r="DE32" s="2684"/>
      <c r="DF32" s="2684"/>
      <c r="DG32" s="2684"/>
      <c r="DH32" s="2684"/>
      <c r="DI32" s="2684"/>
      <c r="DJ32" s="2684"/>
      <c r="DK32" s="2684"/>
      <c r="DL32" s="2684"/>
      <c r="DM32" s="2684"/>
      <c r="DN32" s="2684"/>
      <c r="DO32" s="2684"/>
      <c r="DP32" s="2684"/>
      <c r="DQ32" s="2684"/>
      <c r="DR32" s="2684"/>
      <c r="DS32" s="2684"/>
    </row>
    <row r="33" spans="1:123" s="87" customFormat="1" ht="13.5" customHeight="1">
      <c r="A33" s="116" t="s">
        <v>1731</v>
      </c>
      <c r="B33" s="85" t="s">
        <v>1732</v>
      </c>
      <c r="C33" s="117">
        <f>SUM(C34:C38)</f>
        <v>725284</v>
      </c>
      <c r="D33" s="95"/>
      <c r="E33" s="1040"/>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662360</v>
      </c>
      <c r="D34" s="1041"/>
      <c r="E34" s="111"/>
      <c r="F34" s="1052" t="str">
        <f>IF('数据-取费表'!B26=0,"",'数据-取费表'!E20)</f>
        <v/>
      </c>
      <c r="G34" s="91"/>
    </row>
    <row r="35" spans="1:123" ht="13.5" customHeight="1">
      <c r="A35" s="88" t="s">
        <v>1685</v>
      </c>
      <c r="B35" s="89" t="s">
        <v>1734</v>
      </c>
      <c r="C35" s="111">
        <f>ROUND(C34*F35,0)</f>
        <v>19871</v>
      </c>
      <c r="D35" s="111"/>
      <c r="E35" s="111"/>
      <c r="F35" s="1053">
        <f>'数据-取费表'!E21</f>
        <v>0.03</v>
      </c>
      <c r="G35" s="91" t="s">
        <v>1735</v>
      </c>
    </row>
    <row r="36" spans="1:123" ht="24">
      <c r="A36" s="88" t="s">
        <v>1687</v>
      </c>
      <c r="B36" s="89" t="s">
        <v>1736</v>
      </c>
      <c r="C36" s="111">
        <f>ROUND(IF('数据-取费表'!B10="住宅",C34*F36,0),0)</f>
        <v>0</v>
      </c>
      <c r="D36" s="111"/>
      <c r="E36" s="111"/>
      <c r="F36" s="1053">
        <f>'数据-取费表'!E22</f>
        <v>0</v>
      </c>
      <c r="G36" s="119" t="s">
        <v>1737</v>
      </c>
    </row>
    <row r="37" spans="1:123" s="118" customFormat="1" ht="13.5" customHeight="1">
      <c r="A37" s="88" t="s">
        <v>1718</v>
      </c>
      <c r="B37" s="89" t="s">
        <v>1738</v>
      </c>
      <c r="C37" s="111">
        <f>ROUND(E37*D37,0)</f>
        <v>33118</v>
      </c>
      <c r="D37" s="1041">
        <f>IF(B1="仅计算典型户型",'数据-取费表'!E5,'数据-取费表'!B5)</f>
        <v>165.59</v>
      </c>
      <c r="E37" s="111">
        <f>'数据-取费表'!E23</f>
        <v>200</v>
      </c>
      <c r="F37" s="1053"/>
      <c r="G37" s="120" t="s">
        <v>1739</v>
      </c>
    </row>
    <row r="38" spans="1:123" ht="13.5" customHeight="1">
      <c r="A38" s="88" t="s">
        <v>1740</v>
      </c>
      <c r="B38" s="89" t="s">
        <v>1741</v>
      </c>
      <c r="C38" s="111">
        <f>ROUND(C34*F38,0)</f>
        <v>9935</v>
      </c>
      <c r="D38" s="111"/>
      <c r="E38" s="111"/>
      <c r="F38" s="1053">
        <f>'数据-取费表'!E24</f>
        <v>1.4999999999999999E-2</v>
      </c>
      <c r="G38" s="91" t="s">
        <v>1735</v>
      </c>
    </row>
    <row r="39" spans="1:123" s="87" customFormat="1" ht="13.5" customHeight="1">
      <c r="A39" s="116" t="s">
        <v>1700</v>
      </c>
      <c r="B39" s="85" t="s">
        <v>1703</v>
      </c>
      <c r="C39" s="95">
        <f>ROUND(C33*F20,0)</f>
        <v>21759</v>
      </c>
      <c r="D39" s="95"/>
      <c r="E39" s="95"/>
      <c r="F39" s="2600">
        <f>F20</f>
        <v>0.03</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0.03</v>
      </c>
      <c r="D40" s="98" t="s">
        <v>1743</v>
      </c>
      <c r="E40" s="95"/>
      <c r="F40" s="2600">
        <f>F21</f>
        <v>0.03</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31002</v>
      </c>
      <c r="D41" s="97">
        <f ca="1">C44</f>
        <v>1.1999999999999999E-3</v>
      </c>
      <c r="E41" s="98" t="s">
        <v>1743</v>
      </c>
      <c r="F41" s="2600">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30099</v>
      </c>
      <c r="D42" s="100"/>
      <c r="E42" s="100"/>
      <c r="F42" s="101"/>
      <c r="G42" s="3288" t="s">
        <v>1745</v>
      </c>
    </row>
    <row r="43" spans="1:123" ht="13.5" customHeight="1">
      <c r="A43" s="88" t="s">
        <v>1685</v>
      </c>
      <c r="B43" s="89" t="s">
        <v>1714</v>
      </c>
      <c r="C43" s="100">
        <f ca="1">ROUND(IF('数据-取费表'!B24&lt;=1,C39*F22*'数据-取费表'!B23/2,C39*(POWER((1+F22),'数据-取费表'!B23/2)-1)),0)</f>
        <v>903</v>
      </c>
      <c r="D43" s="100"/>
      <c r="E43" s="100"/>
      <c r="F43" s="101"/>
      <c r="G43" s="3289"/>
    </row>
    <row r="44" spans="1:123" ht="13.5" customHeight="1">
      <c r="A44" s="88" t="s">
        <v>1687</v>
      </c>
      <c r="B44" s="89" t="s">
        <v>1716</v>
      </c>
      <c r="C44" s="100">
        <f ca="1">ROUND(IF('数据-取费表'!B24&lt;=1,C40*F22*'数据-取费表'!B23/2,C40*(POWER((1+F22),'数据-取费表'!B23/2)-1)),4)</f>
        <v>1.1999999999999999E-3</v>
      </c>
      <c r="D44" s="100"/>
      <c r="E44" s="100"/>
      <c r="F44" s="101"/>
      <c r="G44" s="3290"/>
    </row>
    <row r="45" spans="1:123" s="87" customFormat="1" ht="13.5" customHeight="1">
      <c r="A45" s="116" t="s">
        <v>1709</v>
      </c>
      <c r="B45" s="106" t="s">
        <v>1721</v>
      </c>
      <c r="C45" s="107">
        <f>C46</f>
        <v>149409</v>
      </c>
      <c r="D45" s="97">
        <f>C47</f>
        <v>6.0000000000000001E-3</v>
      </c>
      <c r="E45" s="98" t="s">
        <v>1743</v>
      </c>
      <c r="F45" s="2601">
        <f>F27</f>
        <v>0.2</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149409</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6.0000000000000001E-3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5" t="s">
        <v>1720</v>
      </c>
      <c r="B48" s="85" t="s">
        <v>1749</v>
      </c>
      <c r="C48" s="97">
        <f>ROUND(F30/(1+'数据-取费表'!F30),4)</f>
        <v>5.33E-2</v>
      </c>
      <c r="D48" s="98" t="s">
        <v>1743</v>
      </c>
      <c r="E48" s="95"/>
      <c r="F48" s="2600">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5" t="s">
        <v>1751</v>
      </c>
      <c r="B49" s="85" t="s">
        <v>1752</v>
      </c>
      <c r="C49" s="95">
        <f ca="1">ROUND((C33+C39+C41+C45)/(1-C40-D41-D45-C48),0)</f>
        <v>1019741</v>
      </c>
      <c r="D49" s="95"/>
      <c r="E49" s="95"/>
      <c r="F49" s="122"/>
      <c r="G49" s="96" t="s">
        <v>1753</v>
      </c>
    </row>
    <row r="50" spans="1:123" s="118" customFormat="1" ht="24">
      <c r="A50" s="905" t="s">
        <v>1754</v>
      </c>
      <c r="B50" s="85" t="s">
        <v>1755</v>
      </c>
      <c r="C50" s="95"/>
      <c r="D50" s="95"/>
      <c r="E50" s="95"/>
      <c r="F50" s="122">
        <f>IF('数据-取费表'!B26=0,'数据-取费表'!E20,1)</f>
        <v>0.73</v>
      </c>
      <c r="G50" s="109" t="s">
        <v>1756</v>
      </c>
    </row>
    <row r="51" spans="1:123" ht="16.5" customHeight="1">
      <c r="A51" s="905" t="s">
        <v>1757</v>
      </c>
      <c r="B51" s="85" t="s">
        <v>1758</v>
      </c>
      <c r="C51" s="95">
        <f ca="1">ROUND(C49*F50,0)</f>
        <v>744411</v>
      </c>
      <c r="D51" s="95"/>
      <c r="E51" s="95"/>
      <c r="F51" s="122"/>
      <c r="G51" s="96" t="s">
        <v>1759</v>
      </c>
    </row>
    <row r="52" spans="1:123" s="84" customFormat="1" ht="16.8" thickBot="1">
      <c r="A52" s="123" t="s">
        <v>1760</v>
      </c>
      <c r="B52" s="124"/>
      <c r="C52" s="125">
        <f ca="1">C31+C51</f>
        <v>7532452</v>
      </c>
      <c r="D52" s="124"/>
      <c r="E52" s="124"/>
      <c r="F52" s="124"/>
      <c r="G52" s="126"/>
      <c r="H52" s="2684"/>
      <c r="I52" s="2684"/>
      <c r="J52" s="2684"/>
      <c r="K52" s="2684"/>
      <c r="L52" s="2684"/>
      <c r="M52" s="2684"/>
      <c r="N52" s="2684"/>
      <c r="O52" s="2684"/>
      <c r="P52" s="2684"/>
      <c r="Q52" s="2684"/>
      <c r="R52" s="2684"/>
      <c r="S52" s="2684"/>
      <c r="T52" s="2684"/>
      <c r="U52" s="2684"/>
      <c r="V52" s="2684"/>
      <c r="W52" s="2684"/>
      <c r="X52" s="2684"/>
      <c r="Y52" s="2684"/>
      <c r="Z52" s="2684"/>
      <c r="AA52" s="2684"/>
      <c r="AB52" s="2684"/>
      <c r="AC52" s="2684"/>
      <c r="AD52" s="2684"/>
      <c r="AE52" s="2684"/>
      <c r="AF52" s="2684"/>
      <c r="AG52" s="2684"/>
      <c r="AH52" s="2684"/>
      <c r="AI52" s="2684"/>
      <c r="AJ52" s="2684"/>
      <c r="AK52" s="2684"/>
      <c r="AL52" s="2684"/>
      <c r="AM52" s="2684"/>
      <c r="AN52" s="2684"/>
      <c r="AO52" s="2684"/>
      <c r="AP52" s="2684"/>
      <c r="AQ52" s="2684"/>
      <c r="AR52" s="2684"/>
      <c r="AS52" s="2684"/>
      <c r="AT52" s="2684"/>
      <c r="AU52" s="2684"/>
      <c r="AV52" s="2684"/>
      <c r="AW52" s="2684"/>
      <c r="AX52" s="2684"/>
      <c r="AY52" s="2684"/>
      <c r="AZ52" s="2684"/>
      <c r="BA52" s="2684"/>
      <c r="BB52" s="2684"/>
      <c r="BC52" s="2684"/>
      <c r="BD52" s="2684"/>
      <c r="BE52" s="2684"/>
      <c r="BF52" s="2684"/>
      <c r="BG52" s="2684"/>
      <c r="BH52" s="2684"/>
      <c r="BI52" s="2684"/>
      <c r="BJ52" s="2684"/>
      <c r="BK52" s="2684"/>
      <c r="BL52" s="2684"/>
      <c r="BM52" s="2684"/>
      <c r="BN52" s="2684"/>
      <c r="BO52" s="2684"/>
      <c r="BP52" s="2684"/>
      <c r="BQ52" s="2684"/>
      <c r="BR52" s="2684"/>
      <c r="BS52" s="2684"/>
      <c r="BT52" s="2684"/>
      <c r="BU52" s="2684"/>
      <c r="BV52" s="2684"/>
      <c r="BW52" s="2684"/>
      <c r="BX52" s="2684"/>
      <c r="BY52" s="2684"/>
      <c r="BZ52" s="2684"/>
      <c r="CA52" s="2684"/>
      <c r="CB52" s="2684"/>
      <c r="CC52" s="2684"/>
      <c r="CD52" s="2684"/>
      <c r="CE52" s="2684"/>
      <c r="CF52" s="2684"/>
      <c r="CG52" s="2684"/>
      <c r="CH52" s="2684"/>
      <c r="CI52" s="2684"/>
      <c r="CJ52" s="2684"/>
      <c r="CK52" s="2684"/>
      <c r="CL52" s="2684"/>
      <c r="CM52" s="2684"/>
      <c r="CN52" s="2684"/>
      <c r="CO52" s="2684"/>
      <c r="CP52" s="2684"/>
      <c r="CQ52" s="2684"/>
      <c r="CR52" s="2684"/>
      <c r="CS52" s="2684"/>
      <c r="CT52" s="2684"/>
      <c r="CU52" s="2684"/>
      <c r="CV52" s="2684"/>
      <c r="CW52" s="2684"/>
      <c r="CX52" s="2684"/>
      <c r="CY52" s="2684"/>
      <c r="CZ52" s="2684"/>
      <c r="DA52" s="2684"/>
      <c r="DB52" s="2684"/>
      <c r="DC52" s="2684"/>
      <c r="DD52" s="2684"/>
      <c r="DE52" s="2684"/>
      <c r="DF52" s="2684"/>
      <c r="DG52" s="2684"/>
      <c r="DH52" s="2684"/>
      <c r="DI52" s="2684"/>
      <c r="DJ52" s="2684"/>
      <c r="DK52" s="2684"/>
      <c r="DL52" s="2684"/>
      <c r="DM52" s="2684"/>
      <c r="DN52" s="2684"/>
      <c r="DO52" s="2684"/>
      <c r="DP52" s="2684"/>
      <c r="DQ52" s="2684"/>
      <c r="DR52" s="2684"/>
      <c r="DS52" s="2684"/>
    </row>
    <row r="55" spans="1:123" ht="15">
      <c r="B55" s="128" t="s">
        <v>1761</v>
      </c>
      <c r="C55" s="129"/>
    </row>
    <row r="56" spans="1:123">
      <c r="B56" s="131" t="s">
        <v>1762</v>
      </c>
      <c r="C56" s="132">
        <f ca="1">ROUND(C51/C52,3)</f>
        <v>9.9000000000000005E-2</v>
      </c>
    </row>
    <row r="57" spans="1:123">
      <c r="B57" s="131" t="s">
        <v>1763</v>
      </c>
      <c r="C57" s="133">
        <f ca="1">1-C56</f>
        <v>0.90100000000000002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4" customWidth="1"/>
    <col min="2" max="2" width="25.77734375" style="215" customWidth="1"/>
    <col min="3" max="3" width="10.33203125" style="216" customWidth="1"/>
    <col min="4" max="4" width="9.88671875" style="215" customWidth="1"/>
    <col min="5" max="5" width="9.44140625" style="214" customWidth="1"/>
    <col min="6" max="6" width="10.109375" style="215" customWidth="1"/>
    <col min="7" max="7" width="9.44140625" style="215" customWidth="1"/>
    <col min="8" max="8" width="10" style="215" customWidth="1"/>
    <col min="9" max="11" width="9.44140625" style="215" customWidth="1"/>
    <col min="12" max="12" width="9" style="215" customWidth="1"/>
    <col min="13" max="13" width="10.44140625" style="215" bestFit="1" customWidth="1"/>
    <col min="14" max="254" width="9" style="215" customWidth="1"/>
    <col min="255" max="16384" width="6.6640625" style="215"/>
  </cols>
  <sheetData>
    <row r="1" spans="1:33" s="135" customFormat="1" ht="21">
      <c r="A1" s="73" t="s">
        <v>1046</v>
      </c>
      <c r="B1" s="134"/>
      <c r="C1" s="913" t="s">
        <v>1047</v>
      </c>
      <c r="D1" s="1004"/>
      <c r="E1" s="840"/>
      <c r="F1" s="840"/>
      <c r="G1" s="840"/>
      <c r="H1" s="840"/>
      <c r="I1" s="840"/>
      <c r="J1" s="840"/>
      <c r="K1" s="840"/>
    </row>
    <row r="2" spans="1:33" s="135" customFormat="1" ht="18" customHeight="1">
      <c r="A2" s="77" t="s">
        <v>1048</v>
      </c>
      <c r="B2" s="80">
        <f ca="1">IF(C2="元",C32,ROUND(C32/10000,0))</f>
        <v>33150</v>
      </c>
      <c r="C2" s="1260" t="str">
        <f>'数据-取费表'!B3</f>
        <v>元</v>
      </c>
      <c r="D2" s="840"/>
      <c r="E2" s="840"/>
      <c r="F2" s="840"/>
      <c r="G2" s="840"/>
      <c r="H2" s="840"/>
      <c r="I2" s="840"/>
      <c r="J2" s="840"/>
      <c r="K2" s="840"/>
    </row>
    <row r="3" spans="1:33" s="135" customFormat="1" ht="18" customHeight="1" thickBot="1">
      <c r="A3" s="79" t="s">
        <v>1049</v>
      </c>
      <c r="B3" s="80" t="e">
        <f ca="1">ROUND(C32/IF(C1="仅计算典型户型",'数据-取费表'!E5,'数据-取费表'!B5),0)</f>
        <v>#DIV/0!</v>
      </c>
      <c r="C3" s="1260" t="s">
        <v>1050</v>
      </c>
      <c r="D3" s="840"/>
      <c r="E3" s="840"/>
      <c r="F3" s="840"/>
      <c r="G3" s="840"/>
      <c r="H3" s="840"/>
      <c r="I3" s="840"/>
      <c r="J3" s="840"/>
      <c r="K3" s="840"/>
    </row>
    <row r="4" spans="1:33" s="139" customFormat="1" ht="16.5" customHeight="1">
      <c r="A4" s="136" t="s">
        <v>1051</v>
      </c>
      <c r="B4" s="137"/>
      <c r="C4" s="1003">
        <f>SUM(C8:K8)</f>
        <v>0</v>
      </c>
      <c r="D4" s="137"/>
      <c r="E4" s="137"/>
      <c r="F4" s="137"/>
      <c r="G4" s="137"/>
      <c r="H4" s="137"/>
      <c r="I4" s="137"/>
      <c r="J4" s="137"/>
      <c r="K4" s="138"/>
      <c r="L4" s="617"/>
      <c r="M4" s="617"/>
      <c r="N4" s="617"/>
      <c r="O4" s="617"/>
      <c r="P4" s="617"/>
      <c r="Q4" s="617"/>
      <c r="R4" s="617"/>
      <c r="S4" s="617"/>
      <c r="T4" s="617"/>
      <c r="U4" s="617"/>
      <c r="V4" s="617"/>
      <c r="W4" s="617"/>
      <c r="X4" s="617"/>
      <c r="Y4" s="617"/>
      <c r="Z4" s="617"/>
      <c r="AA4" s="617"/>
      <c r="AB4" s="617"/>
      <c r="AC4" s="617"/>
      <c r="AD4" s="617"/>
      <c r="AE4" s="617"/>
      <c r="AF4" s="617"/>
      <c r="AG4" s="617"/>
    </row>
    <row r="5" spans="1:33" s="142" customFormat="1" ht="15.6">
      <c r="A5" s="140" t="s">
        <v>1052</v>
      </c>
      <c r="B5" s="141" t="s">
        <v>1053</v>
      </c>
      <c r="C5" s="150"/>
      <c r="D5" s="150"/>
      <c r="E5" s="150"/>
      <c r="F5" s="150"/>
      <c r="G5" s="150"/>
      <c r="H5" s="150"/>
      <c r="I5" s="150"/>
      <c r="J5" s="150"/>
      <c r="K5" s="151"/>
      <c r="L5" s="618"/>
      <c r="M5" s="618"/>
      <c r="N5" s="618"/>
      <c r="O5" s="618"/>
      <c r="P5" s="618"/>
      <c r="Q5" s="618"/>
      <c r="R5" s="618"/>
      <c r="S5" s="618"/>
      <c r="T5" s="618"/>
      <c r="U5" s="618"/>
      <c r="V5" s="618"/>
      <c r="W5" s="618"/>
      <c r="X5" s="618"/>
      <c r="Y5" s="618"/>
      <c r="Z5" s="618"/>
      <c r="AA5" s="618"/>
      <c r="AB5" s="618"/>
      <c r="AC5" s="618"/>
      <c r="AD5" s="618"/>
      <c r="AE5" s="618"/>
      <c r="AF5" s="618"/>
      <c r="AG5" s="618"/>
    </row>
    <row r="6" spans="1:33" s="145" customFormat="1" ht="13.5" customHeight="1">
      <c r="A6" s="906" t="s">
        <v>1054</v>
      </c>
      <c r="B6" s="143" t="s">
        <v>1055</v>
      </c>
      <c r="C6" s="144">
        <v>35000</v>
      </c>
      <c r="D6" s="1000"/>
      <c r="E6" s="1000"/>
      <c r="F6" s="1000"/>
      <c r="G6" s="1000"/>
      <c r="H6" s="1000"/>
      <c r="I6" s="1000"/>
      <c r="J6" s="1000"/>
      <c r="K6" s="1001"/>
      <c r="L6" s="619"/>
      <c r="M6" s="619"/>
      <c r="N6" s="619"/>
      <c r="O6" s="619"/>
      <c r="P6" s="619"/>
      <c r="Q6" s="619"/>
      <c r="R6" s="619"/>
      <c r="S6" s="619"/>
      <c r="T6" s="619"/>
      <c r="U6" s="619"/>
      <c r="V6" s="619"/>
      <c r="W6" s="619"/>
      <c r="X6" s="619"/>
      <c r="Y6" s="619"/>
      <c r="Z6" s="619"/>
      <c r="AA6" s="619"/>
      <c r="AB6" s="619"/>
      <c r="AC6" s="619"/>
      <c r="AD6" s="619"/>
      <c r="AE6" s="619"/>
      <c r="AF6" s="619"/>
      <c r="AG6" s="619"/>
    </row>
    <row r="7" spans="1:33" s="145" customFormat="1" ht="13.5" customHeight="1">
      <c r="A7" s="906" t="s">
        <v>1056</v>
      </c>
      <c r="B7" s="143" t="s">
        <v>1057</v>
      </c>
      <c r="C7" s="146">
        <f>IF(C1="仅计算典型户型",'数据-取费表'!E5,'数据-取费表'!B5)</f>
        <v>0</v>
      </c>
      <c r="D7" s="146"/>
      <c r="E7" s="146"/>
      <c r="F7" s="146"/>
      <c r="G7" s="146"/>
      <c r="H7" s="146"/>
      <c r="I7" s="146"/>
      <c r="J7" s="146"/>
      <c r="K7" s="147"/>
      <c r="L7" s="619"/>
      <c r="M7" s="619"/>
      <c r="N7" s="619"/>
      <c r="O7" s="619"/>
      <c r="P7" s="619"/>
      <c r="Q7" s="619"/>
      <c r="R7" s="619"/>
      <c r="S7" s="619"/>
      <c r="T7" s="619"/>
      <c r="U7" s="619"/>
      <c r="V7" s="619"/>
      <c r="W7" s="619"/>
      <c r="X7" s="619"/>
      <c r="Y7" s="619"/>
      <c r="Z7" s="619"/>
      <c r="AA7" s="619"/>
      <c r="AB7" s="619"/>
      <c r="AC7" s="619"/>
      <c r="AD7" s="619"/>
      <c r="AE7" s="619"/>
      <c r="AF7" s="619"/>
      <c r="AG7" s="619"/>
    </row>
    <row r="8" spans="1:33" s="145" customFormat="1" ht="13.5" customHeight="1">
      <c r="A8" s="1261" t="s">
        <v>1058</v>
      </c>
      <c r="B8" s="143" t="s">
        <v>1059</v>
      </c>
      <c r="C8" s="586">
        <f>C6*C7</f>
        <v>0</v>
      </c>
      <c r="D8" s="1002"/>
      <c r="E8" s="1002"/>
      <c r="F8" s="1000"/>
      <c r="G8" s="1000"/>
      <c r="H8" s="1000"/>
      <c r="I8" s="1000"/>
      <c r="J8" s="1000"/>
      <c r="K8" s="1001"/>
      <c r="L8" s="619"/>
      <c r="M8" s="619"/>
      <c r="N8" s="619"/>
      <c r="O8" s="619"/>
      <c r="P8" s="619"/>
      <c r="Q8" s="619"/>
      <c r="R8" s="619"/>
      <c r="S8" s="619"/>
      <c r="T8" s="619"/>
      <c r="U8" s="619"/>
      <c r="V8" s="619"/>
      <c r="W8" s="619"/>
      <c r="X8" s="619"/>
      <c r="Y8" s="619"/>
      <c r="Z8" s="619"/>
      <c r="AA8" s="619"/>
      <c r="AB8" s="619"/>
      <c r="AC8" s="619"/>
      <c r="AD8" s="619"/>
      <c r="AE8" s="619"/>
      <c r="AF8" s="619"/>
      <c r="AG8" s="619"/>
    </row>
    <row r="9" spans="1:33" s="139" customFormat="1" ht="16.5" customHeight="1">
      <c r="A9" s="149" t="s">
        <v>1060</v>
      </c>
      <c r="B9" s="150"/>
      <c r="C9" s="150"/>
      <c r="D9" s="150"/>
      <c r="E9" s="150"/>
      <c r="F9" s="150"/>
      <c r="G9" s="150"/>
      <c r="H9" s="150"/>
      <c r="I9" s="150"/>
      <c r="J9" s="150"/>
      <c r="K9" s="151"/>
      <c r="L9" s="617"/>
      <c r="M9" s="617"/>
      <c r="N9" s="617"/>
      <c r="O9" s="617"/>
      <c r="P9" s="617"/>
      <c r="Q9" s="617"/>
      <c r="R9" s="617"/>
      <c r="S9" s="617"/>
      <c r="T9" s="617"/>
      <c r="U9" s="617"/>
      <c r="V9" s="617"/>
      <c r="W9" s="617"/>
      <c r="X9" s="617"/>
      <c r="Y9" s="617"/>
      <c r="Z9" s="617"/>
      <c r="AA9" s="617"/>
      <c r="AB9" s="617"/>
      <c r="AC9" s="617"/>
      <c r="AD9" s="617"/>
      <c r="AE9" s="617"/>
      <c r="AF9" s="617"/>
      <c r="AG9" s="617"/>
    </row>
    <row r="10" spans="1:33" s="157" customFormat="1" ht="13.5" customHeight="1">
      <c r="A10" s="140" t="s">
        <v>1052</v>
      </c>
      <c r="B10" s="152" t="s">
        <v>1053</v>
      </c>
      <c r="C10" s="153" t="s">
        <v>1061</v>
      </c>
      <c r="D10" s="154" t="s">
        <v>1062</v>
      </c>
      <c r="E10" s="154" t="s">
        <v>1063</v>
      </c>
      <c r="F10" s="154" t="s">
        <v>1064</v>
      </c>
      <c r="G10" s="152"/>
      <c r="H10" s="155"/>
      <c r="I10" s="155"/>
      <c r="J10" s="155"/>
      <c r="K10" s="156"/>
      <c r="L10" s="620"/>
      <c r="M10" s="620"/>
      <c r="N10" s="620"/>
      <c r="O10" s="620"/>
      <c r="P10" s="620"/>
      <c r="Q10" s="620"/>
      <c r="R10" s="620"/>
      <c r="S10" s="620"/>
      <c r="T10" s="620"/>
      <c r="U10" s="620"/>
      <c r="V10" s="620"/>
      <c r="W10" s="620"/>
      <c r="X10" s="620"/>
      <c r="Y10" s="620"/>
      <c r="Z10" s="620"/>
      <c r="AA10" s="620"/>
      <c r="AB10" s="620"/>
      <c r="AC10" s="620"/>
      <c r="AD10" s="620"/>
      <c r="AE10" s="620"/>
      <c r="AF10" s="620"/>
      <c r="AG10" s="620"/>
    </row>
    <row r="11" spans="1:33" s="162" customFormat="1" ht="13.5" customHeight="1">
      <c r="A11" s="907" t="s">
        <v>968</v>
      </c>
      <c r="B11" s="158" t="s">
        <v>1065</v>
      </c>
      <c r="C11" s="159">
        <f>IF(C1="仅计算典型户型",'数据-取费表'!F18,'数据-取费表'!E18)</f>
        <v>0</v>
      </c>
      <c r="D11" s="160"/>
      <c r="E11" s="30"/>
      <c r="F11" s="161">
        <f>1-'数据-取费表'!E20</f>
        <v>0.27</v>
      </c>
      <c r="G11" s="152"/>
      <c r="H11" s="155"/>
      <c r="I11" s="155"/>
      <c r="J11" s="155"/>
      <c r="K11" s="156"/>
      <c r="L11" s="621"/>
      <c r="M11" s="621"/>
      <c r="N11" s="621"/>
      <c r="O11" s="621"/>
      <c r="P11" s="621"/>
      <c r="Q11" s="621"/>
      <c r="R11" s="621"/>
      <c r="S11" s="621"/>
      <c r="T11" s="621"/>
      <c r="U11" s="621"/>
      <c r="V11" s="621"/>
      <c r="W11" s="621"/>
      <c r="X11" s="621"/>
      <c r="Y11" s="621"/>
      <c r="Z11" s="621"/>
      <c r="AA11" s="621"/>
      <c r="AB11" s="621"/>
      <c r="AC11" s="621"/>
      <c r="AD11" s="621"/>
      <c r="AE11" s="621"/>
      <c r="AF11" s="621"/>
      <c r="AG11" s="621"/>
    </row>
    <row r="12" spans="1:33" s="162" customFormat="1" ht="13.5" customHeight="1">
      <c r="A12" s="907" t="s">
        <v>969</v>
      </c>
      <c r="B12" s="158" t="s">
        <v>1066</v>
      </c>
      <c r="C12" s="12">
        <f>ROUND(C11*F12,0)</f>
        <v>0</v>
      </c>
      <c r="D12" s="160"/>
      <c r="E12" s="30"/>
      <c r="F12" s="163">
        <f>'数据-取费表'!E21</f>
        <v>0.03</v>
      </c>
      <c r="G12" s="152" t="s">
        <v>1067</v>
      </c>
      <c r="H12" s="155"/>
      <c r="I12" s="155"/>
      <c r="J12" s="155"/>
      <c r="K12" s="156"/>
      <c r="L12" s="621"/>
      <c r="M12" s="621"/>
      <c r="N12" s="621"/>
      <c r="O12" s="621"/>
      <c r="P12" s="621"/>
      <c r="Q12" s="621"/>
      <c r="R12" s="621"/>
      <c r="S12" s="621"/>
      <c r="T12" s="621"/>
      <c r="U12" s="621"/>
      <c r="V12" s="621"/>
      <c r="W12" s="621"/>
      <c r="X12" s="621"/>
      <c r="Y12" s="621"/>
      <c r="Z12" s="621"/>
      <c r="AA12" s="621"/>
      <c r="AB12" s="621"/>
      <c r="AC12" s="621"/>
      <c r="AD12" s="621"/>
      <c r="AE12" s="621"/>
      <c r="AF12" s="621"/>
      <c r="AG12" s="621"/>
    </row>
    <row r="13" spans="1:33" s="162" customFormat="1" ht="13.5" customHeight="1">
      <c r="A13" s="907" t="s">
        <v>970</v>
      </c>
      <c r="B13" s="158" t="s">
        <v>1068</v>
      </c>
      <c r="C13" s="12">
        <f>ROUND(IF('数据-取费表'!B10="住宅",C11*F13,0),0)</f>
        <v>0</v>
      </c>
      <c r="D13" s="160"/>
      <c r="E13" s="30"/>
      <c r="F13" s="163">
        <f>'数据-取费表'!E22</f>
        <v>0</v>
      </c>
      <c r="G13" s="152" t="s">
        <v>1069</v>
      </c>
      <c r="H13" s="155"/>
      <c r="I13" s="155"/>
      <c r="J13" s="155"/>
      <c r="K13" s="156"/>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1:33" s="164" customFormat="1" ht="13.5" customHeight="1">
      <c r="A14" s="907"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1"/>
      <c r="M14" s="621"/>
      <c r="N14" s="621"/>
      <c r="O14" s="621"/>
      <c r="P14" s="621"/>
      <c r="Q14" s="621"/>
      <c r="R14" s="621"/>
      <c r="S14" s="621"/>
      <c r="T14" s="621"/>
      <c r="U14" s="621"/>
      <c r="V14" s="621"/>
      <c r="W14" s="621"/>
      <c r="X14" s="621"/>
      <c r="Y14" s="621"/>
      <c r="Z14" s="621"/>
      <c r="AA14" s="621"/>
      <c r="AB14" s="621"/>
      <c r="AC14" s="621"/>
      <c r="AD14" s="621"/>
      <c r="AE14" s="621"/>
      <c r="AF14" s="621"/>
      <c r="AG14" s="621"/>
    </row>
    <row r="15" spans="1:33" s="164" customFormat="1" ht="13.5" customHeight="1">
      <c r="A15" s="907" t="s">
        <v>972</v>
      </c>
      <c r="B15" s="158" t="s">
        <v>1072</v>
      </c>
      <c r="C15" s="171">
        <f>ROUND(C11*F15,0)</f>
        <v>0</v>
      </c>
      <c r="D15" s="165"/>
      <c r="E15" s="171"/>
      <c r="F15" s="172">
        <f>'数据-取费表'!E24</f>
        <v>1.4999999999999999E-2</v>
      </c>
      <c r="G15" s="143" t="s">
        <v>1073</v>
      </c>
      <c r="H15" s="166"/>
      <c r="I15" s="166"/>
      <c r="J15" s="166"/>
      <c r="K15" s="167"/>
      <c r="L15" s="621"/>
      <c r="M15" s="621"/>
      <c r="N15" s="621"/>
      <c r="O15" s="621"/>
      <c r="P15" s="621"/>
      <c r="Q15" s="621"/>
      <c r="R15" s="621"/>
      <c r="S15" s="621"/>
      <c r="T15" s="621"/>
      <c r="U15" s="621"/>
      <c r="V15" s="621"/>
      <c r="W15" s="621"/>
      <c r="X15" s="621"/>
      <c r="Y15" s="621"/>
      <c r="Z15" s="621"/>
      <c r="AA15" s="621"/>
      <c r="AB15" s="621"/>
      <c r="AC15" s="621"/>
      <c r="AD15" s="621"/>
      <c r="AE15" s="621"/>
      <c r="AF15" s="621"/>
      <c r="AG15" s="621"/>
    </row>
    <row r="16" spans="1:33" s="164" customFormat="1" ht="13.5" customHeight="1">
      <c r="A16" s="907" t="s">
        <v>1074</v>
      </c>
      <c r="B16" s="158" t="s">
        <v>1075</v>
      </c>
      <c r="C16" s="159">
        <f>SUM(C11:C15)</f>
        <v>0</v>
      </c>
      <c r="D16" s="160"/>
      <c r="E16" s="12"/>
      <c r="F16" s="163"/>
      <c r="G16" s="152"/>
      <c r="H16" s="155"/>
      <c r="I16" s="155"/>
      <c r="J16" s="155"/>
      <c r="K16" s="156"/>
      <c r="L16" s="621"/>
      <c r="M16" s="621"/>
      <c r="N16" s="621"/>
      <c r="O16" s="621"/>
      <c r="P16" s="621"/>
      <c r="Q16" s="621"/>
      <c r="R16" s="621"/>
      <c r="S16" s="621"/>
      <c r="T16" s="621"/>
      <c r="U16" s="621"/>
      <c r="V16" s="621"/>
      <c r="W16" s="621"/>
      <c r="X16" s="621"/>
      <c r="Y16" s="621"/>
      <c r="Z16" s="621"/>
      <c r="AA16" s="621"/>
      <c r="AB16" s="621"/>
      <c r="AC16" s="621"/>
      <c r="AD16" s="621"/>
      <c r="AE16" s="621"/>
      <c r="AF16" s="621"/>
      <c r="AG16" s="621"/>
    </row>
    <row r="17" spans="1:33" s="164" customFormat="1" ht="13.5" customHeight="1">
      <c r="A17" s="907"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1"/>
      <c r="M17" s="621"/>
      <c r="N17" s="621"/>
      <c r="O17" s="621"/>
      <c r="P17" s="621"/>
      <c r="Q17" s="621"/>
      <c r="R17" s="621"/>
      <c r="S17" s="621"/>
      <c r="T17" s="621"/>
      <c r="U17" s="621"/>
      <c r="V17" s="621"/>
      <c r="W17" s="621"/>
      <c r="X17" s="621"/>
      <c r="Y17" s="621"/>
      <c r="Z17" s="621"/>
      <c r="AA17" s="621"/>
      <c r="AB17" s="621"/>
      <c r="AC17" s="621"/>
      <c r="AD17" s="621"/>
      <c r="AE17" s="621"/>
      <c r="AF17" s="621"/>
      <c r="AG17" s="621"/>
    </row>
    <row r="18" spans="1:33" s="162" customFormat="1" ht="13.5" customHeight="1">
      <c r="A18" s="907" t="s">
        <v>1079</v>
      </c>
      <c r="B18" s="158" t="s">
        <v>1080</v>
      </c>
      <c r="C18" s="12">
        <f>C19+C20-'数据-取费表'!E13</f>
        <v>-33118</v>
      </c>
      <c r="D18" s="160"/>
      <c r="E18" s="12"/>
      <c r="F18" s="163"/>
      <c r="G18" s="143" t="s">
        <v>1081</v>
      </c>
      <c r="H18" s="166"/>
      <c r="I18" s="166"/>
      <c r="J18" s="166"/>
      <c r="K18" s="167"/>
      <c r="L18" s="621"/>
      <c r="M18" s="621"/>
      <c r="N18" s="621"/>
      <c r="O18" s="621"/>
      <c r="P18" s="621"/>
      <c r="Q18" s="621"/>
      <c r="R18" s="621"/>
      <c r="S18" s="621"/>
      <c r="T18" s="621"/>
      <c r="U18" s="621"/>
      <c r="V18" s="621"/>
      <c r="W18" s="621"/>
      <c r="X18" s="621"/>
      <c r="Y18" s="621"/>
      <c r="Z18" s="621"/>
      <c r="AA18" s="621"/>
      <c r="AB18" s="621"/>
      <c r="AC18" s="621"/>
      <c r="AD18" s="621"/>
      <c r="AE18" s="621"/>
      <c r="AF18" s="621"/>
      <c r="AG18" s="621"/>
    </row>
    <row r="19" spans="1:33" s="162" customFormat="1" ht="13.5" customHeight="1">
      <c r="A19" s="907" t="s">
        <v>765</v>
      </c>
      <c r="B19" s="158" t="s">
        <v>1082</v>
      </c>
      <c r="C19" s="12">
        <f>ROUND(D19*E19,0)</f>
        <v>0</v>
      </c>
      <c r="D19" s="160">
        <f>IF('数据-取费表'!B10="住宅",IF(C1="仅计算典型户型",'数据-取费表'!E5,'数据-取费表'!B5),0)</f>
        <v>0</v>
      </c>
      <c r="E19" s="12">
        <f>'数据-取费表'!E11</f>
        <v>0</v>
      </c>
      <c r="F19" s="163"/>
      <c r="G19" s="168"/>
      <c r="H19" s="169"/>
      <c r="I19" s="169"/>
      <c r="J19" s="169"/>
      <c r="K19" s="170"/>
      <c r="L19" s="621"/>
      <c r="M19" s="621"/>
      <c r="N19" s="621"/>
      <c r="O19" s="621"/>
      <c r="P19" s="621"/>
      <c r="Q19" s="621"/>
      <c r="R19" s="621"/>
      <c r="S19" s="621"/>
      <c r="T19" s="621"/>
      <c r="U19" s="621"/>
      <c r="V19" s="621"/>
      <c r="W19" s="621"/>
      <c r="X19" s="621"/>
      <c r="Y19" s="621"/>
      <c r="Z19" s="621"/>
      <c r="AA19" s="621"/>
      <c r="AB19" s="621"/>
      <c r="AC19" s="621"/>
      <c r="AD19" s="621"/>
      <c r="AE19" s="621"/>
      <c r="AF19" s="621"/>
      <c r="AG19" s="621"/>
    </row>
    <row r="20" spans="1:33" s="162" customFormat="1" ht="13.5" customHeight="1">
      <c r="A20" s="907"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1"/>
      <c r="M20" s="621"/>
      <c r="N20" s="621"/>
      <c r="O20" s="621"/>
      <c r="P20" s="621"/>
      <c r="Q20" s="621"/>
      <c r="R20" s="621"/>
      <c r="S20" s="621"/>
      <c r="T20" s="621"/>
      <c r="U20" s="621"/>
      <c r="V20" s="621"/>
      <c r="W20" s="621"/>
      <c r="X20" s="621"/>
      <c r="Y20" s="621"/>
      <c r="Z20" s="621"/>
      <c r="AA20" s="621"/>
      <c r="AB20" s="621"/>
      <c r="AC20" s="621"/>
      <c r="AD20" s="621"/>
      <c r="AE20" s="621"/>
      <c r="AF20" s="621"/>
      <c r="AG20" s="621"/>
    </row>
    <row r="21" spans="1:33" s="162" customFormat="1" ht="13.5" customHeight="1">
      <c r="A21" s="906" t="s">
        <v>1054</v>
      </c>
      <c r="B21" s="173" t="s">
        <v>1084</v>
      </c>
      <c r="C21" s="174">
        <f>C16+C17+C18</f>
        <v>-33118</v>
      </c>
      <c r="D21" s="175"/>
      <c r="E21" s="176"/>
      <c r="F21" s="176"/>
      <c r="G21" s="143" t="s">
        <v>1085</v>
      </c>
      <c r="H21" s="166"/>
      <c r="I21" s="166"/>
      <c r="J21" s="166"/>
      <c r="K21" s="167"/>
      <c r="L21" s="621"/>
      <c r="M21" s="621"/>
      <c r="N21" s="621"/>
      <c r="O21" s="621"/>
      <c r="P21" s="621"/>
      <c r="Q21" s="621"/>
      <c r="R21" s="621"/>
      <c r="S21" s="621"/>
      <c r="T21" s="621"/>
      <c r="U21" s="621"/>
      <c r="V21" s="621"/>
      <c r="W21" s="621"/>
      <c r="X21" s="621"/>
      <c r="Y21" s="621"/>
      <c r="Z21" s="621"/>
      <c r="AA21" s="621"/>
      <c r="AB21" s="621"/>
      <c r="AC21" s="621"/>
      <c r="AD21" s="621"/>
      <c r="AE21" s="621"/>
      <c r="AF21" s="621"/>
      <c r="AG21" s="621"/>
    </row>
    <row r="22" spans="1:33" s="162" customFormat="1" ht="13.5" customHeight="1">
      <c r="A22" s="906" t="s">
        <v>1056</v>
      </c>
      <c r="B22" s="173" t="s">
        <v>1086</v>
      </c>
      <c r="C22" s="174">
        <f>ROUND(C21*F22,0)</f>
        <v>-994</v>
      </c>
      <c r="D22" s="176"/>
      <c r="E22" s="176"/>
      <c r="F22" s="177">
        <f>'数据-取费表'!E25</f>
        <v>0.03</v>
      </c>
      <c r="G22" s="152" t="s">
        <v>1087</v>
      </c>
      <c r="H22" s="155"/>
      <c r="I22" s="155"/>
      <c r="J22" s="155"/>
      <c r="K22" s="156"/>
      <c r="L22" s="178"/>
      <c r="M22" s="178"/>
      <c r="N22" s="178"/>
    </row>
    <row r="23" spans="1:33" s="162" customFormat="1" ht="13.5" customHeight="1">
      <c r="A23" s="906" t="s">
        <v>1058</v>
      </c>
      <c r="B23" s="173" t="s">
        <v>1088</v>
      </c>
      <c r="C23" s="174">
        <f>ROUND(C4*F23*F11,0)</f>
        <v>0</v>
      </c>
      <c r="D23" s="176"/>
      <c r="E23" s="176"/>
      <c r="F23" s="177">
        <f>'数据-取费表'!E26</f>
        <v>0.03</v>
      </c>
      <c r="G23" s="152" t="s">
        <v>1089</v>
      </c>
      <c r="H23" s="155"/>
      <c r="I23" s="155"/>
      <c r="J23" s="155"/>
      <c r="K23" s="156"/>
    </row>
    <row r="24" spans="1:33" s="162" customFormat="1" ht="13.5" customHeight="1">
      <c r="A24" s="906"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6"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7"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7"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6" t="s">
        <v>1100</v>
      </c>
      <c r="B28" s="194" t="s">
        <v>1101</v>
      </c>
      <c r="C28" s="195">
        <f>C30</f>
        <v>-6822</v>
      </c>
      <c r="D28" s="179">
        <f>C29</f>
        <v>0.20580000000000001</v>
      </c>
      <c r="E28" s="185" t="s">
        <v>12</v>
      </c>
      <c r="F28" s="196">
        <f>'数据-取费表'!E28</f>
        <v>0.2</v>
      </c>
      <c r="G28" s="181"/>
      <c r="H28" s="182"/>
      <c r="I28" s="182"/>
      <c r="J28" s="182"/>
      <c r="K28" s="183"/>
    </row>
    <row r="29" spans="1:33" s="200" customFormat="1" ht="13.5" customHeight="1">
      <c r="A29" s="907" t="s">
        <v>1102</v>
      </c>
      <c r="B29" s="198" t="s">
        <v>1103</v>
      </c>
      <c r="C29" s="189">
        <f>ROUND((1+C24)*F28,4)</f>
        <v>0.20580000000000001</v>
      </c>
      <c r="D29" s="189"/>
      <c r="E29" s="190"/>
      <c r="F29" s="199"/>
      <c r="G29" s="143" t="s">
        <v>1104</v>
      </c>
      <c r="H29" s="166"/>
      <c r="I29" s="166"/>
      <c r="J29" s="166"/>
      <c r="K29" s="167"/>
    </row>
    <row r="30" spans="1:33" s="200" customFormat="1" ht="13.5" customHeight="1">
      <c r="A30" s="907" t="s">
        <v>1105</v>
      </c>
      <c r="B30" s="198" t="s">
        <v>1106</v>
      </c>
      <c r="C30" s="201">
        <f>ROUND((C21+C22+C23)*F28,0)</f>
        <v>-6822</v>
      </c>
      <c r="D30" s="189"/>
      <c r="E30" s="202"/>
      <c r="F30" s="199"/>
      <c r="G30" s="143"/>
      <c r="H30" s="166"/>
      <c r="I30" s="166"/>
      <c r="J30" s="166"/>
      <c r="K30" s="167"/>
    </row>
    <row r="31" spans="1:33" s="178" customFormat="1" ht="13.5" customHeight="1" thickBot="1">
      <c r="A31" s="1262" t="s">
        <v>1107</v>
      </c>
      <c r="B31" s="173" t="s">
        <v>1108</v>
      </c>
      <c r="C31" s="203">
        <f>ROUND(C4*F31/(1+'数据-取费表'!F30),0)</f>
        <v>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33150</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13" zoomScale="60" zoomScaleNormal="60" workbookViewId="0">
      <selection activeCell="G43" sqref="G43"/>
    </sheetView>
  </sheetViews>
  <sheetFormatPr defaultColWidth="9" defaultRowHeight="15"/>
  <cols>
    <col min="1" max="1" width="9" style="221" customWidth="1"/>
    <col min="2" max="2" width="20.6640625" style="283" customWidth="1"/>
    <col min="3" max="3" width="11.88671875" style="283" customWidth="1"/>
    <col min="4" max="4" width="40.44140625" style="221" customWidth="1"/>
    <col min="5" max="5" width="15.77734375" style="221" customWidth="1"/>
    <col min="6" max="6" width="10.6640625" style="221" customWidth="1"/>
    <col min="7" max="7" width="4.88671875" style="221" customWidth="1"/>
    <col min="8" max="8" width="8.44140625" style="221" customWidth="1"/>
    <col min="9" max="9" width="21.21875" style="221" customWidth="1"/>
    <col min="10" max="10" width="12.21875" style="221" customWidth="1"/>
    <col min="11" max="11" width="40.109375" style="273" customWidth="1"/>
    <col min="12" max="12" width="18.33203125" style="221" customWidth="1"/>
    <col min="13" max="13" width="13" style="221" customWidth="1"/>
    <col min="14" max="14" width="13.109375" style="623" customWidth="1"/>
    <col min="15" max="15" width="5.21875" style="623" customWidth="1"/>
    <col min="16" max="16" width="24.88671875" style="623" customWidth="1"/>
    <col min="17" max="17" width="13.77734375" style="626" customWidth="1"/>
    <col min="18" max="18" width="26.109375" style="623" customWidth="1"/>
    <col min="19" max="19" width="1.44140625" style="623" customWidth="1"/>
    <col min="20" max="37" width="9" style="623"/>
    <col min="38" max="16384" width="9" style="221"/>
  </cols>
  <sheetData>
    <row r="1" spans="1:37" s="219" customFormat="1" ht="21.6">
      <c r="A1" s="217" t="s">
        <v>1764</v>
      </c>
      <c r="B1" s="218"/>
      <c r="C1" s="587"/>
      <c r="D1" s="1462" t="s">
        <v>2506</v>
      </c>
      <c r="E1" s="1463" t="s">
        <v>1001</v>
      </c>
      <c r="F1" s="1464"/>
      <c r="G1" s="1465" t="e">
        <f>MATCH(C1,'数据-取费表'!A19:A19,0)+5</f>
        <v>#N/A</v>
      </c>
      <c r="H1" s="2685"/>
      <c r="I1" s="841"/>
      <c r="J1" s="841"/>
      <c r="K1" s="842"/>
      <c r="L1" s="841"/>
      <c r="M1" s="841"/>
      <c r="N1" s="628"/>
      <c r="O1" s="628"/>
      <c r="P1" s="628"/>
      <c r="Q1" s="948"/>
      <c r="R1" s="628"/>
      <c r="S1" s="628"/>
      <c r="T1" s="628"/>
      <c r="U1" s="628"/>
      <c r="V1" s="628"/>
      <c r="W1" s="628"/>
      <c r="X1" s="628"/>
      <c r="Y1" s="628"/>
      <c r="Z1" s="628"/>
      <c r="AA1" s="628"/>
      <c r="AB1" s="628"/>
      <c r="AC1" s="628"/>
      <c r="AD1" s="628"/>
      <c r="AE1" s="628"/>
      <c r="AF1" s="628"/>
      <c r="AG1" s="628"/>
      <c r="AH1" s="628"/>
      <c r="AI1" s="628"/>
      <c r="AJ1" s="628"/>
      <c r="AK1" s="628"/>
    </row>
    <row r="2" spans="1:37" ht="18" customHeight="1">
      <c r="A2" s="77" t="s">
        <v>1674</v>
      </c>
      <c r="B2" s="614">
        <f ca="1">IF(C2="元",IF('数据-取费表'!B29="租赁期内按合同租金",C40+L47+J29,C40+L47),ROUND(IF('数据-取费表'!B29="租赁期内按合同租金",(C40+L47+J29)/10000,(C40+L47)/10000),0))</f>
        <v>3779482</v>
      </c>
      <c r="C2" s="951" t="str">
        <f>'数据-取费表'!B3</f>
        <v>元</v>
      </c>
      <c r="D2" s="843"/>
      <c r="E2" s="844"/>
      <c r="F2" s="844"/>
      <c r="G2" s="866"/>
      <c r="H2" s="845"/>
      <c r="I2" s="845"/>
      <c r="J2" s="845"/>
      <c r="K2" s="846"/>
      <c r="L2" s="845"/>
      <c r="M2" s="845"/>
    </row>
    <row r="3" spans="1:37" ht="18" customHeight="1" thickBot="1">
      <c r="A3" s="222" t="s">
        <v>1675</v>
      </c>
      <c r="B3" s="615">
        <f ca="1">ROUND(IF('数据-取费表'!B29="租赁期内按合同租金",(C40+L47+J29)/F43,(C40+L47)/F43),0)</f>
        <v>22824</v>
      </c>
      <c r="C3" s="951" t="s">
        <v>1765</v>
      </c>
      <c r="D3" s="843"/>
      <c r="E3" s="844"/>
      <c r="F3" s="844"/>
      <c r="G3" s="866"/>
      <c r="H3" s="223" t="s">
        <v>1766</v>
      </c>
      <c r="I3" s="845"/>
      <c r="J3" s="845"/>
      <c r="K3" s="846"/>
      <c r="L3" s="845"/>
      <c r="M3" s="845"/>
    </row>
    <row r="4" spans="1:37" ht="18" customHeight="1">
      <c r="A4" s="224" t="s">
        <v>1767</v>
      </c>
      <c r="B4" s="225" t="s">
        <v>1768</v>
      </c>
      <c r="C4" s="225" t="s">
        <v>1769</v>
      </c>
      <c r="D4" s="225" t="s">
        <v>1770</v>
      </c>
      <c r="E4" s="226" t="s">
        <v>1771</v>
      </c>
      <c r="F4" s="227"/>
      <c r="G4" s="864"/>
      <c r="H4" s="224" t="s">
        <v>1767</v>
      </c>
      <c r="I4" s="225" t="s">
        <v>1768</v>
      </c>
      <c r="J4" s="225" t="s">
        <v>1769</v>
      </c>
      <c r="K4" s="225" t="s">
        <v>1770</v>
      </c>
      <c r="L4" s="226" t="s">
        <v>1771</v>
      </c>
      <c r="M4" s="227"/>
    </row>
    <row r="5" spans="1:37" ht="18" customHeight="1">
      <c r="A5" s="228">
        <v>1</v>
      </c>
      <c r="B5" s="229" t="s">
        <v>1772</v>
      </c>
      <c r="C5" s="230">
        <f ca="1">C6+C10+C12</f>
        <v>261428</v>
      </c>
      <c r="D5" s="1470" t="s">
        <v>2485</v>
      </c>
      <c r="E5" s="843"/>
      <c r="F5" s="965"/>
      <c r="G5" s="864"/>
      <c r="H5" s="228">
        <v>1</v>
      </c>
      <c r="I5" s="229" t="s">
        <v>1772</v>
      </c>
      <c r="J5" s="230">
        <f ca="1">J6+J10+J12</f>
        <v>0</v>
      </c>
      <c r="K5" s="1364" t="s">
        <v>1773</v>
      </c>
      <c r="L5" s="843"/>
      <c r="M5" s="965"/>
    </row>
    <row r="6" spans="1:37" ht="18" customHeight="1">
      <c r="A6" s="966" t="s">
        <v>1774</v>
      </c>
      <c r="B6" s="1294" t="s">
        <v>1775</v>
      </c>
      <c r="C6" s="230">
        <f>ROUND(F6*F8*F7*(1-F9),0)</f>
        <v>261102</v>
      </c>
      <c r="D6" s="32" t="s">
        <v>2461</v>
      </c>
      <c r="E6" s="231" t="s">
        <v>1776</v>
      </c>
      <c r="F6" s="232">
        <f>'数据-取费表'!B30</f>
        <v>4.8</v>
      </c>
      <c r="G6" s="864"/>
      <c r="H6" s="966" t="s">
        <v>1774</v>
      </c>
      <c r="I6" s="1294" t="s">
        <v>1775</v>
      </c>
      <c r="J6" s="230">
        <f>ROUND(M6*M8*M7*(1-M9),0)</f>
        <v>0</v>
      </c>
      <c r="K6" s="32" t="s">
        <v>2461</v>
      </c>
      <c r="L6" s="231" t="s">
        <v>1776</v>
      </c>
      <c r="M6" s="232">
        <f>'数据-取费表'!B37</f>
        <v>0</v>
      </c>
    </row>
    <row r="7" spans="1:37" ht="18" customHeight="1">
      <c r="A7" s="999"/>
      <c r="B7" s="234"/>
      <c r="C7" s="235"/>
      <c r="D7" s="236"/>
      <c r="E7" s="231" t="s">
        <v>1777</v>
      </c>
      <c r="F7" s="232">
        <f>IF('数据-取费表'!B42="",IF(D1="仅计算典型户型",'数据-取费表'!E5,'数据-取费表'!B5),'数据-取费表'!B42)</f>
        <v>165.59</v>
      </c>
      <c r="G7" s="864"/>
      <c r="H7" s="233"/>
      <c r="I7" s="234"/>
      <c r="J7" s="235"/>
      <c r="K7" s="236"/>
      <c r="L7" s="231" t="s">
        <v>1777</v>
      </c>
      <c r="M7" s="232">
        <f>IF('数据-取费表'!B42="",IF(D1="仅计算典型户型",'数据-取费表'!E5,'数据-取费表'!B5),'数据-取费表'!B42)</f>
        <v>165.59</v>
      </c>
    </row>
    <row r="8" spans="1:37" ht="18" customHeight="1">
      <c r="A8" s="999"/>
      <c r="B8" s="234"/>
      <c r="C8" s="235"/>
      <c r="D8" s="236"/>
      <c r="E8" s="231" t="s">
        <v>1778</v>
      </c>
      <c r="F8" s="232">
        <f>'数据-取费表'!B43</f>
        <v>365</v>
      </c>
      <c r="G8" s="864"/>
      <c r="H8" s="233"/>
      <c r="I8" s="234"/>
      <c r="J8" s="235"/>
      <c r="K8" s="236"/>
      <c r="L8" s="231" t="s">
        <v>1779</v>
      </c>
      <c r="M8" s="232">
        <f>'数据-取费表'!B43</f>
        <v>365</v>
      </c>
    </row>
    <row r="9" spans="1:37" ht="18" customHeight="1">
      <c r="A9" s="999"/>
      <c r="B9" s="234"/>
      <c r="C9" s="235"/>
      <c r="D9" s="240"/>
      <c r="E9" s="231" t="s">
        <v>1780</v>
      </c>
      <c r="F9" s="241">
        <f>'数据-取费表'!B33</f>
        <v>0.1</v>
      </c>
      <c r="G9" s="864"/>
      <c r="H9" s="233"/>
      <c r="I9" s="234"/>
      <c r="J9" s="968"/>
      <c r="K9" s="39"/>
      <c r="L9" s="242" t="s">
        <v>1780</v>
      </c>
      <c r="M9" s="241">
        <f>'数据-取费表'!B39</f>
        <v>0</v>
      </c>
    </row>
    <row r="10" spans="1:37" ht="18" customHeight="1">
      <c r="A10" s="966" t="s">
        <v>1781</v>
      </c>
      <c r="B10" s="1365" t="s">
        <v>1782</v>
      </c>
      <c r="C10" s="967">
        <f ca="1">ROUND(IF(F10="押一",C6/12*F11,IF(F10="押二",C6/12*2*F11,IF(F10="押三",C6/12*3*F11,C11*F11))),0)</f>
        <v>326</v>
      </c>
      <c r="D10" s="1366" t="s">
        <v>2466</v>
      </c>
      <c r="E10" s="242" t="s">
        <v>1783</v>
      </c>
      <c r="F10" s="1367" t="s">
        <v>1784</v>
      </c>
      <c r="G10" s="864"/>
      <c r="H10" s="966" t="s">
        <v>1781</v>
      </c>
      <c r="I10" s="1365" t="s">
        <v>1782</v>
      </c>
      <c r="J10" s="967">
        <f ca="1">ROUND(IF(M10="押一",J6/12*M11,IF(M10="押二",J6/12*2*M11,IF(M10="押三",J6/12*3*M11,J11*M11))),0)</f>
        <v>0</v>
      </c>
      <c r="K10" s="32" t="s">
        <v>2466</v>
      </c>
      <c r="L10" s="242" t="s">
        <v>1783</v>
      </c>
      <c r="M10" s="1367"/>
    </row>
    <row r="11" spans="1:37" s="253" customFormat="1" ht="18" customHeight="1">
      <c r="A11" s="259"/>
      <c r="B11" s="1368" t="s">
        <v>1785</v>
      </c>
      <c r="C11" s="971"/>
      <c r="D11" s="236"/>
      <c r="E11" s="242" t="s">
        <v>1786</v>
      </c>
      <c r="F11" s="243">
        <f ca="1">'数据-取费表'!B31</f>
        <v>1.4999999999999999E-2</v>
      </c>
      <c r="G11" s="865"/>
      <c r="H11" s="237"/>
      <c r="I11" s="1368" t="s">
        <v>1787</v>
      </c>
      <c r="J11" s="971"/>
      <c r="K11" s="236"/>
      <c r="L11" s="242" t="s">
        <v>1786</v>
      </c>
      <c r="M11" s="243">
        <f ca="1">'数据-取费表'!B31</f>
        <v>1.4999999999999999E-2</v>
      </c>
      <c r="N11" s="627"/>
      <c r="O11" s="627"/>
      <c r="P11" s="627"/>
      <c r="Q11" s="949"/>
      <c r="R11" s="627"/>
      <c r="S11" s="627"/>
      <c r="T11" s="627"/>
      <c r="U11" s="627"/>
      <c r="V11" s="627"/>
      <c r="W11" s="627"/>
      <c r="X11" s="627"/>
      <c r="Y11" s="627"/>
      <c r="Z11" s="627"/>
      <c r="AA11" s="627"/>
      <c r="AB11" s="627"/>
      <c r="AC11" s="627"/>
      <c r="AD11" s="627"/>
      <c r="AE11" s="627"/>
      <c r="AF11" s="627"/>
      <c r="AG11" s="627"/>
      <c r="AH11" s="627"/>
      <c r="AI11" s="627"/>
      <c r="AJ11" s="627"/>
      <c r="AK11" s="627"/>
    </row>
    <row r="12" spans="1:37" ht="18" customHeight="1" thickBot="1">
      <c r="A12" s="976" t="s">
        <v>1788</v>
      </c>
      <c r="B12" s="1369" t="s">
        <v>1789</v>
      </c>
      <c r="C12" s="977"/>
      <c r="D12" s="1370"/>
      <c r="E12" s="983"/>
      <c r="F12" s="978"/>
      <c r="G12" s="864"/>
      <c r="H12" s="976" t="s">
        <v>1788</v>
      </c>
      <c r="I12" s="1369" t="s">
        <v>1789</v>
      </c>
      <c r="J12" s="977"/>
      <c r="K12" s="993"/>
      <c r="L12" s="983"/>
      <c r="M12" s="994"/>
    </row>
    <row r="13" spans="1:37" s="253" customFormat="1" ht="18" customHeight="1" thickTop="1">
      <c r="A13" s="972">
        <v>2</v>
      </c>
      <c r="B13" s="973" t="s">
        <v>1790</v>
      </c>
      <c r="C13" s="239">
        <f ca="1">ROUND(C29*F13,0)</f>
        <v>744411</v>
      </c>
      <c r="D13" s="974" t="s">
        <v>1791</v>
      </c>
      <c r="E13" s="974" t="s">
        <v>1792</v>
      </c>
      <c r="F13" s="975">
        <f>'数据-取费表'!E20</f>
        <v>0.73</v>
      </c>
      <c r="G13" s="865"/>
      <c r="H13" s="972">
        <v>2</v>
      </c>
      <c r="I13" s="973" t="s">
        <v>1790</v>
      </c>
      <c r="J13" s="968">
        <f ca="1">ROUND(J14*J15,0)</f>
        <v>0</v>
      </c>
      <c r="K13" s="979" t="s">
        <v>1791</v>
      </c>
      <c r="L13" s="991"/>
      <c r="M13" s="992"/>
      <c r="N13" s="627"/>
      <c r="O13" s="627"/>
      <c r="P13" s="627"/>
      <c r="Q13" s="949"/>
      <c r="R13" s="627"/>
      <c r="S13" s="627"/>
      <c r="T13" s="627"/>
      <c r="U13" s="627"/>
      <c r="V13" s="627"/>
      <c r="W13" s="627"/>
      <c r="X13" s="627"/>
      <c r="Y13" s="627"/>
      <c r="Z13" s="627"/>
      <c r="AA13" s="627"/>
      <c r="AB13" s="627"/>
      <c r="AC13" s="627"/>
      <c r="AD13" s="627"/>
      <c r="AE13" s="627"/>
      <c r="AF13" s="627"/>
      <c r="AG13" s="627"/>
      <c r="AH13" s="627"/>
      <c r="AI13" s="627"/>
      <c r="AJ13" s="627"/>
      <c r="AK13" s="627"/>
    </row>
    <row r="14" spans="1:37" s="253" customFormat="1" ht="18" customHeight="1">
      <c r="A14" s="249" t="s">
        <v>1793</v>
      </c>
      <c r="B14" s="231" t="s">
        <v>1794</v>
      </c>
      <c r="C14" s="250">
        <f>IF(D1="仅计算典型户型",'数据-取费表'!F18,'数据-取费表'!E18)</f>
        <v>662360</v>
      </c>
      <c r="D14" s="1196" t="s">
        <v>1795</v>
      </c>
      <c r="E14" s="1197"/>
      <c r="F14" s="723"/>
      <c r="G14" s="865"/>
      <c r="H14" s="249" t="s">
        <v>1774</v>
      </c>
      <c r="I14" s="231" t="s">
        <v>1796</v>
      </c>
      <c r="J14" s="12">
        <f ca="1">C29</f>
        <v>1019741</v>
      </c>
      <c r="K14" s="11"/>
      <c r="L14" s="247"/>
      <c r="M14" s="248"/>
      <c r="N14" s="627"/>
      <c r="O14" s="627"/>
      <c r="P14" s="627"/>
      <c r="Q14" s="949"/>
      <c r="R14" s="627"/>
      <c r="S14" s="627"/>
      <c r="T14" s="627"/>
      <c r="U14" s="627"/>
      <c r="V14" s="627"/>
      <c r="W14" s="627"/>
      <c r="X14" s="627"/>
      <c r="Y14" s="627"/>
      <c r="Z14" s="627"/>
      <c r="AA14" s="627"/>
      <c r="AB14" s="627"/>
      <c r="AC14" s="627"/>
      <c r="AD14" s="627"/>
      <c r="AE14" s="627"/>
      <c r="AF14" s="627"/>
      <c r="AG14" s="627"/>
      <c r="AH14" s="627"/>
      <c r="AI14" s="627"/>
      <c r="AJ14" s="627"/>
      <c r="AK14" s="627"/>
    </row>
    <row r="15" spans="1:37" ht="18" customHeight="1" thickBot="1">
      <c r="A15" s="249" t="s">
        <v>1797</v>
      </c>
      <c r="B15" s="231" t="s">
        <v>1798</v>
      </c>
      <c r="C15" s="12">
        <f>ROUND(C14*F15,0)</f>
        <v>19871</v>
      </c>
      <c r="D15" s="251" t="s">
        <v>1799</v>
      </c>
      <c r="E15" s="251" t="s">
        <v>1800</v>
      </c>
      <c r="F15" s="252">
        <f>'数据-取费表'!E21</f>
        <v>0.03</v>
      </c>
      <c r="G15" s="864"/>
      <c r="H15" s="982" t="s">
        <v>1801</v>
      </c>
      <c r="I15" s="983" t="s">
        <v>1802</v>
      </c>
      <c r="J15" s="995">
        <f>'数据-取费表'!B40</f>
        <v>0</v>
      </c>
      <c r="K15" s="996"/>
      <c r="L15" s="997"/>
      <c r="M15" s="998"/>
    </row>
    <row r="16" spans="1:37" s="253" customFormat="1" ht="18" customHeight="1" thickTop="1">
      <c r="A16" s="249" t="s">
        <v>1803</v>
      </c>
      <c r="B16" s="231" t="s">
        <v>1804</v>
      </c>
      <c r="C16" s="12">
        <f>ROUND(C14*F16,0)</f>
        <v>0</v>
      </c>
      <c r="D16" s="231" t="s">
        <v>1799</v>
      </c>
      <c r="E16" s="231" t="s">
        <v>1800</v>
      </c>
      <c r="F16" s="254">
        <f>IF('数据-取费表'!B10="住宅",'数据-取费表'!E22,0)</f>
        <v>0</v>
      </c>
      <c r="G16" s="865"/>
      <c r="H16" s="972" t="s">
        <v>14</v>
      </c>
      <c r="I16" s="973" t="s">
        <v>1805</v>
      </c>
      <c r="J16" s="239">
        <f ca="1">ROUND(J17+J22+J23+J24,0)</f>
        <v>10197</v>
      </c>
      <c r="K16" s="979" t="s">
        <v>1806</v>
      </c>
      <c r="L16" s="980"/>
      <c r="M16" s="981"/>
      <c r="N16" s="627"/>
      <c r="O16" s="627"/>
      <c r="P16" s="627"/>
      <c r="Q16" s="949"/>
      <c r="R16" s="627"/>
      <c r="S16" s="627"/>
      <c r="T16" s="627"/>
      <c r="U16" s="627"/>
      <c r="V16" s="627"/>
      <c r="W16" s="627"/>
      <c r="X16" s="627"/>
      <c r="Y16" s="627"/>
      <c r="Z16" s="627"/>
      <c r="AA16" s="627"/>
      <c r="AB16" s="627"/>
      <c r="AC16" s="627"/>
      <c r="AD16" s="627"/>
      <c r="AE16" s="627"/>
      <c r="AF16" s="627"/>
      <c r="AG16" s="627"/>
      <c r="AH16" s="627"/>
      <c r="AI16" s="627"/>
      <c r="AJ16" s="627"/>
      <c r="AK16" s="627"/>
    </row>
    <row r="17" spans="1:37" s="253" customFormat="1" ht="18" customHeight="1">
      <c r="A17" s="249" t="s">
        <v>1807</v>
      </c>
      <c r="B17" s="231" t="s">
        <v>1808</v>
      </c>
      <c r="C17" s="12">
        <f>ROUND(F17*IF(D1="仅计算典型户型",'数据-取费表'!E5,'数据-取费表'!B5),0)</f>
        <v>33118</v>
      </c>
      <c r="D17" s="231" t="s">
        <v>1809</v>
      </c>
      <c r="E17" s="231" t="s">
        <v>1810</v>
      </c>
      <c r="F17" s="14">
        <f>'数据-取费表'!E23</f>
        <v>200</v>
      </c>
      <c r="G17" s="865"/>
      <c r="H17" s="249" t="s">
        <v>1811</v>
      </c>
      <c r="I17" s="231" t="s">
        <v>1812</v>
      </c>
      <c r="J17" s="2542">
        <f>ROUND(IF(AND(项目基本情况!B7="自然人",项目基本情况!B6="北京市"),J6*M17/(1+'数据-取费表'!F30),J18+J19+J20),0)</f>
        <v>0</v>
      </c>
      <c r="K17" s="1196" t="s">
        <v>1813</v>
      </c>
      <c r="L17" s="1199" t="s">
        <v>1814</v>
      </c>
      <c r="M17" s="2541">
        <f>IF(项目基本情况!B7="企业","——",IF('数据-取费表'!B10="住宅",IF(M6*M7*M8/12/(1+'数据-取费表'!F30)&gt;100000,4%,2.5%),IF(M6*M7*M8/12/(1+'数据-取费表'!F30)&gt;100000,12%,7%)))</f>
        <v>7.0000000000000007E-2</v>
      </c>
      <c r="N17" s="627"/>
      <c r="O17" s="627"/>
      <c r="P17" s="627"/>
      <c r="Q17" s="949"/>
      <c r="R17" s="627"/>
      <c r="S17" s="627"/>
      <c r="T17" s="627"/>
      <c r="U17" s="627"/>
      <c r="V17" s="627"/>
      <c r="W17" s="627"/>
      <c r="X17" s="627"/>
      <c r="Y17" s="627"/>
      <c r="Z17" s="627"/>
      <c r="AA17" s="627"/>
      <c r="AB17" s="627"/>
      <c r="AC17" s="627"/>
      <c r="AD17" s="627"/>
      <c r="AE17" s="627"/>
      <c r="AF17" s="627"/>
      <c r="AG17" s="627"/>
      <c r="AH17" s="627"/>
      <c r="AI17" s="627"/>
      <c r="AJ17" s="627"/>
      <c r="AK17" s="627"/>
    </row>
    <row r="18" spans="1:37" ht="18" customHeight="1">
      <c r="A18" s="249" t="s">
        <v>1815</v>
      </c>
      <c r="B18" s="231" t="s">
        <v>1816</v>
      </c>
      <c r="C18" s="12">
        <f>ROUND(C14*F18,0)</f>
        <v>9935</v>
      </c>
      <c r="D18" s="231" t="s">
        <v>1799</v>
      </c>
      <c r="E18" s="231" t="s">
        <v>1800</v>
      </c>
      <c r="F18" s="254">
        <f>'数据-取费表'!E24</f>
        <v>1.4999999999999999E-2</v>
      </c>
      <c r="G18" s="864"/>
      <c r="H18" s="249" t="s">
        <v>1817</v>
      </c>
      <c r="I18" s="231" t="s">
        <v>1818</v>
      </c>
      <c r="J18" s="12" t="str">
        <f>IF(项目基本情况!B7="自然人","——",ROUND(J6*M18/(1+'数据-取费表'!F30),0))</f>
        <v>——</v>
      </c>
      <c r="K18" s="1199" t="s">
        <v>2487</v>
      </c>
      <c r="L18" s="231" t="s">
        <v>1800</v>
      </c>
      <c r="M18" s="254">
        <f>'数据-取费表'!E29</f>
        <v>5.6000000000000001E-2</v>
      </c>
    </row>
    <row r="19" spans="1:37" s="253" customFormat="1" ht="18" customHeight="1">
      <c r="A19" s="249" t="s">
        <v>1811</v>
      </c>
      <c r="B19" s="231" t="s">
        <v>1819</v>
      </c>
      <c r="C19" s="12">
        <f>SUM(C14:C18)</f>
        <v>725284</v>
      </c>
      <c r="D19" s="29" t="s">
        <v>1820</v>
      </c>
      <c r="E19" s="1201"/>
      <c r="F19" s="14"/>
      <c r="G19" s="865"/>
      <c r="H19" s="249" t="s">
        <v>1797</v>
      </c>
      <c r="I19" s="231" t="s">
        <v>1821</v>
      </c>
      <c r="J19" s="12" t="str">
        <f>IF(项目基本情况!B7="自然人","——",IF(K19="按租金收入计税",ROUND(J6*M19/(1+'数据-取费表'!F30),0),ROUND(C29*M19*0.7,0)))</f>
        <v>——</v>
      </c>
      <c r="K19" s="1288"/>
      <c r="L19" s="231" t="s">
        <v>1800</v>
      </c>
      <c r="M19" s="254">
        <f>IF(K19="按租金收入计税",'数据-取费表'!E39,'数据-取费表'!E38)</f>
        <v>1.2E-2</v>
      </c>
      <c r="N19" s="627"/>
      <c r="O19" s="627"/>
      <c r="P19" s="627"/>
      <c r="Q19" s="949"/>
      <c r="R19" s="627"/>
      <c r="S19" s="627"/>
      <c r="T19" s="627"/>
      <c r="U19" s="627"/>
      <c r="V19" s="627"/>
      <c r="W19" s="627"/>
      <c r="X19" s="627"/>
      <c r="Y19" s="627"/>
      <c r="Z19" s="627"/>
      <c r="AA19" s="627"/>
      <c r="AB19" s="627"/>
      <c r="AC19" s="627"/>
      <c r="AD19" s="627"/>
      <c r="AE19" s="627"/>
      <c r="AF19" s="627"/>
      <c r="AG19" s="627"/>
      <c r="AH19" s="627"/>
      <c r="AI19" s="627"/>
      <c r="AJ19" s="627"/>
      <c r="AK19" s="627"/>
    </row>
    <row r="20" spans="1:37" s="253" customFormat="1" ht="18" customHeight="1">
      <c r="A20" s="249" t="s">
        <v>1781</v>
      </c>
      <c r="B20" s="231" t="s">
        <v>1823</v>
      </c>
      <c r="C20" s="12">
        <f>ROUND(C19*F20,0)</f>
        <v>21759</v>
      </c>
      <c r="D20" s="255" t="s">
        <v>1824</v>
      </c>
      <c r="E20" s="231" t="s">
        <v>1825</v>
      </c>
      <c r="F20" s="254">
        <f>'数据-取费表'!E25</f>
        <v>0.03</v>
      </c>
      <c r="G20" s="865"/>
      <c r="H20" s="249" t="s">
        <v>1803</v>
      </c>
      <c r="I20" s="32" t="s">
        <v>1826</v>
      </c>
      <c r="J20" s="13" t="str">
        <f>IF(项目基本情况!B7="自然人","——",ROUND(M20*M21,0))</f>
        <v>——</v>
      </c>
      <c r="K20" s="257" t="s">
        <v>1827</v>
      </c>
      <c r="L20" s="231" t="s">
        <v>1828</v>
      </c>
      <c r="M20" s="258">
        <f>'数据-取费表'!E40</f>
        <v>0</v>
      </c>
      <c r="N20" s="627"/>
      <c r="O20" s="627"/>
      <c r="P20" s="627"/>
      <c r="Q20" s="949"/>
      <c r="R20" s="627"/>
      <c r="S20" s="627"/>
      <c r="T20" s="627"/>
      <c r="U20" s="627"/>
      <c r="V20" s="627"/>
      <c r="W20" s="627"/>
      <c r="X20" s="627"/>
      <c r="Y20" s="627"/>
      <c r="Z20" s="627"/>
      <c r="AA20" s="627"/>
      <c r="AB20" s="627"/>
      <c r="AC20" s="627"/>
      <c r="AD20" s="627"/>
      <c r="AE20" s="627"/>
      <c r="AF20" s="627"/>
      <c r="AG20" s="627"/>
      <c r="AH20" s="627"/>
      <c r="AI20" s="627"/>
      <c r="AJ20" s="627"/>
      <c r="AK20" s="627"/>
    </row>
    <row r="21" spans="1:37" ht="18" customHeight="1">
      <c r="A21" s="249" t="s">
        <v>1829</v>
      </c>
      <c r="B21" s="231" t="s">
        <v>1830</v>
      </c>
      <c r="C21" s="12">
        <f>F21</f>
        <v>0.03</v>
      </c>
      <c r="D21" s="255" t="s">
        <v>1831</v>
      </c>
      <c r="E21" s="231" t="s">
        <v>1832</v>
      </c>
      <c r="F21" s="254">
        <f>'数据-取费表'!E26</f>
        <v>0.03</v>
      </c>
      <c r="G21" s="864"/>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1"/>
      <c r="F22" s="14"/>
      <c r="G22" s="864"/>
      <c r="H22" s="249" t="s">
        <v>1801</v>
      </c>
      <c r="I22" s="231" t="s">
        <v>1836</v>
      </c>
      <c r="J22" s="12">
        <f ca="1">ROUND(J14*M22,0)</f>
        <v>10197</v>
      </c>
      <c r="K22" s="1199" t="s">
        <v>1837</v>
      </c>
      <c r="L22" s="231" t="s">
        <v>1800</v>
      </c>
      <c r="M22" s="261">
        <f>'数据-取费表'!B45</f>
        <v>0.01</v>
      </c>
    </row>
    <row r="23" spans="1:37" ht="18" customHeight="1">
      <c r="A23" s="249" t="s">
        <v>1817</v>
      </c>
      <c r="B23" s="231" t="s">
        <v>1838</v>
      </c>
      <c r="C23" s="12">
        <f ca="1">IF('数据-取费表'!B24&lt;=1,ROUND(C19*F24*F23/2,0)+ROUND(C20*F24*F23/2,0),ROUND(C19*(POWER((1+F24),F23/2)-1),0)+ROUND(C20*(POWER((1+F24),F23/2)-1),0))</f>
        <v>31002</v>
      </c>
      <c r="D23" s="30" t="str">
        <f>IF(F23&lt;=1,"(建造成本+管理费用)×利率×(建设周期÷2)","(建造成本+管理费用)×((1+利率)^(建设周期÷2)-1)")</f>
        <v>(建造成本+管理费用)×((1+利率)^(建设周期÷2)-1)</v>
      </c>
      <c r="E23" s="231" t="s">
        <v>1839</v>
      </c>
      <c r="F23" s="258">
        <f>'数据-取费表'!B22</f>
        <v>2</v>
      </c>
      <c r="G23" s="864"/>
      <c r="H23" s="249" t="s">
        <v>1829</v>
      </c>
      <c r="I23" s="231" t="s">
        <v>1840</v>
      </c>
      <c r="J23" s="12">
        <f ca="1">ROUND(J13*M23,0)</f>
        <v>0</v>
      </c>
      <c r="K23" s="1199" t="s">
        <v>1841</v>
      </c>
      <c r="L23" s="231" t="s">
        <v>1842</v>
      </c>
      <c r="M23" s="262">
        <f>'数据-取费表'!B46</f>
        <v>1E-3</v>
      </c>
    </row>
    <row r="24" spans="1:37" s="253" customFormat="1" ht="18" customHeight="1" thickBot="1">
      <c r="A24" s="249" t="s">
        <v>1843</v>
      </c>
      <c r="B24" s="231" t="s">
        <v>1844</v>
      </c>
      <c r="C24" s="12">
        <f ca="1">ROUND(IF('数据-取费表'!B24&lt;=1,F21*F24*F23/2,F21*(POWER((1+F24),F23/2)-1)),4)</f>
        <v>1.1999999999999999E-3</v>
      </c>
      <c r="D24" s="30" t="str">
        <f>IF(F23&lt;=1,"销售费用×利率×(建设周期÷2)","销售费用×((1+利率)^(建设周期÷2)-1)")</f>
        <v>销售费用×((1+利率)^(建设周期÷2)-1)</v>
      </c>
      <c r="E24" s="231" t="s">
        <v>1845</v>
      </c>
      <c r="F24" s="263">
        <f ca="1">'数据-取费表'!E27</f>
        <v>4.1499999999999995E-2</v>
      </c>
      <c r="G24" s="865"/>
      <c r="H24" s="982" t="s">
        <v>1834</v>
      </c>
      <c r="I24" s="983" t="s">
        <v>1823</v>
      </c>
      <c r="J24" s="984">
        <f ca="1">ROUND(J5*M24,0)</f>
        <v>0</v>
      </c>
      <c r="K24" s="985" t="s">
        <v>1846</v>
      </c>
      <c r="L24" s="983" t="s">
        <v>1842</v>
      </c>
      <c r="M24" s="978">
        <f>'数据-取费表'!B47</f>
        <v>0.01</v>
      </c>
      <c r="N24" s="627"/>
      <c r="O24" s="627"/>
      <c r="P24" s="627"/>
      <c r="Q24" s="949"/>
      <c r="R24" s="627"/>
      <c r="S24" s="627"/>
      <c r="T24" s="627"/>
      <c r="U24" s="627"/>
      <c r="V24" s="627"/>
      <c r="W24" s="627"/>
      <c r="X24" s="627"/>
      <c r="Y24" s="627"/>
      <c r="Z24" s="627"/>
      <c r="AA24" s="627"/>
      <c r="AB24" s="627"/>
      <c r="AC24" s="627"/>
      <c r="AD24" s="627"/>
      <c r="AE24" s="627"/>
      <c r="AF24" s="627"/>
      <c r="AG24" s="627"/>
      <c r="AH24" s="627"/>
      <c r="AI24" s="627"/>
      <c r="AJ24" s="627"/>
      <c r="AK24" s="627"/>
    </row>
    <row r="25" spans="1:37" s="253" customFormat="1" ht="18" customHeight="1" thickTop="1">
      <c r="A25" s="249" t="s">
        <v>1847</v>
      </c>
      <c r="B25" s="231" t="s">
        <v>1848</v>
      </c>
      <c r="C25" s="12"/>
      <c r="D25" s="29" t="s">
        <v>1849</v>
      </c>
      <c r="E25" s="1201"/>
      <c r="F25" s="14"/>
      <c r="G25" s="865"/>
      <c r="H25" s="972" t="s">
        <v>22</v>
      </c>
      <c r="I25" s="987" t="s">
        <v>1850</v>
      </c>
      <c r="J25" s="239">
        <f ca="1">J5-J16</f>
        <v>-10197</v>
      </c>
      <c r="K25" s="988" t="s">
        <v>1851</v>
      </c>
      <c r="L25" s="989"/>
      <c r="M25" s="990"/>
      <c r="N25" s="627"/>
      <c r="O25" s="627"/>
      <c r="P25" s="627"/>
      <c r="Q25" s="949"/>
      <c r="R25" s="627"/>
      <c r="S25" s="627"/>
      <c r="T25" s="627"/>
      <c r="U25" s="627"/>
      <c r="V25" s="627"/>
      <c r="W25" s="627"/>
      <c r="X25" s="627"/>
      <c r="Y25" s="627"/>
      <c r="Z25" s="627"/>
      <c r="AA25" s="627"/>
      <c r="AB25" s="627"/>
      <c r="AC25" s="627"/>
      <c r="AD25" s="627"/>
      <c r="AE25" s="627"/>
      <c r="AF25" s="627"/>
      <c r="AG25" s="627"/>
      <c r="AH25" s="627"/>
      <c r="AI25" s="627"/>
      <c r="AJ25" s="627"/>
      <c r="AK25" s="627"/>
    </row>
    <row r="26" spans="1:37" ht="18" customHeight="1">
      <c r="A26" s="249" t="s">
        <v>1793</v>
      </c>
      <c r="B26" s="231" t="s">
        <v>1852</v>
      </c>
      <c r="C26" s="12">
        <f>ROUND((C19+C20)*F26,0)</f>
        <v>149409</v>
      </c>
      <c r="D26" s="255" t="s">
        <v>1853</v>
      </c>
      <c r="E26" s="242" t="s">
        <v>1854</v>
      </c>
      <c r="F26" s="241">
        <f>'数据-取费表'!E28</f>
        <v>0.2</v>
      </c>
      <c r="G26" s="623"/>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6.0000000000000001E-3</v>
      </c>
      <c r="D27" s="255" t="s">
        <v>1860</v>
      </c>
      <c r="E27" s="251"/>
      <c r="F27" s="252"/>
      <c r="G27" s="623"/>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3"/>
      <c r="H28" s="237"/>
      <c r="I28" s="238"/>
      <c r="J28" s="239"/>
      <c r="K28" s="260"/>
      <c r="L28" s="231" t="s">
        <v>1866</v>
      </c>
      <c r="M28" s="241">
        <f>'数据-取费表'!B38</f>
        <v>0</v>
      </c>
    </row>
    <row r="29" spans="1:37" ht="18" customHeight="1" thickBot="1">
      <c r="A29" s="982" t="s">
        <v>1867</v>
      </c>
      <c r="B29" s="983" t="s">
        <v>1868</v>
      </c>
      <c r="C29" s="984">
        <f ca="1">ROUND((C19+C20+C23+C26)/(1-F21-C24-C27-C28),0)</f>
        <v>1019741</v>
      </c>
      <c r="D29" s="985"/>
      <c r="E29" s="983"/>
      <c r="F29" s="986"/>
      <c r="G29" s="623"/>
      <c r="H29" s="267" t="s">
        <v>24</v>
      </c>
      <c r="I29" s="268" t="s">
        <v>1869</v>
      </c>
      <c r="J29" s="269">
        <f ca="1">ROUND(J26/(1+F40)^F41,0)</f>
        <v>0</v>
      </c>
      <c r="K29" s="270" t="s">
        <v>1870</v>
      </c>
      <c r="L29" s="271"/>
      <c r="M29" s="272">
        <f>IF(D1="仅计算典型户型",'数据-取费表'!E5,'数据-取费表'!B5)</f>
        <v>165.59</v>
      </c>
    </row>
    <row r="30" spans="1:37" ht="18" customHeight="1" thickTop="1">
      <c r="A30" s="972" t="s">
        <v>14</v>
      </c>
      <c r="B30" s="973" t="s">
        <v>1871</v>
      </c>
      <c r="C30" s="239">
        <f ca="1">ROUND(C31+C36+C37+C38,0)</f>
        <v>30962</v>
      </c>
      <c r="D30" s="979" t="s">
        <v>1872</v>
      </c>
      <c r="E30" s="980"/>
      <c r="F30" s="981"/>
      <c r="G30" s="623"/>
      <c r="H30" s="847"/>
      <c r="I30" s="848"/>
      <c r="J30" s="849"/>
      <c r="K30" s="27"/>
      <c r="L30" s="850"/>
      <c r="M30" s="851"/>
    </row>
    <row r="31" spans="1:37" ht="18" customHeight="1">
      <c r="A31" s="249" t="s">
        <v>1774</v>
      </c>
      <c r="B31" s="231" t="s">
        <v>1812</v>
      </c>
      <c r="C31" s="2542">
        <f>ROUND(IF(AND(项目基本情况!B7="自然人",项目基本情况!B6="北京市"),C6*F31/(1+'数据-取费表'!F30),C32+C33+C34),0)</f>
        <v>17407</v>
      </c>
      <c r="D31" s="1196" t="s">
        <v>1873</v>
      </c>
      <c r="E31" s="1199" t="s">
        <v>1874</v>
      </c>
      <c r="F31" s="2541">
        <f>IF(项目基本情况!B7="企业","——",IF('数据-取费表'!B10="住宅",IF(F6*F7*F8/12/(1+'数据-取费表'!F30)&gt;100000,4%,2.5%),IF(F6*F7*F8/12/(1+'数据-取费表'!F30)&gt;100000,12%,7%)))</f>
        <v>7.0000000000000007E-2</v>
      </c>
      <c r="G31" s="623"/>
      <c r="H31" s="847"/>
      <c r="I31" s="848"/>
      <c r="J31" s="849"/>
      <c r="K31" s="27"/>
      <c r="L31" s="850"/>
      <c r="M31" s="851"/>
    </row>
    <row r="32" spans="1:37" ht="18" customHeight="1">
      <c r="A32" s="249" t="s">
        <v>1793</v>
      </c>
      <c r="B32" s="231" t="s">
        <v>1875</v>
      </c>
      <c r="C32" s="12" t="str">
        <f>IF(项目基本情况!B7="自然人","——",ROUND(C6*F32/(1+'数据-取费表'!F30),0))</f>
        <v>——</v>
      </c>
      <c r="D32" s="1199" t="s">
        <v>2486</v>
      </c>
      <c r="E32" s="231" t="s">
        <v>1825</v>
      </c>
      <c r="F32" s="263">
        <f>'数据-取费表'!E29</f>
        <v>5.6000000000000001E-2</v>
      </c>
      <c r="G32" s="623"/>
      <c r="H32" s="852"/>
      <c r="I32" s="853"/>
      <c r="J32" s="854"/>
      <c r="K32" s="855"/>
      <c r="L32" s="856"/>
      <c r="M32" s="857"/>
    </row>
    <row r="33" spans="1:18" ht="18" customHeight="1">
      <c r="A33" s="249" t="s">
        <v>1797</v>
      </c>
      <c r="B33" s="231" t="s">
        <v>1821</v>
      </c>
      <c r="C33" s="12" t="str">
        <f>IF(项目基本情况!B7="自然人","——",IF(D33="按租金收入计税",ROUND(C6*F33/(1+'数据-取费表'!F30),0),IF(D33="按房产原值计税",ROUND(C29*F33*0.7,0),'数据-取费表'!B44)))</f>
        <v>——</v>
      </c>
      <c r="D33" s="1288" t="s">
        <v>2644</v>
      </c>
      <c r="E33" s="231" t="s">
        <v>1800</v>
      </c>
      <c r="F33" s="254">
        <f>IF(D33="按票据","——",IF(D33="按租金收入计税",'数据-取费表'!E39,'数据-取费表'!E38))</f>
        <v>0.12</v>
      </c>
      <c r="G33" s="623"/>
      <c r="H33" s="858"/>
      <c r="I33" s="274" t="s">
        <v>1877</v>
      </c>
      <c r="J33" s="275"/>
      <c r="K33" s="859"/>
      <c r="L33" s="858"/>
      <c r="M33" s="858"/>
    </row>
    <row r="34" spans="1:18" ht="18" customHeight="1">
      <c r="A34" s="966" t="s">
        <v>1803</v>
      </c>
      <c r="B34" s="32" t="s">
        <v>1826</v>
      </c>
      <c r="C34" s="13" t="str">
        <f>IF(项目基本情况!B7="自然人","——",ROUND(F34*F35,0))</f>
        <v>——</v>
      </c>
      <c r="D34" s="257" t="s">
        <v>1827</v>
      </c>
      <c r="E34" s="231" t="s">
        <v>1828</v>
      </c>
      <c r="F34" s="258">
        <f>'数据-取费表'!E40</f>
        <v>0</v>
      </c>
      <c r="G34" s="623"/>
      <c r="H34" s="847"/>
      <c r="I34" s="276" t="s">
        <v>1878</v>
      </c>
      <c r="J34" s="277">
        <f ca="1">ROUND(C13*J35,0)</f>
        <v>0</v>
      </c>
      <c r="K34" s="860"/>
      <c r="L34" s="861"/>
      <c r="M34" s="861"/>
    </row>
    <row r="35" spans="1:18" ht="24.6" customHeight="1">
      <c r="A35" s="970"/>
      <c r="B35" s="240"/>
      <c r="C35" s="16"/>
      <c r="D35" s="260"/>
      <c r="E35" s="231" t="s">
        <v>1833</v>
      </c>
      <c r="F35" s="232">
        <f>IF(D1="仅计算典型户型",'数据-取费表'!E6,'数据-取费表'!B6)</f>
        <v>0</v>
      </c>
      <c r="G35" s="623" t="s">
        <v>2574</v>
      </c>
      <c r="H35" s="847"/>
      <c r="I35" s="278" t="s">
        <v>1879</v>
      </c>
      <c r="J35" s="279">
        <f>'数据-取费表'!B18</f>
        <v>0</v>
      </c>
      <c r="K35" s="859"/>
      <c r="L35" s="858"/>
      <c r="M35" s="858"/>
    </row>
    <row r="36" spans="1:18" ht="18" customHeight="1">
      <c r="A36" s="969" t="s">
        <v>1781</v>
      </c>
      <c r="B36" s="231" t="s">
        <v>1880</v>
      </c>
      <c r="C36" s="12">
        <f ca="1">ROUND(C29*F36,0)</f>
        <v>10197</v>
      </c>
      <c r="D36" s="1199" t="s">
        <v>1881</v>
      </c>
      <c r="E36" s="231" t="s">
        <v>1825</v>
      </c>
      <c r="F36" s="261">
        <f>'数据-取费表'!B45</f>
        <v>0.01</v>
      </c>
      <c r="G36" s="623"/>
      <c r="H36" s="858"/>
      <c r="I36" s="280" t="s">
        <v>1882</v>
      </c>
      <c r="J36" s="281"/>
      <c r="K36" s="862"/>
      <c r="L36" s="858"/>
      <c r="M36" s="858"/>
    </row>
    <row r="37" spans="1:18" ht="18" customHeight="1">
      <c r="A37" s="249" t="s">
        <v>1829</v>
      </c>
      <c r="B37" s="231" t="s">
        <v>1840</v>
      </c>
      <c r="C37" s="12">
        <f ca="1">ROUND(C13*F37,0)</f>
        <v>744</v>
      </c>
      <c r="D37" s="1199" t="s">
        <v>1841</v>
      </c>
      <c r="E37" s="231" t="s">
        <v>1842</v>
      </c>
      <c r="F37" s="262">
        <f>'数据-取费表'!B46</f>
        <v>1E-3</v>
      </c>
      <c r="G37" s="623"/>
      <c r="H37" s="858"/>
      <c r="I37" s="128" t="s">
        <v>1883</v>
      </c>
      <c r="J37" s="282"/>
      <c r="K37" s="862"/>
      <c r="L37" s="858"/>
      <c r="M37" s="858"/>
    </row>
    <row r="38" spans="1:18" ht="18" customHeight="1" thickBot="1">
      <c r="A38" s="982" t="s">
        <v>1834</v>
      </c>
      <c r="B38" s="983" t="s">
        <v>1823</v>
      </c>
      <c r="C38" s="984">
        <f ca="1">ROUND(C5*F38,0)</f>
        <v>2614</v>
      </c>
      <c r="D38" s="985" t="s">
        <v>1846</v>
      </c>
      <c r="E38" s="983" t="s">
        <v>1842</v>
      </c>
      <c r="F38" s="978">
        <f>'数据-取费表'!B47</f>
        <v>0.01</v>
      </c>
      <c r="G38" s="623"/>
      <c r="H38" s="858"/>
      <c r="I38" s="276" t="s">
        <v>1884</v>
      </c>
      <c r="J38" s="132">
        <f ca="1">ROUND(J34/C39,3)</f>
        <v>0</v>
      </c>
      <c r="K38" s="863"/>
      <c r="L38" s="858"/>
      <c r="M38" s="858"/>
    </row>
    <row r="39" spans="1:18" ht="18" customHeight="1" thickTop="1">
      <c r="A39" s="972" t="s">
        <v>22</v>
      </c>
      <c r="B39" s="987" t="s">
        <v>1885</v>
      </c>
      <c r="C39" s="239">
        <f ca="1">C5-C30</f>
        <v>230466</v>
      </c>
      <c r="D39" s="988" t="s">
        <v>1886</v>
      </c>
      <c r="E39" s="989"/>
      <c r="F39" s="990"/>
      <c r="G39" s="623"/>
      <c r="H39" s="858"/>
      <c r="I39" s="276" t="s">
        <v>1887</v>
      </c>
      <c r="J39" s="132">
        <f ca="1">1-J38</f>
        <v>1</v>
      </c>
      <c r="K39" s="863"/>
      <c r="L39" s="858"/>
      <c r="M39" s="858"/>
    </row>
    <row r="40" spans="1:18" s="623" customFormat="1" ht="18" customHeight="1">
      <c r="A40" s="228" t="s">
        <v>23</v>
      </c>
      <c r="B40" s="229" t="s">
        <v>1888</v>
      </c>
      <c r="C40" s="230">
        <f ca="1">ROUND(C39*(1-((1+F42)/(1+F40))^F41)/(F40-F42),0)</f>
        <v>3779482</v>
      </c>
      <c r="D40" s="257" t="s">
        <v>1856</v>
      </c>
      <c r="E40" s="231" t="s">
        <v>1857</v>
      </c>
      <c r="F40" s="241">
        <f>'数据-取费表'!B16</f>
        <v>5.5E-2</v>
      </c>
      <c r="H40" s="843"/>
      <c r="I40" s="128" t="s">
        <v>1889</v>
      </c>
      <c r="J40" s="129"/>
      <c r="K40" s="863"/>
      <c r="L40" s="843"/>
      <c r="M40" s="843"/>
      <c r="Q40" s="626"/>
    </row>
    <row r="41" spans="1:18" s="623" customFormat="1" ht="18" customHeight="1">
      <c r="A41" s="233"/>
      <c r="B41" s="234"/>
      <c r="C41" s="235"/>
      <c r="D41" s="265" t="s">
        <v>1890</v>
      </c>
      <c r="E41" s="1173" t="s">
        <v>2469</v>
      </c>
      <c r="F41" s="266">
        <f>IF('数据-取费表'!B29="租赁期内按合同租金",'数据-取费表'!B35,IF(E41="收益年期(n)",'数据-取费表'!B34,'数据-取费表'!B13))</f>
        <v>22</v>
      </c>
      <c r="H41" s="27"/>
      <c r="I41" s="131" t="s">
        <v>1762</v>
      </c>
      <c r="J41" s="132">
        <f ca="1">ROUND(C13/C40,3)</f>
        <v>0.19700000000000001</v>
      </c>
      <c r="K41" s="862"/>
      <c r="L41" s="27"/>
      <c r="M41" s="27"/>
      <c r="Q41" s="626"/>
    </row>
    <row r="42" spans="1:18" s="623" customFormat="1" ht="18" customHeight="1">
      <c r="A42" s="237"/>
      <c r="B42" s="238"/>
      <c r="C42" s="239"/>
      <c r="D42" s="260"/>
      <c r="E42" s="231" t="s">
        <v>1866</v>
      </c>
      <c r="F42" s="241">
        <f>'数据-取费表'!B32</f>
        <v>0.03</v>
      </c>
      <c r="H42" s="27"/>
      <c r="I42" s="131" t="s">
        <v>1763</v>
      </c>
      <c r="J42" s="133">
        <f ca="1">1-J41</f>
        <v>0.80299999999999994</v>
      </c>
      <c r="K42" s="862"/>
      <c r="L42" s="27"/>
      <c r="M42" s="27"/>
      <c r="Q42" s="626"/>
    </row>
    <row r="43" spans="1:18" s="623" customFormat="1" ht="18" customHeight="1" thickBot="1">
      <c r="A43" s="267" t="s">
        <v>24</v>
      </c>
      <c r="B43" s="268" t="s">
        <v>1891</v>
      </c>
      <c r="C43" s="269">
        <f ca="1">ROUND(C40/F43,0)</f>
        <v>22824</v>
      </c>
      <c r="D43" s="270" t="s">
        <v>1892</v>
      </c>
      <c r="E43" s="271" t="s">
        <v>1893</v>
      </c>
      <c r="F43" s="272">
        <f>IF(D1="仅计算典型户型",'数据-取费表'!E5,'数据-取费表'!B5)</f>
        <v>165.59</v>
      </c>
      <c r="G43" s="625"/>
      <c r="H43" s="27"/>
      <c r="I43" s="27"/>
      <c r="J43" s="27"/>
      <c r="K43" s="862"/>
      <c r="L43" s="27"/>
      <c r="M43" s="27"/>
      <c r="O43" s="950" t="s">
        <v>1894</v>
      </c>
      <c r="P43" s="951"/>
      <c r="Q43" s="947"/>
      <c r="R43" s="951"/>
    </row>
    <row r="44" spans="1:18" s="623" customFormat="1" ht="18" customHeight="1" thickBot="1">
      <c r="A44" s="620"/>
      <c r="B44" s="620"/>
      <c r="C44" s="622"/>
      <c r="D44" s="620"/>
      <c r="E44" s="620"/>
      <c r="F44" s="620"/>
      <c r="G44" s="625"/>
      <c r="K44" s="624"/>
      <c r="O44" s="952" t="s">
        <v>1895</v>
      </c>
      <c r="P44" s="953" t="s">
        <v>1896</v>
      </c>
      <c r="Q44" s="954" t="s">
        <v>1897</v>
      </c>
      <c r="R44" s="955" t="s">
        <v>1898</v>
      </c>
    </row>
    <row r="45" spans="1:18" s="623" customFormat="1" ht="18" customHeight="1" thickBot="1">
      <c r="A45" s="620"/>
      <c r="B45" s="620"/>
      <c r="C45" s="622"/>
      <c r="D45" s="620"/>
      <c r="E45" s="620"/>
      <c r="F45" s="620"/>
      <c r="K45" s="624"/>
      <c r="O45" s="956" t="s">
        <v>767</v>
      </c>
      <c r="P45" s="957" t="s">
        <v>1899</v>
      </c>
      <c r="Q45" s="958">
        <f ca="1">C40+J29</f>
        <v>3779482</v>
      </c>
      <c r="R45" s="959" t="s">
        <v>1900</v>
      </c>
    </row>
    <row r="46" spans="1:18" s="623" customFormat="1" ht="18" customHeight="1" thickBot="1">
      <c r="A46" s="620"/>
      <c r="D46" s="620"/>
      <c r="E46" s="620"/>
      <c r="F46" s="620"/>
      <c r="K46" s="624"/>
      <c r="O46" s="956" t="s">
        <v>768</v>
      </c>
      <c r="P46" s="957" t="s">
        <v>1901</v>
      </c>
      <c r="Q46" s="958" t="str">
        <f>J61</f>
        <v>0</v>
      </c>
      <c r="R46" s="959" t="s">
        <v>1902</v>
      </c>
    </row>
    <row r="47" spans="1:18" s="623" customFormat="1" ht="22.2" thickBot="1">
      <c r="A47" s="1371" t="s">
        <v>1903</v>
      </c>
      <c r="C47" s="903">
        <f ca="1">IF(C2="元",C69-C40,ROUND((C69-C40)/10000,0))</f>
        <v>-3917154</v>
      </c>
      <c r="D47" s="1372" t="str">
        <f>C2</f>
        <v>元</v>
      </c>
      <c r="E47" s="620"/>
      <c r="F47" s="620"/>
      <c r="I47" s="1373" t="s">
        <v>1904</v>
      </c>
      <c r="J47" s="933"/>
      <c r="K47" s="934"/>
      <c r="L47" s="946" t="str">
        <f>IF(M48="住宅",0,IF(L49&gt;J52,L61,J61))</f>
        <v>0</v>
      </c>
      <c r="O47" s="960" t="s">
        <v>769</v>
      </c>
      <c r="P47" s="957" t="s">
        <v>1905</v>
      </c>
      <c r="Q47" s="958">
        <f ca="1">C29</f>
        <v>1019741</v>
      </c>
      <c r="R47" s="959" t="s">
        <v>1900</v>
      </c>
    </row>
    <row r="48" spans="1:18" s="623" customFormat="1" ht="16.2" thickBot="1">
      <c r="A48" s="224" t="s">
        <v>1906</v>
      </c>
      <c r="B48" s="225" t="s">
        <v>1907</v>
      </c>
      <c r="C48" s="225" t="s">
        <v>1908</v>
      </c>
      <c r="D48" s="225" t="s">
        <v>1909</v>
      </c>
      <c r="E48" s="897" t="s">
        <v>1910</v>
      </c>
      <c r="F48" s="898"/>
      <c r="I48" s="1374" t="s">
        <v>1911</v>
      </c>
      <c r="J48" s="1375" t="s">
        <v>3039</v>
      </c>
      <c r="K48" s="1376" t="s">
        <v>1912</v>
      </c>
      <c r="L48" s="935">
        <f>'数据-取费表'!B11</f>
        <v>40</v>
      </c>
      <c r="M48" s="947" t="str">
        <f>IF('数据-取费表'!B10="住宅","住宅","非住宅")</f>
        <v>非住宅</v>
      </c>
      <c r="O48" s="960" t="s">
        <v>770</v>
      </c>
      <c r="P48" s="957" t="s">
        <v>1913</v>
      </c>
      <c r="Q48" s="961" t="e">
        <f>J59</f>
        <v>#VALUE!</v>
      </c>
      <c r="R48" s="959"/>
    </row>
    <row r="49" spans="1:18" s="623" customFormat="1" ht="16.2" thickBot="1">
      <c r="A49" s="1007" t="s">
        <v>781</v>
      </c>
      <c r="B49" s="229" t="s">
        <v>1914</v>
      </c>
      <c r="C49" s="1008">
        <f ca="1">C50+C54+C56</f>
        <v>0</v>
      </c>
      <c r="D49" s="1009"/>
      <c r="E49" s="40"/>
      <c r="F49" s="14"/>
      <c r="I49" s="1377" t="s">
        <v>1915</v>
      </c>
      <c r="J49" s="1378" t="s">
        <v>3040</v>
      </c>
      <c r="K49" s="1379" t="s">
        <v>1916</v>
      </c>
      <c r="L49" s="785">
        <f>'数据-取费表'!B13</f>
        <v>22</v>
      </c>
      <c r="O49" s="960" t="s">
        <v>771</v>
      </c>
      <c r="P49" s="957" t="s">
        <v>1917</v>
      </c>
      <c r="Q49" s="961">
        <f>J53</f>
        <v>0.08</v>
      </c>
      <c r="R49" s="959"/>
    </row>
    <row r="50" spans="1:18" s="623" customFormat="1" ht="16.2" thickBot="1">
      <c r="A50" s="256" t="s">
        <v>1774</v>
      </c>
      <c r="B50" s="1294" t="s">
        <v>1918</v>
      </c>
      <c r="C50" s="230">
        <f>ROUND(F50*F52*F51*(1-F53),0)</f>
        <v>0</v>
      </c>
      <c r="D50" s="38" t="s">
        <v>2462</v>
      </c>
      <c r="E50" s="1380" t="s">
        <v>1919</v>
      </c>
      <c r="F50" s="899"/>
      <c r="I50" s="1377" t="s">
        <v>1920</v>
      </c>
      <c r="J50" s="785">
        <f>'数据-取费表'!B27</f>
        <v>2006</v>
      </c>
      <c r="K50" s="1381" t="s">
        <v>1921</v>
      </c>
      <c r="L50" s="936"/>
      <c r="O50" s="960" t="s">
        <v>772</v>
      </c>
      <c r="P50" s="957" t="s">
        <v>1922</v>
      </c>
      <c r="Q50" s="958">
        <f>J54</f>
        <v>22</v>
      </c>
      <c r="R50" s="959" t="s">
        <v>1923</v>
      </c>
    </row>
    <row r="51" spans="1:18" s="623" customFormat="1" ht="16.2" thickBot="1">
      <c r="A51" s="233"/>
      <c r="B51" s="234"/>
      <c r="C51" s="235"/>
      <c r="D51" s="236"/>
      <c r="E51" s="251" t="s">
        <v>1777</v>
      </c>
      <c r="F51" s="896">
        <f>F7</f>
        <v>165.59</v>
      </c>
      <c r="I51" s="1377" t="s">
        <v>1924</v>
      </c>
      <c r="J51" s="937">
        <f>SUMPRODUCT((I64:I66=J48)*(J63:L63=J49)*(J64:L66))</f>
        <v>60</v>
      </c>
      <c r="K51" s="1381" t="s">
        <v>1925</v>
      </c>
      <c r="L51" s="936"/>
      <c r="O51" s="956" t="s">
        <v>773</v>
      </c>
      <c r="P51" s="957" t="str">
        <f>IF(C2="元","收益价值(元)","收益价值(万元)")</f>
        <v>收益价值(元)</v>
      </c>
      <c r="Q51" s="958">
        <f ca="1">ROUND(IF(C2="元",Q45+Q46,(Q45+Q46)/10000),0)</f>
        <v>3779482</v>
      </c>
      <c r="R51" s="959" t="s">
        <v>774</v>
      </c>
    </row>
    <row r="52" spans="1:18" s="623" customFormat="1" ht="16.2" thickBot="1">
      <c r="A52" s="233"/>
      <c r="B52" s="234"/>
      <c r="C52" s="235"/>
      <c r="D52" s="236"/>
      <c r="E52" s="231" t="s">
        <v>1779</v>
      </c>
      <c r="F52" s="232">
        <f>F8</f>
        <v>365</v>
      </c>
      <c r="I52" s="1382" t="s">
        <v>1926</v>
      </c>
      <c r="J52" s="785">
        <f>IF(J50="",J51,J50+J51-YEAR('数据-取费表'!B2))</f>
        <v>44</v>
      </c>
      <c r="K52" s="1383" t="s">
        <v>1927</v>
      </c>
      <c r="L52" s="938">
        <f ca="1">ROUND(-PV('数据-取费表'!B15,J52,(C40-C13*J35)),0)</f>
        <v>66756134</v>
      </c>
      <c r="O52" s="950" t="s">
        <v>1928</v>
      </c>
      <c r="P52" s="951"/>
      <c r="Q52" s="947"/>
      <c r="R52" s="951"/>
    </row>
    <row r="53" spans="1:18" s="623" customFormat="1" ht="16.2" thickBot="1">
      <c r="A53" s="237"/>
      <c r="B53" s="238"/>
      <c r="C53" s="239"/>
      <c r="D53" s="240"/>
      <c r="E53" s="231" t="s">
        <v>1780</v>
      </c>
      <c r="F53" s="945"/>
      <c r="I53" s="1384" t="s">
        <v>1929</v>
      </c>
      <c r="J53" s="939">
        <v>0.08</v>
      </c>
      <c r="K53" s="1384" t="s">
        <v>1930</v>
      </c>
      <c r="L53" s="939"/>
      <c r="O53" s="952" t="s">
        <v>1895</v>
      </c>
      <c r="P53" s="953" t="s">
        <v>1896</v>
      </c>
      <c r="Q53" s="954" t="s">
        <v>1897</v>
      </c>
      <c r="R53" s="955" t="s">
        <v>1898</v>
      </c>
    </row>
    <row r="54" spans="1:18" s="623" customFormat="1" ht="29.25" customHeight="1" thickBot="1">
      <c r="A54" s="966" t="s">
        <v>1781</v>
      </c>
      <c r="B54" s="1365" t="s">
        <v>1782</v>
      </c>
      <c r="C54" s="967">
        <f ca="1">ROUND(IF(F54="押一",C50/12*F11,IF(F54="押二",C50/12*2*F11,IF(F54="押三",C50/12*3*F11,C55*F11))),0)</f>
        <v>0</v>
      </c>
      <c r="D54" s="1366" t="s">
        <v>2467</v>
      </c>
      <c r="E54" s="242" t="s">
        <v>1783</v>
      </c>
      <c r="F54" s="1367"/>
      <c r="I54" s="1466" t="s">
        <v>2470</v>
      </c>
      <c r="J54" s="940">
        <f>IF(M48="住宅",IF(E1="——",MAX(J52,L49),MAX(J52,L49-'数据-取费表'!B26)),IF(E1="——",MIN(J52,L49),MIN(J52,L49-'数据-取费表'!B26)))</f>
        <v>22</v>
      </c>
      <c r="K54" s="3291" t="s">
        <v>2460</v>
      </c>
      <c r="L54" s="3292"/>
      <c r="O54" s="956" t="s">
        <v>767</v>
      </c>
      <c r="P54" s="957" t="s">
        <v>1899</v>
      </c>
      <c r="Q54" s="958">
        <f ca="1">C40+J29</f>
        <v>3779482</v>
      </c>
      <c r="R54" s="959" t="s">
        <v>1900</v>
      </c>
    </row>
    <row r="55" spans="1:18" s="623" customFormat="1" ht="19.2" thickBot="1">
      <c r="A55" s="966"/>
      <c r="B55" s="1385" t="s">
        <v>1787</v>
      </c>
      <c r="C55" s="971"/>
      <c r="D55" s="38"/>
      <c r="E55" s="1386"/>
      <c r="F55" s="900"/>
      <c r="I55" s="84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7"/>
      <c r="K55" s="1387"/>
      <c r="L55" s="1387"/>
      <c r="O55" s="956" t="s">
        <v>768</v>
      </c>
      <c r="P55" s="957" t="s">
        <v>1931</v>
      </c>
      <c r="Q55" s="958">
        <f>L61</f>
        <v>0</v>
      </c>
      <c r="R55" s="959" t="s">
        <v>1932</v>
      </c>
    </row>
    <row r="56" spans="1:18" s="623" customFormat="1" ht="19.2" thickBot="1">
      <c r="A56" s="976" t="s">
        <v>1788</v>
      </c>
      <c r="B56" s="1369" t="s">
        <v>1789</v>
      </c>
      <c r="C56" s="977"/>
      <c r="D56" s="993"/>
      <c r="E56" s="1388"/>
      <c r="F56" s="1032"/>
      <c r="I56" s="1389" t="s">
        <v>1933</v>
      </c>
      <c r="J56" s="1189" t="e">
        <f>ROUND(IF(J48="钢混",J58/J51,1-(1-2%)*(J51-J58)/J51),3)</f>
        <v>#VALUE!</v>
      </c>
      <c r="K56" s="1390" t="s">
        <v>1934</v>
      </c>
      <c r="L56" s="941"/>
      <c r="O56" s="960" t="s">
        <v>769</v>
      </c>
      <c r="P56" s="957" t="s">
        <v>1935</v>
      </c>
      <c r="Q56" s="958">
        <f>IF(L56="比较法",L50,IF(L56="基准地价",L51,0))</f>
        <v>0</v>
      </c>
      <c r="R56" s="959" t="s">
        <v>1900</v>
      </c>
    </row>
    <row r="57" spans="1:18" s="623" customFormat="1" ht="48" thickTop="1" thickBot="1">
      <c r="A57" s="972">
        <v>2</v>
      </c>
      <c r="B57" s="973" t="s">
        <v>1790</v>
      </c>
      <c r="C57" s="1031">
        <f ca="1">C13</f>
        <v>744411</v>
      </c>
      <c r="D57" s="894"/>
      <c r="E57" s="895"/>
      <c r="F57" s="902"/>
      <c r="I57" s="1391" t="s">
        <v>1936</v>
      </c>
      <c r="J57" s="944" t="s">
        <v>3041</v>
      </c>
      <c r="K57" s="1377" t="s">
        <v>1937</v>
      </c>
      <c r="L57" s="785" t="str">
        <f>IF(L49&lt;J52,"——",L49-J52)</f>
        <v>——</v>
      </c>
      <c r="O57" s="960" t="s">
        <v>770</v>
      </c>
      <c r="P57" s="957" t="s">
        <v>1938</v>
      </c>
      <c r="Q57" s="961">
        <f>L53</f>
        <v>0</v>
      </c>
      <c r="R57" s="959"/>
    </row>
    <row r="58" spans="1:18" s="623" customFormat="1" ht="31.8" thickBot="1">
      <c r="A58" s="901"/>
      <c r="B58" s="231" t="s">
        <v>1868</v>
      </c>
      <c r="C58" s="100">
        <f ca="1">C29</f>
        <v>1019741</v>
      </c>
      <c r="D58" s="894"/>
      <c r="E58" s="895"/>
      <c r="F58" s="902"/>
      <c r="I58" s="1392" t="s">
        <v>1939</v>
      </c>
      <c r="J58" s="943" t="str">
        <f>IF(OR(M48="住宅",J52&lt;L49,J57="是"),"——",J52-L49)</f>
        <v>——</v>
      </c>
      <c r="K58" s="1377" t="s">
        <v>1940</v>
      </c>
      <c r="L58" s="785" t="str">
        <f>IF(L49&lt;J52,"——",IF(L56="比较法",L50,IF(L56="基准地价",L51,L52)))</f>
        <v>——</v>
      </c>
      <c r="O58" s="960" t="s">
        <v>771</v>
      </c>
      <c r="P58" s="957" t="s">
        <v>1941</v>
      </c>
      <c r="Q58" s="958" t="e">
        <f>L59</f>
        <v>#DIV/0!</v>
      </c>
      <c r="R58" s="959" t="s">
        <v>1942</v>
      </c>
    </row>
    <row r="59" spans="1:18" s="623" customFormat="1" ht="31.8" thickBot="1">
      <c r="A59" s="244" t="s">
        <v>14</v>
      </c>
      <c r="B59" s="245" t="s">
        <v>1871</v>
      </c>
      <c r="C59" s="246">
        <f ca="1">ROUND(C60+C65+C66+C67,0)</f>
        <v>10941</v>
      </c>
      <c r="D59" s="11" t="s">
        <v>1872</v>
      </c>
      <c r="E59" s="1201"/>
      <c r="F59" s="14"/>
      <c r="I59" s="1392" t="s">
        <v>1943</v>
      </c>
      <c r="J59" s="1188" t="e">
        <f>IF(J56&lt;0.4,0.4,J56)</f>
        <v>#VALUE!</v>
      </c>
      <c r="K59" s="1383" t="s">
        <v>1944</v>
      </c>
      <c r="L59" s="785" t="e">
        <f>ROUND(POWER(1+L53,L48-L49)*(POWER(1+L53,L49)-1)/(POWER(1+L53,L48)-1),4)</f>
        <v>#DIV/0!</v>
      </c>
      <c r="O59" s="960" t="s">
        <v>772</v>
      </c>
      <c r="P59" s="957" t="str">
        <f>K60</f>
        <v>建筑物剩余耐用年限下的土地年期修正系数Kn</v>
      </c>
      <c r="Q59" s="958" t="e">
        <f>L60</f>
        <v>#DIV/0!</v>
      </c>
      <c r="R59" s="959" t="s">
        <v>1945</v>
      </c>
    </row>
    <row r="60" spans="1:18" s="623" customFormat="1" ht="31.8" thickBot="1">
      <c r="A60" s="249" t="s">
        <v>15</v>
      </c>
      <c r="B60" s="231" t="s">
        <v>1812</v>
      </c>
      <c r="C60" s="2542">
        <f>ROUND(IF(AND(项目基本情况!B7="自然人",项目基本情况!B6="北京市"),C50*F60/(1+'数据-取费表'!F30),C61+C62+C63),0)</f>
        <v>0</v>
      </c>
      <c r="D60" s="1196" t="s">
        <v>1873</v>
      </c>
      <c r="E60" s="1199" t="s">
        <v>1874</v>
      </c>
      <c r="F60" s="2541">
        <f>IF(项目基本情况!B7="企业","——",IF('数据-取费表'!B10="住宅",IF(F50*F51*F52/12/(1+'数据-取费表'!F30)&gt;100000,4%,2.5%),IF(F50*F51*F52/12/(1+'数据-取费表'!F30)&gt;100000,12%,7%)))</f>
        <v>7.0000000000000007E-2</v>
      </c>
      <c r="I60" s="1392" t="s">
        <v>1946</v>
      </c>
      <c r="J60" s="943" t="str">
        <f>IF(OR(M48="住宅",J52&lt;L49,J57="是"),"——",ROUND(C29*J59,0))</f>
        <v>——</v>
      </c>
      <c r="K60" s="138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5" t="e">
        <f>ROUND(IF(E1="在建（套用方法）",M60,IF(E1="土地（套用方法）",N60,POWER(1+L53,L48-J52)*(POWER(1+L53,J52)-1)/(POWER(1+L53,L48)-1))),4)</f>
        <v>#DIV/0!</v>
      </c>
      <c r="M60" s="951" t="e">
        <f>ROUND(POWER(1+L53,L48-(J52+'数据-取费表'!B26))*(POWER(1+L53,(J52+'数据-取费表'!B26))-1)/(POWER(1+L53,L48)-1),4)</f>
        <v>#DIV/0!</v>
      </c>
      <c r="N60" s="951" t="e">
        <f>ROUND(POWER(1+L53,L48-(J52+'数据-取费表'!B22))*(POWER(1+L53,(J52+'数据-取费表'!B22))-1)/(POWER(1+L53,L48)-1),4)</f>
        <v>#DIV/0!</v>
      </c>
      <c r="O60" s="956" t="s">
        <v>773</v>
      </c>
      <c r="P60" s="957" t="str">
        <f>IF(C2="元","收益价值(元)","收益价值(万元)")</f>
        <v>收益价值(元)</v>
      </c>
      <c r="Q60" s="958">
        <f ca="1">ROUND(IF(C2="元",Q54+Q55,(Q54+Q55)/10000),0)</f>
        <v>3779482</v>
      </c>
      <c r="R60" s="959" t="s">
        <v>774</v>
      </c>
    </row>
    <row r="61" spans="1:18" s="623" customFormat="1" ht="16.2" thickBot="1">
      <c r="A61" s="249" t="s">
        <v>16</v>
      </c>
      <c r="B61" s="231" t="s">
        <v>1875</v>
      </c>
      <c r="C61" s="12" t="str">
        <f>IF(项目基本情况!B7="自然人","——",ROUND(C49*F61/(1+'数据-取费表'!F30),0))</f>
        <v>——</v>
      </c>
      <c r="D61" s="1199" t="s">
        <v>1876</v>
      </c>
      <c r="E61" s="231" t="s">
        <v>1825</v>
      </c>
      <c r="F61" s="263">
        <f t="shared" ref="F61:F67" si="0">F32</f>
        <v>5.6000000000000001E-2</v>
      </c>
      <c r="I61" s="1393" t="s">
        <v>1947</v>
      </c>
      <c r="J61" s="942" t="str">
        <f>IF(OR(M48="住宅",J52&lt;L49,J57="是"),"0",ROUND(J60/(1+J53)^J54,0))</f>
        <v>0</v>
      </c>
      <c r="K61" s="1394" t="s">
        <v>1948</v>
      </c>
      <c r="L61" s="942">
        <f>IF(OR(M48="住宅",L49&lt;J52),0,ROUND(L58*(L59/L60-1),0))</f>
        <v>0</v>
      </c>
      <c r="O61" s="950" t="s">
        <v>1949</v>
      </c>
      <c r="P61" s="951"/>
      <c r="Q61" s="947"/>
      <c r="R61" s="951"/>
    </row>
    <row r="62" spans="1:18" s="623" customFormat="1" ht="16.2" thickBot="1">
      <c r="A62" s="249" t="s">
        <v>17</v>
      </c>
      <c r="B62" s="231" t="s">
        <v>1950</v>
      </c>
      <c r="C62" s="12" t="str">
        <f>IF(项目基本情况!B7="自然人","——",IF(D62="按租金收入计税",ROUND(C50*F62/(1+'数据-取费表'!F30),0),IF(D62="按房产原值计税",ROUND(C58*F62*0.7,0),'数据-取费表'!B44)))</f>
        <v>——</v>
      </c>
      <c r="D62" s="1288" t="s">
        <v>1822</v>
      </c>
      <c r="E62" s="231" t="s">
        <v>1825</v>
      </c>
      <c r="F62" s="254">
        <f t="shared" si="0"/>
        <v>0.12</v>
      </c>
      <c r="O62" s="952" t="s">
        <v>1895</v>
      </c>
      <c r="P62" s="953" t="s">
        <v>1896</v>
      </c>
      <c r="Q62" s="954" t="s">
        <v>1897</v>
      </c>
      <c r="R62" s="955" t="s">
        <v>1898</v>
      </c>
    </row>
    <row r="63" spans="1:18" s="623" customFormat="1" ht="16.2" thickBot="1">
      <c r="A63" s="256" t="s">
        <v>18</v>
      </c>
      <c r="B63" s="32" t="s">
        <v>1951</v>
      </c>
      <c r="C63" s="13" t="str">
        <f>IF(项目基本情况!B7="自然人","——",ROUND(F63*F64,0))</f>
        <v>——</v>
      </c>
      <c r="D63" s="257" t="s">
        <v>1952</v>
      </c>
      <c r="E63" s="231" t="s">
        <v>1953</v>
      </c>
      <c r="F63" s="258">
        <f t="shared" si="0"/>
        <v>0</v>
      </c>
      <c r="I63" s="1395" t="s">
        <v>1954</v>
      </c>
      <c r="J63" s="1192" t="s">
        <v>1955</v>
      </c>
      <c r="K63" s="1192" t="s">
        <v>1956</v>
      </c>
      <c r="L63" s="1192" t="s">
        <v>1957</v>
      </c>
      <c r="M63" s="1191" t="s">
        <v>1958</v>
      </c>
      <c r="O63" s="956" t="s">
        <v>767</v>
      </c>
      <c r="P63" s="957" t="s">
        <v>1899</v>
      </c>
      <c r="Q63" s="958">
        <f ca="1">C40+J29</f>
        <v>3779482</v>
      </c>
      <c r="R63" s="959" t="s">
        <v>1900</v>
      </c>
    </row>
    <row r="64" spans="1:18" s="623" customFormat="1" ht="19.2" thickBot="1">
      <c r="A64" s="259"/>
      <c r="B64" s="240"/>
      <c r="C64" s="16"/>
      <c r="D64" s="260"/>
      <c r="E64" s="231" t="s">
        <v>1959</v>
      </c>
      <c r="F64" s="232">
        <f t="shared" si="0"/>
        <v>0</v>
      </c>
      <c r="I64" s="1395" t="s">
        <v>1960</v>
      </c>
      <c r="J64" s="1192">
        <v>70</v>
      </c>
      <c r="K64" s="1192">
        <v>50</v>
      </c>
      <c r="L64" s="1192">
        <v>80</v>
      </c>
      <c r="M64" s="1190">
        <v>0.02</v>
      </c>
      <c r="O64" s="956" t="s">
        <v>768</v>
      </c>
      <c r="P64" s="957" t="s">
        <v>1931</v>
      </c>
      <c r="Q64" s="958">
        <f>L61</f>
        <v>0</v>
      </c>
      <c r="R64" s="959" t="s">
        <v>1932</v>
      </c>
    </row>
    <row r="65" spans="1:18" s="623" customFormat="1" ht="21.6" thickBot="1">
      <c r="A65" s="249" t="s">
        <v>19</v>
      </c>
      <c r="B65" s="231" t="s">
        <v>1880</v>
      </c>
      <c r="C65" s="12">
        <f ca="1">ROUND(C58*F65,0)</f>
        <v>10197</v>
      </c>
      <c r="D65" s="1199" t="s">
        <v>1881</v>
      </c>
      <c r="E65" s="231" t="s">
        <v>1825</v>
      </c>
      <c r="F65" s="261">
        <f t="shared" si="0"/>
        <v>0.01</v>
      </c>
      <c r="I65" s="1395" t="s">
        <v>1961</v>
      </c>
      <c r="J65" s="1192">
        <v>50</v>
      </c>
      <c r="K65" s="1192">
        <v>35</v>
      </c>
      <c r="L65" s="1192">
        <v>60</v>
      </c>
      <c r="M65" s="1191">
        <v>0</v>
      </c>
      <c r="O65" s="960" t="s">
        <v>769</v>
      </c>
      <c r="P65" s="957" t="s">
        <v>1935</v>
      </c>
      <c r="Q65" s="962">
        <f ca="1">L52</f>
        <v>66756134</v>
      </c>
      <c r="R65" s="963" t="s">
        <v>1962</v>
      </c>
    </row>
    <row r="66" spans="1:18" s="623" customFormat="1" ht="19.2" thickBot="1">
      <c r="A66" s="249" t="s">
        <v>20</v>
      </c>
      <c r="B66" s="231" t="s">
        <v>1840</v>
      </c>
      <c r="C66" s="12">
        <f ca="1">ROUND(C57*F66,0)</f>
        <v>744</v>
      </c>
      <c r="D66" s="1199" t="s">
        <v>1841</v>
      </c>
      <c r="E66" s="231" t="s">
        <v>1842</v>
      </c>
      <c r="F66" s="262">
        <f t="shared" si="0"/>
        <v>1E-3</v>
      </c>
      <c r="I66" s="1395" t="s">
        <v>1963</v>
      </c>
      <c r="J66" s="1192">
        <v>40</v>
      </c>
      <c r="K66" s="1192">
        <v>30</v>
      </c>
      <c r="L66" s="1192">
        <v>50</v>
      </c>
      <c r="M66" s="1190">
        <v>0.02</v>
      </c>
      <c r="O66" s="960" t="s">
        <v>770</v>
      </c>
      <c r="P66" s="964" t="s">
        <v>1964</v>
      </c>
      <c r="Q66" s="958">
        <f ca="1">ROUND(Q67-Q68*Q69,0)</f>
        <v>230466</v>
      </c>
      <c r="R66" s="959"/>
    </row>
    <row r="67" spans="1:18" s="623" customFormat="1" ht="16.2" thickBot="1">
      <c r="A67" s="249" t="s">
        <v>21</v>
      </c>
      <c r="B67" s="231" t="s">
        <v>1823</v>
      </c>
      <c r="C67" s="12">
        <f ca="1">ROUND(C49*F67,0)</f>
        <v>0</v>
      </c>
      <c r="D67" s="1199" t="s">
        <v>1846</v>
      </c>
      <c r="E67" s="231" t="s">
        <v>1842</v>
      </c>
      <c r="F67" s="241">
        <f t="shared" si="0"/>
        <v>0.01</v>
      </c>
      <c r="O67" s="960" t="s">
        <v>775</v>
      </c>
      <c r="P67" s="964" t="s">
        <v>1965</v>
      </c>
      <c r="Q67" s="958">
        <f ca="1">C39</f>
        <v>230466</v>
      </c>
      <c r="R67" s="959" t="s">
        <v>1900</v>
      </c>
    </row>
    <row r="68" spans="1:18" ht="24.6" thickBot="1">
      <c r="A68" s="244" t="s">
        <v>22</v>
      </c>
      <c r="B68" s="37" t="s">
        <v>1850</v>
      </c>
      <c r="C68" s="246">
        <f ca="1">C49-C59</f>
        <v>-10941</v>
      </c>
      <c r="D68" s="1196" t="s">
        <v>1851</v>
      </c>
      <c r="E68" s="1198"/>
      <c r="F68" s="264"/>
      <c r="H68" s="623"/>
      <c r="I68" s="623"/>
      <c r="J68" s="623"/>
      <c r="K68" s="623"/>
      <c r="L68" s="623"/>
      <c r="M68" s="623"/>
      <c r="O68" s="960" t="s">
        <v>776</v>
      </c>
      <c r="P68" s="964" t="s">
        <v>1966</v>
      </c>
      <c r="Q68" s="958">
        <f ca="1">C13</f>
        <v>744411</v>
      </c>
      <c r="R68" s="959" t="s">
        <v>1900</v>
      </c>
    </row>
    <row r="69" spans="1:18" ht="16.2" thickBot="1">
      <c r="A69" s="228" t="s">
        <v>23</v>
      </c>
      <c r="B69" s="229" t="s">
        <v>1888</v>
      </c>
      <c r="C69" s="230">
        <f ca="1">ROUND(C68*(1-((1+F71)/(1+F69))^F70)/(F69-F71),0)</f>
        <v>-137672</v>
      </c>
      <c r="D69" s="257" t="s">
        <v>1856</v>
      </c>
      <c r="E69" s="231" t="s">
        <v>1857</v>
      </c>
      <c r="F69" s="241">
        <f>F40</f>
        <v>5.5E-2</v>
      </c>
      <c r="H69" s="623"/>
      <c r="I69" s="623"/>
      <c r="J69" s="623"/>
      <c r="K69" s="623"/>
      <c r="L69" s="623"/>
      <c r="M69" s="623"/>
      <c r="O69" s="960" t="s">
        <v>777</v>
      </c>
      <c r="P69" s="964" t="s">
        <v>1967</v>
      </c>
      <c r="Q69" s="961">
        <f>J35</f>
        <v>0</v>
      </c>
      <c r="R69" s="959"/>
    </row>
    <row r="70" spans="1:18" ht="16.2" thickBot="1">
      <c r="A70" s="233"/>
      <c r="B70" s="234"/>
      <c r="C70" s="235"/>
      <c r="D70" s="265" t="s">
        <v>1890</v>
      </c>
      <c r="E70" s="231" t="s">
        <v>1862</v>
      </c>
      <c r="F70" s="266">
        <f>F41</f>
        <v>22</v>
      </c>
      <c r="H70" s="623"/>
      <c r="I70" s="623"/>
      <c r="J70" s="623"/>
      <c r="K70" s="623"/>
      <c r="L70" s="623"/>
      <c r="M70" s="623"/>
      <c r="O70" s="960" t="s">
        <v>771</v>
      </c>
      <c r="P70" s="957" t="s">
        <v>1938</v>
      </c>
      <c r="Q70" s="961">
        <f>L53</f>
        <v>0</v>
      </c>
      <c r="R70" s="959"/>
    </row>
    <row r="71" spans="1:18" ht="19.2" thickBot="1">
      <c r="A71" s="237"/>
      <c r="B71" s="238"/>
      <c r="C71" s="239"/>
      <c r="D71" s="260"/>
      <c r="E71" s="231" t="s">
        <v>1866</v>
      </c>
      <c r="F71" s="945"/>
      <c r="H71" s="623"/>
      <c r="M71" s="623"/>
      <c r="O71" s="960" t="s">
        <v>772</v>
      </c>
      <c r="P71" s="957" t="s">
        <v>1941</v>
      </c>
      <c r="Q71" s="958" t="e">
        <f>L59</f>
        <v>#DIV/0!</v>
      </c>
      <c r="R71" s="959" t="s">
        <v>1942</v>
      </c>
    </row>
    <row r="72" spans="1:18" ht="16.2" thickBot="1">
      <c r="A72" s="267" t="s">
        <v>24</v>
      </c>
      <c r="B72" s="268" t="s">
        <v>1891</v>
      </c>
      <c r="C72" s="269">
        <f ca="1">ROUND(C69/F72,0)</f>
        <v>-831</v>
      </c>
      <c r="D72" s="270" t="s">
        <v>1892</v>
      </c>
      <c r="E72" s="271" t="s">
        <v>1893</v>
      </c>
      <c r="F72" s="272">
        <f>F43</f>
        <v>165.59</v>
      </c>
      <c r="O72" s="960" t="s">
        <v>778</v>
      </c>
      <c r="P72" s="957" t="str">
        <f>K60</f>
        <v>建筑物剩余耐用年限下的土地年期修正系数Kn</v>
      </c>
      <c r="Q72" s="958" t="e">
        <f>L60</f>
        <v>#DIV/0!</v>
      </c>
      <c r="R72" s="959" t="s">
        <v>1945</v>
      </c>
    </row>
    <row r="73" spans="1:18" ht="15.6" thickBot="1">
      <c r="A73" s="623"/>
      <c r="B73" s="626"/>
      <c r="C73" s="626"/>
      <c r="D73" s="623"/>
      <c r="E73" s="623"/>
      <c r="F73" s="623"/>
      <c r="O73" s="956" t="s">
        <v>773</v>
      </c>
      <c r="P73" s="957" t="str">
        <f>IF(C2="元","收益价值(元)","收益价值(万元)")</f>
        <v>收益价值(元)</v>
      </c>
      <c r="Q73" s="958">
        <f ca="1">ROUND(IF(C2="元",Q63+Q64,(Q63+Q64)/10000),0)</f>
        <v>3779482</v>
      </c>
      <c r="R73" s="959" t="s">
        <v>774</v>
      </c>
    </row>
    <row r="74" spans="1:18">
      <c r="A74" s="623"/>
      <c r="B74" s="626"/>
      <c r="C74" s="626"/>
      <c r="D74" s="623"/>
      <c r="E74" s="623"/>
      <c r="F74" s="623"/>
    </row>
    <row r="75" spans="1:18">
      <c r="A75" s="623"/>
      <c r="B75" s="626"/>
      <c r="C75" s="626"/>
      <c r="D75" s="623"/>
      <c r="E75" s="623"/>
      <c r="F75" s="623"/>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671"/>
      <c r="B1" s="671"/>
    </row>
    <row r="2" spans="1:7">
      <c r="A2" s="671"/>
      <c r="B2" s="671"/>
    </row>
    <row r="3" spans="1:7">
      <c r="A3" s="671"/>
      <c r="B3" s="671"/>
    </row>
    <row r="4" spans="1:7">
      <c r="A4" s="671"/>
      <c r="B4" s="671"/>
    </row>
    <row r="5" spans="1:7">
      <c r="A5" s="671"/>
      <c r="B5" s="671"/>
    </row>
    <row r="6" spans="1:7">
      <c r="A6" s="671"/>
      <c r="B6" s="671"/>
    </row>
    <row r="7" spans="1:7">
      <c r="A7" s="671"/>
      <c r="B7" s="671"/>
    </row>
    <row r="8" spans="1:7">
      <c r="A8" s="671" t="s">
        <v>758</v>
      </c>
      <c r="B8" s="755" t="s">
        <v>757</v>
      </c>
      <c r="C8" s="736"/>
    </row>
    <row r="9" spans="1:7">
      <c r="A9" s="671"/>
      <c r="B9" s="1205" t="str">
        <f>项目基本情况!B1</f>
        <v>北京市房地产抵押价值预评估</v>
      </c>
      <c r="C9" s="737"/>
      <c r="D9" s="738"/>
      <c r="E9" s="738"/>
      <c r="F9" s="738"/>
      <c r="G9" s="738"/>
    </row>
    <row r="10" spans="1:7">
      <c r="A10" s="671"/>
      <c r="B10" s="756"/>
      <c r="C10" s="737"/>
      <c r="D10" s="738"/>
      <c r="E10" s="738"/>
      <c r="F10" s="738"/>
      <c r="G10" s="738"/>
    </row>
    <row r="11" spans="1:7">
      <c r="A11" s="671" t="s">
        <v>758</v>
      </c>
      <c r="B11" s="755" t="s">
        <v>759</v>
      </c>
      <c r="C11" s="736"/>
    </row>
    <row r="12" spans="1:7">
      <c r="A12" s="671"/>
      <c r="B12" s="1206" t="str">
        <f>项目基本情况!B4</f>
        <v>xx</v>
      </c>
      <c r="C12" s="736"/>
    </row>
    <row r="13" spans="1:7">
      <c r="A13" s="671"/>
      <c r="B13" s="755"/>
      <c r="C13" s="736"/>
    </row>
    <row r="14" spans="1:7">
      <c r="A14" s="671" t="s">
        <v>758</v>
      </c>
      <c r="B14" s="755" t="s">
        <v>760</v>
      </c>
      <c r="C14" s="736"/>
    </row>
    <row r="15" spans="1:7">
      <c r="A15" s="671"/>
      <c r="B15" s="1206" t="s">
        <v>589</v>
      </c>
      <c r="C15" s="736"/>
    </row>
    <row r="16" spans="1:7">
      <c r="A16" s="671"/>
      <c r="B16" s="755"/>
      <c r="C16" s="736"/>
    </row>
    <row r="17" spans="1:5">
      <c r="A17" s="671" t="s">
        <v>758</v>
      </c>
      <c r="B17" s="755" t="s">
        <v>761</v>
      </c>
      <c r="C17" s="736"/>
    </row>
    <row r="18" spans="1:5" s="740" customFormat="1">
      <c r="A18" s="823"/>
      <c r="B18" s="1206" t="str">
        <f>CONCATENATE(项目基本情况!B3,"（注册号:",项目基本情况!C3,"）、",项目基本情况!D3,"（注册号:",项目基本情况!E3,")")</f>
        <v>（注册号:0）、（注册号:0)</v>
      </c>
      <c r="C18" s="739"/>
      <c r="E18" s="739"/>
    </row>
    <row r="19" spans="1:5">
      <c r="A19" s="671"/>
      <c r="B19" s="755"/>
      <c r="C19" s="736"/>
    </row>
    <row r="20" spans="1:5">
      <c r="A20" s="671" t="s">
        <v>758</v>
      </c>
      <c r="B20" s="755" t="s">
        <v>762</v>
      </c>
      <c r="C20" s="736"/>
    </row>
    <row r="21" spans="1:5">
      <c r="A21" s="671"/>
      <c r="B21" s="1206" t="str">
        <f>"康正预评字"&amp;项目基本情况!G1&amp;"号"</f>
        <v>康正预评字号</v>
      </c>
    </row>
    <row r="22" spans="1:5">
      <c r="A22" s="671"/>
      <c r="B22" s="6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47" sqref="F47"/>
    </sheetView>
  </sheetViews>
  <sheetFormatPr defaultRowHeight="13.2" customHeight="1"/>
  <cols>
    <col min="1" max="1" width="9.44140625" style="2828" customWidth="1"/>
    <col min="2" max="2" width="8.88671875" style="2828"/>
    <col min="3" max="5" width="12.88671875" style="2828" customWidth="1"/>
    <col min="6" max="6" width="47.44140625" style="2828" customWidth="1"/>
    <col min="7" max="7" width="13" style="2921" customWidth="1"/>
    <col min="8" max="8" width="8.88671875" style="2921"/>
    <col min="9" max="9" width="8.88671875" style="2922"/>
    <col min="10" max="10" width="5.77734375" style="2996" customWidth="1"/>
    <col min="11" max="11" width="11.77734375" style="2996" customWidth="1"/>
    <col min="12" max="13" width="10.77734375" style="2996" customWidth="1"/>
    <col min="14" max="14" width="10" style="2996" customWidth="1"/>
    <col min="15" max="16" width="10.44140625" style="2996" bestFit="1" customWidth="1"/>
    <col min="17" max="17" width="10" style="2996" customWidth="1"/>
    <col min="18" max="18" width="10.109375" style="2996" customWidth="1"/>
    <col min="19" max="19" width="10" style="2996" customWidth="1"/>
    <col min="20" max="20" width="26.109375" style="2996" customWidth="1"/>
    <col min="21" max="21" width="8.88671875" style="2996"/>
    <col min="22" max="22" width="8.88671875" style="2922"/>
    <col min="23" max="23" width="8.88671875" style="2921"/>
    <col min="24" max="256" width="8.88671875" style="2828"/>
    <col min="257" max="257" width="9.44140625" style="2828" customWidth="1"/>
    <col min="258" max="258" width="8.88671875" style="2828"/>
    <col min="259" max="261" width="12.88671875" style="2828" customWidth="1"/>
    <col min="262" max="262" width="47.44140625" style="2828" customWidth="1"/>
    <col min="263" max="263" width="13" style="2828" customWidth="1"/>
    <col min="264" max="265" width="8.88671875" style="2828"/>
    <col min="266" max="266" width="5.77734375" style="2828" customWidth="1"/>
    <col min="267" max="267" width="11.77734375" style="2828" customWidth="1"/>
    <col min="268" max="269" width="10.77734375" style="2828" customWidth="1"/>
    <col min="270" max="270" width="10" style="2828" customWidth="1"/>
    <col min="271" max="272" width="10.44140625" style="2828" bestFit="1" customWidth="1"/>
    <col min="273" max="273" width="10" style="2828" customWidth="1"/>
    <col min="274" max="274" width="10.109375" style="2828" customWidth="1"/>
    <col min="275" max="275" width="10" style="2828" customWidth="1"/>
    <col min="276" max="276" width="26.109375" style="2828" customWidth="1"/>
    <col min="277" max="512" width="8.88671875" style="2828"/>
    <col min="513" max="513" width="9.44140625" style="2828" customWidth="1"/>
    <col min="514" max="514" width="8.88671875" style="2828"/>
    <col min="515" max="517" width="12.88671875" style="2828" customWidth="1"/>
    <col min="518" max="518" width="47.44140625" style="2828" customWidth="1"/>
    <col min="519" max="519" width="13" style="2828" customWidth="1"/>
    <col min="520" max="521" width="8.88671875" style="2828"/>
    <col min="522" max="522" width="5.77734375" style="2828" customWidth="1"/>
    <col min="523" max="523" width="11.77734375" style="2828" customWidth="1"/>
    <col min="524" max="525" width="10.77734375" style="2828" customWidth="1"/>
    <col min="526" max="526" width="10" style="2828" customWidth="1"/>
    <col min="527" max="528" width="10.44140625" style="2828" bestFit="1" customWidth="1"/>
    <col min="529" max="529" width="10" style="2828" customWidth="1"/>
    <col min="530" max="530" width="10.109375" style="2828" customWidth="1"/>
    <col min="531" max="531" width="10" style="2828" customWidth="1"/>
    <col min="532" max="532" width="26.109375" style="2828" customWidth="1"/>
    <col min="533" max="768" width="8.88671875" style="2828"/>
    <col min="769" max="769" width="9.44140625" style="2828" customWidth="1"/>
    <col min="770" max="770" width="8.88671875" style="2828"/>
    <col min="771" max="773" width="12.88671875" style="2828" customWidth="1"/>
    <col min="774" max="774" width="47.44140625" style="2828" customWidth="1"/>
    <col min="775" max="775" width="13" style="2828" customWidth="1"/>
    <col min="776" max="777" width="8.88671875" style="2828"/>
    <col min="778" max="778" width="5.77734375" style="2828" customWidth="1"/>
    <col min="779" max="779" width="11.77734375" style="2828" customWidth="1"/>
    <col min="780" max="781" width="10.77734375" style="2828" customWidth="1"/>
    <col min="782" max="782" width="10" style="2828" customWidth="1"/>
    <col min="783" max="784" width="10.44140625" style="2828" bestFit="1" customWidth="1"/>
    <col min="785" max="785" width="10" style="2828" customWidth="1"/>
    <col min="786" max="786" width="10.109375" style="2828" customWidth="1"/>
    <col min="787" max="787" width="10" style="2828" customWidth="1"/>
    <col min="788" max="788" width="26.109375" style="2828" customWidth="1"/>
    <col min="789" max="1024" width="8.88671875" style="2828"/>
    <col min="1025" max="1025" width="9.44140625" style="2828" customWidth="1"/>
    <col min="1026" max="1026" width="8.88671875" style="2828"/>
    <col min="1027" max="1029" width="12.88671875" style="2828" customWidth="1"/>
    <col min="1030" max="1030" width="47.44140625" style="2828" customWidth="1"/>
    <col min="1031" max="1031" width="13" style="2828" customWidth="1"/>
    <col min="1032" max="1033" width="8.88671875" style="2828"/>
    <col min="1034" max="1034" width="5.77734375" style="2828" customWidth="1"/>
    <col min="1035" max="1035" width="11.77734375" style="2828" customWidth="1"/>
    <col min="1036" max="1037" width="10.77734375" style="2828" customWidth="1"/>
    <col min="1038" max="1038" width="10" style="2828" customWidth="1"/>
    <col min="1039" max="1040" width="10.44140625" style="2828" bestFit="1" customWidth="1"/>
    <col min="1041" max="1041" width="10" style="2828" customWidth="1"/>
    <col min="1042" max="1042" width="10.109375" style="2828" customWidth="1"/>
    <col min="1043" max="1043" width="10" style="2828" customWidth="1"/>
    <col min="1044" max="1044" width="26.109375" style="2828" customWidth="1"/>
    <col min="1045" max="1280" width="8.88671875" style="2828"/>
    <col min="1281" max="1281" width="9.44140625" style="2828" customWidth="1"/>
    <col min="1282" max="1282" width="8.88671875" style="2828"/>
    <col min="1283" max="1285" width="12.88671875" style="2828" customWidth="1"/>
    <col min="1286" max="1286" width="47.44140625" style="2828" customWidth="1"/>
    <col min="1287" max="1287" width="13" style="2828" customWidth="1"/>
    <col min="1288" max="1289" width="8.88671875" style="2828"/>
    <col min="1290" max="1290" width="5.77734375" style="2828" customWidth="1"/>
    <col min="1291" max="1291" width="11.77734375" style="2828" customWidth="1"/>
    <col min="1292" max="1293" width="10.77734375" style="2828" customWidth="1"/>
    <col min="1294" max="1294" width="10" style="2828" customWidth="1"/>
    <col min="1295" max="1296" width="10.44140625" style="2828" bestFit="1" customWidth="1"/>
    <col min="1297" max="1297" width="10" style="2828" customWidth="1"/>
    <col min="1298" max="1298" width="10.109375" style="2828" customWidth="1"/>
    <col min="1299" max="1299" width="10" style="2828" customWidth="1"/>
    <col min="1300" max="1300" width="26.109375" style="2828" customWidth="1"/>
    <col min="1301" max="1536" width="8.88671875" style="2828"/>
    <col min="1537" max="1537" width="9.44140625" style="2828" customWidth="1"/>
    <col min="1538" max="1538" width="8.88671875" style="2828"/>
    <col min="1539" max="1541" width="12.88671875" style="2828" customWidth="1"/>
    <col min="1542" max="1542" width="47.44140625" style="2828" customWidth="1"/>
    <col min="1543" max="1543" width="13" style="2828" customWidth="1"/>
    <col min="1544" max="1545" width="8.88671875" style="2828"/>
    <col min="1546" max="1546" width="5.77734375" style="2828" customWidth="1"/>
    <col min="1547" max="1547" width="11.77734375" style="2828" customWidth="1"/>
    <col min="1548" max="1549" width="10.77734375" style="2828" customWidth="1"/>
    <col min="1550" max="1550" width="10" style="2828" customWidth="1"/>
    <col min="1551" max="1552" width="10.44140625" style="2828" bestFit="1" customWidth="1"/>
    <col min="1553" max="1553" width="10" style="2828" customWidth="1"/>
    <col min="1554" max="1554" width="10.109375" style="2828" customWidth="1"/>
    <col min="1555" max="1555" width="10" style="2828" customWidth="1"/>
    <col min="1556" max="1556" width="26.109375" style="2828" customWidth="1"/>
    <col min="1557" max="1792" width="8.88671875" style="2828"/>
    <col min="1793" max="1793" width="9.44140625" style="2828" customWidth="1"/>
    <col min="1794" max="1794" width="8.88671875" style="2828"/>
    <col min="1795" max="1797" width="12.88671875" style="2828" customWidth="1"/>
    <col min="1798" max="1798" width="47.44140625" style="2828" customWidth="1"/>
    <col min="1799" max="1799" width="13" style="2828" customWidth="1"/>
    <col min="1800" max="1801" width="8.88671875" style="2828"/>
    <col min="1802" max="1802" width="5.77734375" style="2828" customWidth="1"/>
    <col min="1803" max="1803" width="11.77734375" style="2828" customWidth="1"/>
    <col min="1804" max="1805" width="10.77734375" style="2828" customWidth="1"/>
    <col min="1806" max="1806" width="10" style="2828" customWidth="1"/>
    <col min="1807" max="1808" width="10.44140625" style="2828" bestFit="1" customWidth="1"/>
    <col min="1809" max="1809" width="10" style="2828" customWidth="1"/>
    <col min="1810" max="1810" width="10.109375" style="2828" customWidth="1"/>
    <col min="1811" max="1811" width="10" style="2828" customWidth="1"/>
    <col min="1812" max="1812" width="26.109375" style="2828" customWidth="1"/>
    <col min="1813" max="2048" width="8.88671875" style="2828"/>
    <col min="2049" max="2049" width="9.44140625" style="2828" customWidth="1"/>
    <col min="2050" max="2050" width="8.88671875" style="2828"/>
    <col min="2051" max="2053" width="12.88671875" style="2828" customWidth="1"/>
    <col min="2054" max="2054" width="47.44140625" style="2828" customWidth="1"/>
    <col min="2055" max="2055" width="13" style="2828" customWidth="1"/>
    <col min="2056" max="2057" width="8.88671875" style="2828"/>
    <col min="2058" max="2058" width="5.77734375" style="2828" customWidth="1"/>
    <col min="2059" max="2059" width="11.77734375" style="2828" customWidth="1"/>
    <col min="2060" max="2061" width="10.77734375" style="2828" customWidth="1"/>
    <col min="2062" max="2062" width="10" style="2828" customWidth="1"/>
    <col min="2063" max="2064" width="10.44140625" style="2828" bestFit="1" customWidth="1"/>
    <col min="2065" max="2065" width="10" style="2828" customWidth="1"/>
    <col min="2066" max="2066" width="10.109375" style="2828" customWidth="1"/>
    <col min="2067" max="2067" width="10" style="2828" customWidth="1"/>
    <col min="2068" max="2068" width="26.109375" style="2828" customWidth="1"/>
    <col min="2069" max="2304" width="8.88671875" style="2828"/>
    <col min="2305" max="2305" width="9.44140625" style="2828" customWidth="1"/>
    <col min="2306" max="2306" width="8.88671875" style="2828"/>
    <col min="2307" max="2309" width="12.88671875" style="2828" customWidth="1"/>
    <col min="2310" max="2310" width="47.44140625" style="2828" customWidth="1"/>
    <col min="2311" max="2311" width="13" style="2828" customWidth="1"/>
    <col min="2312" max="2313" width="8.88671875" style="2828"/>
    <col min="2314" max="2314" width="5.77734375" style="2828" customWidth="1"/>
    <col min="2315" max="2315" width="11.77734375" style="2828" customWidth="1"/>
    <col min="2316" max="2317" width="10.77734375" style="2828" customWidth="1"/>
    <col min="2318" max="2318" width="10" style="2828" customWidth="1"/>
    <col min="2319" max="2320" width="10.44140625" style="2828" bestFit="1" customWidth="1"/>
    <col min="2321" max="2321" width="10" style="2828" customWidth="1"/>
    <col min="2322" max="2322" width="10.109375" style="2828" customWidth="1"/>
    <col min="2323" max="2323" width="10" style="2828" customWidth="1"/>
    <col min="2324" max="2324" width="26.109375" style="2828" customWidth="1"/>
    <col min="2325" max="2560" width="8.88671875" style="2828"/>
    <col min="2561" max="2561" width="9.44140625" style="2828" customWidth="1"/>
    <col min="2562" max="2562" width="8.88671875" style="2828"/>
    <col min="2563" max="2565" width="12.88671875" style="2828" customWidth="1"/>
    <col min="2566" max="2566" width="47.44140625" style="2828" customWidth="1"/>
    <col min="2567" max="2567" width="13" style="2828" customWidth="1"/>
    <col min="2568" max="2569" width="8.88671875" style="2828"/>
    <col min="2570" max="2570" width="5.77734375" style="2828" customWidth="1"/>
    <col min="2571" max="2571" width="11.77734375" style="2828" customWidth="1"/>
    <col min="2572" max="2573" width="10.77734375" style="2828" customWidth="1"/>
    <col min="2574" max="2574" width="10" style="2828" customWidth="1"/>
    <col min="2575" max="2576" width="10.44140625" style="2828" bestFit="1" customWidth="1"/>
    <col min="2577" max="2577" width="10" style="2828" customWidth="1"/>
    <col min="2578" max="2578" width="10.109375" style="2828" customWidth="1"/>
    <col min="2579" max="2579" width="10" style="2828" customWidth="1"/>
    <col min="2580" max="2580" width="26.109375" style="2828" customWidth="1"/>
    <col min="2581" max="2816" width="8.88671875" style="2828"/>
    <col min="2817" max="2817" width="9.44140625" style="2828" customWidth="1"/>
    <col min="2818" max="2818" width="8.88671875" style="2828"/>
    <col min="2819" max="2821" width="12.88671875" style="2828" customWidth="1"/>
    <col min="2822" max="2822" width="47.44140625" style="2828" customWidth="1"/>
    <col min="2823" max="2823" width="13" style="2828" customWidth="1"/>
    <col min="2824" max="2825" width="8.88671875" style="2828"/>
    <col min="2826" max="2826" width="5.77734375" style="2828" customWidth="1"/>
    <col min="2827" max="2827" width="11.77734375" style="2828" customWidth="1"/>
    <col min="2828" max="2829" width="10.77734375" style="2828" customWidth="1"/>
    <col min="2830" max="2830" width="10" style="2828" customWidth="1"/>
    <col min="2831" max="2832" width="10.44140625" style="2828" bestFit="1" customWidth="1"/>
    <col min="2833" max="2833" width="10" style="2828" customWidth="1"/>
    <col min="2834" max="2834" width="10.109375" style="2828" customWidth="1"/>
    <col min="2835" max="2835" width="10" style="2828" customWidth="1"/>
    <col min="2836" max="2836" width="26.109375" style="2828" customWidth="1"/>
    <col min="2837" max="3072" width="8.88671875" style="2828"/>
    <col min="3073" max="3073" width="9.44140625" style="2828" customWidth="1"/>
    <col min="3074" max="3074" width="8.88671875" style="2828"/>
    <col min="3075" max="3077" width="12.88671875" style="2828" customWidth="1"/>
    <col min="3078" max="3078" width="47.44140625" style="2828" customWidth="1"/>
    <col min="3079" max="3079" width="13" style="2828" customWidth="1"/>
    <col min="3080" max="3081" width="8.88671875" style="2828"/>
    <col min="3082" max="3082" width="5.77734375" style="2828" customWidth="1"/>
    <col min="3083" max="3083" width="11.77734375" style="2828" customWidth="1"/>
    <col min="3084" max="3085" width="10.77734375" style="2828" customWidth="1"/>
    <col min="3086" max="3086" width="10" style="2828" customWidth="1"/>
    <col min="3087" max="3088" width="10.44140625" style="2828" bestFit="1" customWidth="1"/>
    <col min="3089" max="3089" width="10" style="2828" customWidth="1"/>
    <col min="3090" max="3090" width="10.109375" style="2828" customWidth="1"/>
    <col min="3091" max="3091" width="10" style="2828" customWidth="1"/>
    <col min="3092" max="3092" width="26.109375" style="2828" customWidth="1"/>
    <col min="3093" max="3328" width="8.88671875" style="2828"/>
    <col min="3329" max="3329" width="9.44140625" style="2828" customWidth="1"/>
    <col min="3330" max="3330" width="8.88671875" style="2828"/>
    <col min="3331" max="3333" width="12.88671875" style="2828" customWidth="1"/>
    <col min="3334" max="3334" width="47.44140625" style="2828" customWidth="1"/>
    <col min="3335" max="3335" width="13" style="2828" customWidth="1"/>
    <col min="3336" max="3337" width="8.88671875" style="2828"/>
    <col min="3338" max="3338" width="5.77734375" style="2828" customWidth="1"/>
    <col min="3339" max="3339" width="11.77734375" style="2828" customWidth="1"/>
    <col min="3340" max="3341" width="10.77734375" style="2828" customWidth="1"/>
    <col min="3342" max="3342" width="10" style="2828" customWidth="1"/>
    <col min="3343" max="3344" width="10.44140625" style="2828" bestFit="1" customWidth="1"/>
    <col min="3345" max="3345" width="10" style="2828" customWidth="1"/>
    <col min="3346" max="3346" width="10.109375" style="2828" customWidth="1"/>
    <col min="3347" max="3347" width="10" style="2828" customWidth="1"/>
    <col min="3348" max="3348" width="26.109375" style="2828" customWidth="1"/>
    <col min="3349" max="3584" width="8.88671875" style="2828"/>
    <col min="3585" max="3585" width="9.44140625" style="2828" customWidth="1"/>
    <col min="3586" max="3586" width="8.88671875" style="2828"/>
    <col min="3587" max="3589" width="12.88671875" style="2828" customWidth="1"/>
    <col min="3590" max="3590" width="47.44140625" style="2828" customWidth="1"/>
    <col min="3591" max="3591" width="13" style="2828" customWidth="1"/>
    <col min="3592" max="3593" width="8.88671875" style="2828"/>
    <col min="3594" max="3594" width="5.77734375" style="2828" customWidth="1"/>
    <col min="3595" max="3595" width="11.77734375" style="2828" customWidth="1"/>
    <col min="3596" max="3597" width="10.77734375" style="2828" customWidth="1"/>
    <col min="3598" max="3598" width="10" style="2828" customWidth="1"/>
    <col min="3599" max="3600" width="10.44140625" style="2828" bestFit="1" customWidth="1"/>
    <col min="3601" max="3601" width="10" style="2828" customWidth="1"/>
    <col min="3602" max="3602" width="10.109375" style="2828" customWidth="1"/>
    <col min="3603" max="3603" width="10" style="2828" customWidth="1"/>
    <col min="3604" max="3604" width="26.109375" style="2828" customWidth="1"/>
    <col min="3605" max="3840" width="8.88671875" style="2828"/>
    <col min="3841" max="3841" width="9.44140625" style="2828" customWidth="1"/>
    <col min="3842" max="3842" width="8.88671875" style="2828"/>
    <col min="3843" max="3845" width="12.88671875" style="2828" customWidth="1"/>
    <col min="3846" max="3846" width="47.44140625" style="2828" customWidth="1"/>
    <col min="3847" max="3847" width="13" style="2828" customWidth="1"/>
    <col min="3848" max="3849" width="8.88671875" style="2828"/>
    <col min="3850" max="3850" width="5.77734375" style="2828" customWidth="1"/>
    <col min="3851" max="3851" width="11.77734375" style="2828" customWidth="1"/>
    <col min="3852" max="3853" width="10.77734375" style="2828" customWidth="1"/>
    <col min="3854" max="3854" width="10" style="2828" customWidth="1"/>
    <col min="3855" max="3856" width="10.44140625" style="2828" bestFit="1" customWidth="1"/>
    <col min="3857" max="3857" width="10" style="2828" customWidth="1"/>
    <col min="3858" max="3858" width="10.109375" style="2828" customWidth="1"/>
    <col min="3859" max="3859" width="10" style="2828" customWidth="1"/>
    <col min="3860" max="3860" width="26.109375" style="2828" customWidth="1"/>
    <col min="3861" max="4096" width="8.88671875" style="2828"/>
    <col min="4097" max="4097" width="9.44140625" style="2828" customWidth="1"/>
    <col min="4098" max="4098" width="8.88671875" style="2828"/>
    <col min="4099" max="4101" width="12.88671875" style="2828" customWidth="1"/>
    <col min="4102" max="4102" width="47.44140625" style="2828" customWidth="1"/>
    <col min="4103" max="4103" width="13" style="2828" customWidth="1"/>
    <col min="4104" max="4105" width="8.88671875" style="2828"/>
    <col min="4106" max="4106" width="5.77734375" style="2828" customWidth="1"/>
    <col min="4107" max="4107" width="11.77734375" style="2828" customWidth="1"/>
    <col min="4108" max="4109" width="10.77734375" style="2828" customWidth="1"/>
    <col min="4110" max="4110" width="10" style="2828" customWidth="1"/>
    <col min="4111" max="4112" width="10.44140625" style="2828" bestFit="1" customWidth="1"/>
    <col min="4113" max="4113" width="10" style="2828" customWidth="1"/>
    <col min="4114" max="4114" width="10.109375" style="2828" customWidth="1"/>
    <col min="4115" max="4115" width="10" style="2828" customWidth="1"/>
    <col min="4116" max="4116" width="26.109375" style="2828" customWidth="1"/>
    <col min="4117" max="4352" width="8.88671875" style="2828"/>
    <col min="4353" max="4353" width="9.44140625" style="2828" customWidth="1"/>
    <col min="4354" max="4354" width="8.88671875" style="2828"/>
    <col min="4355" max="4357" width="12.88671875" style="2828" customWidth="1"/>
    <col min="4358" max="4358" width="47.44140625" style="2828" customWidth="1"/>
    <col min="4359" max="4359" width="13" style="2828" customWidth="1"/>
    <col min="4360" max="4361" width="8.88671875" style="2828"/>
    <col min="4362" max="4362" width="5.77734375" style="2828" customWidth="1"/>
    <col min="4363" max="4363" width="11.77734375" style="2828" customWidth="1"/>
    <col min="4364" max="4365" width="10.77734375" style="2828" customWidth="1"/>
    <col min="4366" max="4366" width="10" style="2828" customWidth="1"/>
    <col min="4367" max="4368" width="10.44140625" style="2828" bestFit="1" customWidth="1"/>
    <col min="4369" max="4369" width="10" style="2828" customWidth="1"/>
    <col min="4370" max="4370" width="10.109375" style="2828" customWidth="1"/>
    <col min="4371" max="4371" width="10" style="2828" customWidth="1"/>
    <col min="4372" max="4372" width="26.109375" style="2828" customWidth="1"/>
    <col min="4373" max="4608" width="8.88671875" style="2828"/>
    <col min="4609" max="4609" width="9.44140625" style="2828" customWidth="1"/>
    <col min="4610" max="4610" width="8.88671875" style="2828"/>
    <col min="4611" max="4613" width="12.88671875" style="2828" customWidth="1"/>
    <col min="4614" max="4614" width="47.44140625" style="2828" customWidth="1"/>
    <col min="4615" max="4615" width="13" style="2828" customWidth="1"/>
    <col min="4616" max="4617" width="8.88671875" style="2828"/>
    <col min="4618" max="4618" width="5.77734375" style="2828" customWidth="1"/>
    <col min="4619" max="4619" width="11.77734375" style="2828" customWidth="1"/>
    <col min="4620" max="4621" width="10.77734375" style="2828" customWidth="1"/>
    <col min="4622" max="4622" width="10" style="2828" customWidth="1"/>
    <col min="4623" max="4624" width="10.44140625" style="2828" bestFit="1" customWidth="1"/>
    <col min="4625" max="4625" width="10" style="2828" customWidth="1"/>
    <col min="4626" max="4626" width="10.109375" style="2828" customWidth="1"/>
    <col min="4627" max="4627" width="10" style="2828" customWidth="1"/>
    <col min="4628" max="4628" width="26.109375" style="2828" customWidth="1"/>
    <col min="4629" max="4864" width="8.88671875" style="2828"/>
    <col min="4865" max="4865" width="9.44140625" style="2828" customWidth="1"/>
    <col min="4866" max="4866" width="8.88671875" style="2828"/>
    <col min="4867" max="4869" width="12.88671875" style="2828" customWidth="1"/>
    <col min="4870" max="4870" width="47.44140625" style="2828" customWidth="1"/>
    <col min="4871" max="4871" width="13" style="2828" customWidth="1"/>
    <col min="4872" max="4873" width="8.88671875" style="2828"/>
    <col min="4874" max="4874" width="5.77734375" style="2828" customWidth="1"/>
    <col min="4875" max="4875" width="11.77734375" style="2828" customWidth="1"/>
    <col min="4876" max="4877" width="10.77734375" style="2828" customWidth="1"/>
    <col min="4878" max="4878" width="10" style="2828" customWidth="1"/>
    <col min="4879" max="4880" width="10.44140625" style="2828" bestFit="1" customWidth="1"/>
    <col min="4881" max="4881" width="10" style="2828" customWidth="1"/>
    <col min="4882" max="4882" width="10.109375" style="2828" customWidth="1"/>
    <col min="4883" max="4883" width="10" style="2828" customWidth="1"/>
    <col min="4884" max="4884" width="26.109375" style="2828" customWidth="1"/>
    <col min="4885" max="5120" width="8.88671875" style="2828"/>
    <col min="5121" max="5121" width="9.44140625" style="2828" customWidth="1"/>
    <col min="5122" max="5122" width="8.88671875" style="2828"/>
    <col min="5123" max="5125" width="12.88671875" style="2828" customWidth="1"/>
    <col min="5126" max="5126" width="47.44140625" style="2828" customWidth="1"/>
    <col min="5127" max="5127" width="13" style="2828" customWidth="1"/>
    <col min="5128" max="5129" width="8.88671875" style="2828"/>
    <col min="5130" max="5130" width="5.77734375" style="2828" customWidth="1"/>
    <col min="5131" max="5131" width="11.77734375" style="2828" customWidth="1"/>
    <col min="5132" max="5133" width="10.77734375" style="2828" customWidth="1"/>
    <col min="5134" max="5134" width="10" style="2828" customWidth="1"/>
    <col min="5135" max="5136" width="10.44140625" style="2828" bestFit="1" customWidth="1"/>
    <col min="5137" max="5137" width="10" style="2828" customWidth="1"/>
    <col min="5138" max="5138" width="10.109375" style="2828" customWidth="1"/>
    <col min="5139" max="5139" width="10" style="2828" customWidth="1"/>
    <col min="5140" max="5140" width="26.109375" style="2828" customWidth="1"/>
    <col min="5141" max="5376" width="8.88671875" style="2828"/>
    <col min="5377" max="5377" width="9.44140625" style="2828" customWidth="1"/>
    <col min="5378" max="5378" width="8.88671875" style="2828"/>
    <col min="5379" max="5381" width="12.88671875" style="2828" customWidth="1"/>
    <col min="5382" max="5382" width="47.44140625" style="2828" customWidth="1"/>
    <col min="5383" max="5383" width="13" style="2828" customWidth="1"/>
    <col min="5384" max="5385" width="8.88671875" style="2828"/>
    <col min="5386" max="5386" width="5.77734375" style="2828" customWidth="1"/>
    <col min="5387" max="5387" width="11.77734375" style="2828" customWidth="1"/>
    <col min="5388" max="5389" width="10.77734375" style="2828" customWidth="1"/>
    <col min="5390" max="5390" width="10" style="2828" customWidth="1"/>
    <col min="5391" max="5392" width="10.44140625" style="2828" bestFit="1" customWidth="1"/>
    <col min="5393" max="5393" width="10" style="2828" customWidth="1"/>
    <col min="5394" max="5394" width="10.109375" style="2828" customWidth="1"/>
    <col min="5395" max="5395" width="10" style="2828" customWidth="1"/>
    <col min="5396" max="5396" width="26.109375" style="2828" customWidth="1"/>
    <col min="5397" max="5632" width="8.88671875" style="2828"/>
    <col min="5633" max="5633" width="9.44140625" style="2828" customWidth="1"/>
    <col min="5634" max="5634" width="8.88671875" style="2828"/>
    <col min="5635" max="5637" width="12.88671875" style="2828" customWidth="1"/>
    <col min="5638" max="5638" width="47.44140625" style="2828" customWidth="1"/>
    <col min="5639" max="5639" width="13" style="2828" customWidth="1"/>
    <col min="5640" max="5641" width="8.88671875" style="2828"/>
    <col min="5642" max="5642" width="5.77734375" style="2828" customWidth="1"/>
    <col min="5643" max="5643" width="11.77734375" style="2828" customWidth="1"/>
    <col min="5644" max="5645" width="10.77734375" style="2828" customWidth="1"/>
    <col min="5646" max="5646" width="10" style="2828" customWidth="1"/>
    <col min="5647" max="5648" width="10.44140625" style="2828" bestFit="1" customWidth="1"/>
    <col min="5649" max="5649" width="10" style="2828" customWidth="1"/>
    <col min="5650" max="5650" width="10.109375" style="2828" customWidth="1"/>
    <col min="5651" max="5651" width="10" style="2828" customWidth="1"/>
    <col min="5652" max="5652" width="26.109375" style="2828" customWidth="1"/>
    <col min="5653" max="5888" width="8.88671875" style="2828"/>
    <col min="5889" max="5889" width="9.44140625" style="2828" customWidth="1"/>
    <col min="5890" max="5890" width="8.88671875" style="2828"/>
    <col min="5891" max="5893" width="12.88671875" style="2828" customWidth="1"/>
    <col min="5894" max="5894" width="47.44140625" style="2828" customWidth="1"/>
    <col min="5895" max="5895" width="13" style="2828" customWidth="1"/>
    <col min="5896" max="5897" width="8.88671875" style="2828"/>
    <col min="5898" max="5898" width="5.77734375" style="2828" customWidth="1"/>
    <col min="5899" max="5899" width="11.77734375" style="2828" customWidth="1"/>
    <col min="5900" max="5901" width="10.77734375" style="2828" customWidth="1"/>
    <col min="5902" max="5902" width="10" style="2828" customWidth="1"/>
    <col min="5903" max="5904" width="10.44140625" style="2828" bestFit="1" customWidth="1"/>
    <col min="5905" max="5905" width="10" style="2828" customWidth="1"/>
    <col min="5906" max="5906" width="10.109375" style="2828" customWidth="1"/>
    <col min="5907" max="5907" width="10" style="2828" customWidth="1"/>
    <col min="5908" max="5908" width="26.109375" style="2828" customWidth="1"/>
    <col min="5909" max="6144" width="8.88671875" style="2828"/>
    <col min="6145" max="6145" width="9.44140625" style="2828" customWidth="1"/>
    <col min="6146" max="6146" width="8.88671875" style="2828"/>
    <col min="6147" max="6149" width="12.88671875" style="2828" customWidth="1"/>
    <col min="6150" max="6150" width="47.44140625" style="2828" customWidth="1"/>
    <col min="6151" max="6151" width="13" style="2828" customWidth="1"/>
    <col min="6152" max="6153" width="8.88671875" style="2828"/>
    <col min="6154" max="6154" width="5.77734375" style="2828" customWidth="1"/>
    <col min="6155" max="6155" width="11.77734375" style="2828" customWidth="1"/>
    <col min="6156" max="6157" width="10.77734375" style="2828" customWidth="1"/>
    <col min="6158" max="6158" width="10" style="2828" customWidth="1"/>
    <col min="6159" max="6160" width="10.44140625" style="2828" bestFit="1" customWidth="1"/>
    <col min="6161" max="6161" width="10" style="2828" customWidth="1"/>
    <col min="6162" max="6162" width="10.109375" style="2828" customWidth="1"/>
    <col min="6163" max="6163" width="10" style="2828" customWidth="1"/>
    <col min="6164" max="6164" width="26.109375" style="2828" customWidth="1"/>
    <col min="6165" max="6400" width="8.88671875" style="2828"/>
    <col min="6401" max="6401" width="9.44140625" style="2828" customWidth="1"/>
    <col min="6402" max="6402" width="8.88671875" style="2828"/>
    <col min="6403" max="6405" width="12.88671875" style="2828" customWidth="1"/>
    <col min="6406" max="6406" width="47.44140625" style="2828" customWidth="1"/>
    <col min="6407" max="6407" width="13" style="2828" customWidth="1"/>
    <col min="6408" max="6409" width="8.88671875" style="2828"/>
    <col min="6410" max="6410" width="5.77734375" style="2828" customWidth="1"/>
    <col min="6411" max="6411" width="11.77734375" style="2828" customWidth="1"/>
    <col min="6412" max="6413" width="10.77734375" style="2828" customWidth="1"/>
    <col min="6414" max="6414" width="10" style="2828" customWidth="1"/>
    <col min="6415" max="6416" width="10.44140625" style="2828" bestFit="1" customWidth="1"/>
    <col min="6417" max="6417" width="10" style="2828" customWidth="1"/>
    <col min="6418" max="6418" width="10.109375" style="2828" customWidth="1"/>
    <col min="6419" max="6419" width="10" style="2828" customWidth="1"/>
    <col min="6420" max="6420" width="26.109375" style="2828" customWidth="1"/>
    <col min="6421" max="6656" width="8.88671875" style="2828"/>
    <col min="6657" max="6657" width="9.44140625" style="2828" customWidth="1"/>
    <col min="6658" max="6658" width="8.88671875" style="2828"/>
    <col min="6659" max="6661" width="12.88671875" style="2828" customWidth="1"/>
    <col min="6662" max="6662" width="47.44140625" style="2828" customWidth="1"/>
    <col min="6663" max="6663" width="13" style="2828" customWidth="1"/>
    <col min="6664" max="6665" width="8.88671875" style="2828"/>
    <col min="6666" max="6666" width="5.77734375" style="2828" customWidth="1"/>
    <col min="6667" max="6667" width="11.77734375" style="2828" customWidth="1"/>
    <col min="6668" max="6669" width="10.77734375" style="2828" customWidth="1"/>
    <col min="6670" max="6670" width="10" style="2828" customWidth="1"/>
    <col min="6671" max="6672" width="10.44140625" style="2828" bestFit="1" customWidth="1"/>
    <col min="6673" max="6673" width="10" style="2828" customWidth="1"/>
    <col min="6674" max="6674" width="10.109375" style="2828" customWidth="1"/>
    <col min="6675" max="6675" width="10" style="2828" customWidth="1"/>
    <col min="6676" max="6676" width="26.109375" style="2828" customWidth="1"/>
    <col min="6677" max="6912" width="8.88671875" style="2828"/>
    <col min="6913" max="6913" width="9.44140625" style="2828" customWidth="1"/>
    <col min="6914" max="6914" width="8.88671875" style="2828"/>
    <col min="6915" max="6917" width="12.88671875" style="2828" customWidth="1"/>
    <col min="6918" max="6918" width="47.44140625" style="2828" customWidth="1"/>
    <col min="6919" max="6919" width="13" style="2828" customWidth="1"/>
    <col min="6920" max="6921" width="8.88671875" style="2828"/>
    <col min="6922" max="6922" width="5.77734375" style="2828" customWidth="1"/>
    <col min="6923" max="6923" width="11.77734375" style="2828" customWidth="1"/>
    <col min="6924" max="6925" width="10.77734375" style="2828" customWidth="1"/>
    <col min="6926" max="6926" width="10" style="2828" customWidth="1"/>
    <col min="6927" max="6928" width="10.44140625" style="2828" bestFit="1" customWidth="1"/>
    <col min="6929" max="6929" width="10" style="2828" customWidth="1"/>
    <col min="6930" max="6930" width="10.109375" style="2828" customWidth="1"/>
    <col min="6931" max="6931" width="10" style="2828" customWidth="1"/>
    <col min="6932" max="6932" width="26.109375" style="2828" customWidth="1"/>
    <col min="6933" max="7168" width="8.88671875" style="2828"/>
    <col min="7169" max="7169" width="9.44140625" style="2828" customWidth="1"/>
    <col min="7170" max="7170" width="8.88671875" style="2828"/>
    <col min="7171" max="7173" width="12.88671875" style="2828" customWidth="1"/>
    <col min="7174" max="7174" width="47.44140625" style="2828" customWidth="1"/>
    <col min="7175" max="7175" width="13" style="2828" customWidth="1"/>
    <col min="7176" max="7177" width="8.88671875" style="2828"/>
    <col min="7178" max="7178" width="5.77734375" style="2828" customWidth="1"/>
    <col min="7179" max="7179" width="11.77734375" style="2828" customWidth="1"/>
    <col min="7180" max="7181" width="10.77734375" style="2828" customWidth="1"/>
    <col min="7182" max="7182" width="10" style="2828" customWidth="1"/>
    <col min="7183" max="7184" width="10.44140625" style="2828" bestFit="1" customWidth="1"/>
    <col min="7185" max="7185" width="10" style="2828" customWidth="1"/>
    <col min="7186" max="7186" width="10.109375" style="2828" customWidth="1"/>
    <col min="7187" max="7187" width="10" style="2828" customWidth="1"/>
    <col min="7188" max="7188" width="26.109375" style="2828" customWidth="1"/>
    <col min="7189" max="7424" width="8.88671875" style="2828"/>
    <col min="7425" max="7425" width="9.44140625" style="2828" customWidth="1"/>
    <col min="7426" max="7426" width="8.88671875" style="2828"/>
    <col min="7427" max="7429" width="12.88671875" style="2828" customWidth="1"/>
    <col min="7430" max="7430" width="47.44140625" style="2828" customWidth="1"/>
    <col min="7431" max="7431" width="13" style="2828" customWidth="1"/>
    <col min="7432" max="7433" width="8.88671875" style="2828"/>
    <col min="7434" max="7434" width="5.77734375" style="2828" customWidth="1"/>
    <col min="7435" max="7435" width="11.77734375" style="2828" customWidth="1"/>
    <col min="7436" max="7437" width="10.77734375" style="2828" customWidth="1"/>
    <col min="7438" max="7438" width="10" style="2828" customWidth="1"/>
    <col min="7439" max="7440" width="10.44140625" style="2828" bestFit="1" customWidth="1"/>
    <col min="7441" max="7441" width="10" style="2828" customWidth="1"/>
    <col min="7442" max="7442" width="10.109375" style="2828" customWidth="1"/>
    <col min="7443" max="7443" width="10" style="2828" customWidth="1"/>
    <col min="7444" max="7444" width="26.109375" style="2828" customWidth="1"/>
    <col min="7445" max="7680" width="8.88671875" style="2828"/>
    <col min="7681" max="7681" width="9.44140625" style="2828" customWidth="1"/>
    <col min="7682" max="7682" width="8.88671875" style="2828"/>
    <col min="7683" max="7685" width="12.88671875" style="2828" customWidth="1"/>
    <col min="7686" max="7686" width="47.44140625" style="2828" customWidth="1"/>
    <col min="7687" max="7687" width="13" style="2828" customWidth="1"/>
    <col min="7688" max="7689" width="8.88671875" style="2828"/>
    <col min="7690" max="7690" width="5.77734375" style="2828" customWidth="1"/>
    <col min="7691" max="7691" width="11.77734375" style="2828" customWidth="1"/>
    <col min="7692" max="7693" width="10.77734375" style="2828" customWidth="1"/>
    <col min="7694" max="7694" width="10" style="2828" customWidth="1"/>
    <col min="7695" max="7696" width="10.44140625" style="2828" bestFit="1" customWidth="1"/>
    <col min="7697" max="7697" width="10" style="2828" customWidth="1"/>
    <col min="7698" max="7698" width="10.109375" style="2828" customWidth="1"/>
    <col min="7699" max="7699" width="10" style="2828" customWidth="1"/>
    <col min="7700" max="7700" width="26.109375" style="2828" customWidth="1"/>
    <col min="7701" max="7936" width="8.88671875" style="2828"/>
    <col min="7937" max="7937" width="9.44140625" style="2828" customWidth="1"/>
    <col min="7938" max="7938" width="8.88671875" style="2828"/>
    <col min="7939" max="7941" width="12.88671875" style="2828" customWidth="1"/>
    <col min="7942" max="7942" width="47.44140625" style="2828" customWidth="1"/>
    <col min="7943" max="7943" width="13" style="2828" customWidth="1"/>
    <col min="7944" max="7945" width="8.88671875" style="2828"/>
    <col min="7946" max="7946" width="5.77734375" style="2828" customWidth="1"/>
    <col min="7947" max="7947" width="11.77734375" style="2828" customWidth="1"/>
    <col min="7948" max="7949" width="10.77734375" style="2828" customWidth="1"/>
    <col min="7950" max="7950" width="10" style="2828" customWidth="1"/>
    <col min="7951" max="7952" width="10.44140625" style="2828" bestFit="1" customWidth="1"/>
    <col min="7953" max="7953" width="10" style="2828" customWidth="1"/>
    <col min="7954" max="7954" width="10.109375" style="2828" customWidth="1"/>
    <col min="7955" max="7955" width="10" style="2828" customWidth="1"/>
    <col min="7956" max="7956" width="26.109375" style="2828" customWidth="1"/>
    <col min="7957" max="8192" width="8.88671875" style="2828"/>
    <col min="8193" max="8193" width="9.44140625" style="2828" customWidth="1"/>
    <col min="8194" max="8194" width="8.88671875" style="2828"/>
    <col min="8195" max="8197" width="12.88671875" style="2828" customWidth="1"/>
    <col min="8198" max="8198" width="47.44140625" style="2828" customWidth="1"/>
    <col min="8199" max="8199" width="13" style="2828" customWidth="1"/>
    <col min="8200" max="8201" width="8.88671875" style="2828"/>
    <col min="8202" max="8202" width="5.77734375" style="2828" customWidth="1"/>
    <col min="8203" max="8203" width="11.77734375" style="2828" customWidth="1"/>
    <col min="8204" max="8205" width="10.77734375" style="2828" customWidth="1"/>
    <col min="8206" max="8206" width="10" style="2828" customWidth="1"/>
    <col min="8207" max="8208" width="10.44140625" style="2828" bestFit="1" customWidth="1"/>
    <col min="8209" max="8209" width="10" style="2828" customWidth="1"/>
    <col min="8210" max="8210" width="10.109375" style="2828" customWidth="1"/>
    <col min="8211" max="8211" width="10" style="2828" customWidth="1"/>
    <col min="8212" max="8212" width="26.109375" style="2828" customWidth="1"/>
    <col min="8213" max="8448" width="8.88671875" style="2828"/>
    <col min="8449" max="8449" width="9.44140625" style="2828" customWidth="1"/>
    <col min="8450" max="8450" width="8.88671875" style="2828"/>
    <col min="8451" max="8453" width="12.88671875" style="2828" customWidth="1"/>
    <col min="8454" max="8454" width="47.44140625" style="2828" customWidth="1"/>
    <col min="8455" max="8455" width="13" style="2828" customWidth="1"/>
    <col min="8456" max="8457" width="8.88671875" style="2828"/>
    <col min="8458" max="8458" width="5.77734375" style="2828" customWidth="1"/>
    <col min="8459" max="8459" width="11.77734375" style="2828" customWidth="1"/>
    <col min="8460" max="8461" width="10.77734375" style="2828" customWidth="1"/>
    <col min="8462" max="8462" width="10" style="2828" customWidth="1"/>
    <col min="8463" max="8464" width="10.44140625" style="2828" bestFit="1" customWidth="1"/>
    <col min="8465" max="8465" width="10" style="2828" customWidth="1"/>
    <col min="8466" max="8466" width="10.109375" style="2828" customWidth="1"/>
    <col min="8467" max="8467" width="10" style="2828" customWidth="1"/>
    <col min="8468" max="8468" width="26.109375" style="2828" customWidth="1"/>
    <col min="8469" max="8704" width="8.88671875" style="2828"/>
    <col min="8705" max="8705" width="9.44140625" style="2828" customWidth="1"/>
    <col min="8706" max="8706" width="8.88671875" style="2828"/>
    <col min="8707" max="8709" width="12.88671875" style="2828" customWidth="1"/>
    <col min="8710" max="8710" width="47.44140625" style="2828" customWidth="1"/>
    <col min="8711" max="8711" width="13" style="2828" customWidth="1"/>
    <col min="8712" max="8713" width="8.88671875" style="2828"/>
    <col min="8714" max="8714" width="5.77734375" style="2828" customWidth="1"/>
    <col min="8715" max="8715" width="11.77734375" style="2828" customWidth="1"/>
    <col min="8716" max="8717" width="10.77734375" style="2828" customWidth="1"/>
    <col min="8718" max="8718" width="10" style="2828" customWidth="1"/>
    <col min="8719" max="8720" width="10.44140625" style="2828" bestFit="1" customWidth="1"/>
    <col min="8721" max="8721" width="10" style="2828" customWidth="1"/>
    <col min="8722" max="8722" width="10.109375" style="2828" customWidth="1"/>
    <col min="8723" max="8723" width="10" style="2828" customWidth="1"/>
    <col min="8724" max="8724" width="26.109375" style="2828" customWidth="1"/>
    <col min="8725" max="8960" width="8.88671875" style="2828"/>
    <col min="8961" max="8961" width="9.44140625" style="2828" customWidth="1"/>
    <col min="8962" max="8962" width="8.88671875" style="2828"/>
    <col min="8963" max="8965" width="12.88671875" style="2828" customWidth="1"/>
    <col min="8966" max="8966" width="47.44140625" style="2828" customWidth="1"/>
    <col min="8967" max="8967" width="13" style="2828" customWidth="1"/>
    <col min="8968" max="8969" width="8.88671875" style="2828"/>
    <col min="8970" max="8970" width="5.77734375" style="2828" customWidth="1"/>
    <col min="8971" max="8971" width="11.77734375" style="2828" customWidth="1"/>
    <col min="8972" max="8973" width="10.77734375" style="2828" customWidth="1"/>
    <col min="8974" max="8974" width="10" style="2828" customWidth="1"/>
    <col min="8975" max="8976" width="10.44140625" style="2828" bestFit="1" customWidth="1"/>
    <col min="8977" max="8977" width="10" style="2828" customWidth="1"/>
    <col min="8978" max="8978" width="10.109375" style="2828" customWidth="1"/>
    <col min="8979" max="8979" width="10" style="2828" customWidth="1"/>
    <col min="8980" max="8980" width="26.109375" style="2828" customWidth="1"/>
    <col min="8981" max="9216" width="8.88671875" style="2828"/>
    <col min="9217" max="9217" width="9.44140625" style="2828" customWidth="1"/>
    <col min="9218" max="9218" width="8.88671875" style="2828"/>
    <col min="9219" max="9221" width="12.88671875" style="2828" customWidth="1"/>
    <col min="9222" max="9222" width="47.44140625" style="2828" customWidth="1"/>
    <col min="9223" max="9223" width="13" style="2828" customWidth="1"/>
    <col min="9224" max="9225" width="8.88671875" style="2828"/>
    <col min="9226" max="9226" width="5.77734375" style="2828" customWidth="1"/>
    <col min="9227" max="9227" width="11.77734375" style="2828" customWidth="1"/>
    <col min="9228" max="9229" width="10.77734375" style="2828" customWidth="1"/>
    <col min="9230" max="9230" width="10" style="2828" customWidth="1"/>
    <col min="9231" max="9232" width="10.44140625" style="2828" bestFit="1" customWidth="1"/>
    <col min="9233" max="9233" width="10" style="2828" customWidth="1"/>
    <col min="9234" max="9234" width="10.109375" style="2828" customWidth="1"/>
    <col min="9235" max="9235" width="10" style="2828" customWidth="1"/>
    <col min="9236" max="9236" width="26.109375" style="2828" customWidth="1"/>
    <col min="9237" max="9472" width="8.88671875" style="2828"/>
    <col min="9473" max="9473" width="9.44140625" style="2828" customWidth="1"/>
    <col min="9474" max="9474" width="8.88671875" style="2828"/>
    <col min="9475" max="9477" width="12.88671875" style="2828" customWidth="1"/>
    <col min="9478" max="9478" width="47.44140625" style="2828" customWidth="1"/>
    <col min="9479" max="9479" width="13" style="2828" customWidth="1"/>
    <col min="9480" max="9481" width="8.88671875" style="2828"/>
    <col min="9482" max="9482" width="5.77734375" style="2828" customWidth="1"/>
    <col min="9483" max="9483" width="11.77734375" style="2828" customWidth="1"/>
    <col min="9484" max="9485" width="10.77734375" style="2828" customWidth="1"/>
    <col min="9486" max="9486" width="10" style="2828" customWidth="1"/>
    <col min="9487" max="9488" width="10.44140625" style="2828" bestFit="1" customWidth="1"/>
    <col min="9489" max="9489" width="10" style="2828" customWidth="1"/>
    <col min="9490" max="9490" width="10.109375" style="2828" customWidth="1"/>
    <col min="9491" max="9491" width="10" style="2828" customWidth="1"/>
    <col min="9492" max="9492" width="26.109375" style="2828" customWidth="1"/>
    <col min="9493" max="9728" width="8.88671875" style="2828"/>
    <col min="9729" max="9729" width="9.44140625" style="2828" customWidth="1"/>
    <col min="9730" max="9730" width="8.88671875" style="2828"/>
    <col min="9731" max="9733" width="12.88671875" style="2828" customWidth="1"/>
    <col min="9734" max="9734" width="47.44140625" style="2828" customWidth="1"/>
    <col min="9735" max="9735" width="13" style="2828" customWidth="1"/>
    <col min="9736" max="9737" width="8.88671875" style="2828"/>
    <col min="9738" max="9738" width="5.77734375" style="2828" customWidth="1"/>
    <col min="9739" max="9739" width="11.77734375" style="2828" customWidth="1"/>
    <col min="9740" max="9741" width="10.77734375" style="2828" customWidth="1"/>
    <col min="9742" max="9742" width="10" style="2828" customWidth="1"/>
    <col min="9743" max="9744" width="10.44140625" style="2828" bestFit="1" customWidth="1"/>
    <col min="9745" max="9745" width="10" style="2828" customWidth="1"/>
    <col min="9746" max="9746" width="10.109375" style="2828" customWidth="1"/>
    <col min="9747" max="9747" width="10" style="2828" customWidth="1"/>
    <col min="9748" max="9748" width="26.109375" style="2828" customWidth="1"/>
    <col min="9749" max="9984" width="8.88671875" style="2828"/>
    <col min="9985" max="9985" width="9.44140625" style="2828" customWidth="1"/>
    <col min="9986" max="9986" width="8.88671875" style="2828"/>
    <col min="9987" max="9989" width="12.88671875" style="2828" customWidth="1"/>
    <col min="9990" max="9990" width="47.44140625" style="2828" customWidth="1"/>
    <col min="9991" max="9991" width="13" style="2828" customWidth="1"/>
    <col min="9992" max="9993" width="8.88671875" style="2828"/>
    <col min="9994" max="9994" width="5.77734375" style="2828" customWidth="1"/>
    <col min="9995" max="9995" width="11.77734375" style="2828" customWidth="1"/>
    <col min="9996" max="9997" width="10.77734375" style="2828" customWidth="1"/>
    <col min="9998" max="9998" width="10" style="2828" customWidth="1"/>
    <col min="9999" max="10000" width="10.44140625" style="2828" bestFit="1" customWidth="1"/>
    <col min="10001" max="10001" width="10" style="2828" customWidth="1"/>
    <col min="10002" max="10002" width="10.109375" style="2828" customWidth="1"/>
    <col min="10003" max="10003" width="10" style="2828" customWidth="1"/>
    <col min="10004" max="10004" width="26.109375" style="2828" customWidth="1"/>
    <col min="10005" max="10240" width="8.88671875" style="2828"/>
    <col min="10241" max="10241" width="9.44140625" style="2828" customWidth="1"/>
    <col min="10242" max="10242" width="8.88671875" style="2828"/>
    <col min="10243" max="10245" width="12.88671875" style="2828" customWidth="1"/>
    <col min="10246" max="10246" width="47.44140625" style="2828" customWidth="1"/>
    <col min="10247" max="10247" width="13" style="2828" customWidth="1"/>
    <col min="10248" max="10249" width="8.88671875" style="2828"/>
    <col min="10250" max="10250" width="5.77734375" style="2828" customWidth="1"/>
    <col min="10251" max="10251" width="11.77734375" style="2828" customWidth="1"/>
    <col min="10252" max="10253" width="10.77734375" style="2828" customWidth="1"/>
    <col min="10254" max="10254" width="10" style="2828" customWidth="1"/>
    <col min="10255" max="10256" width="10.44140625" style="2828" bestFit="1" customWidth="1"/>
    <col min="10257" max="10257" width="10" style="2828" customWidth="1"/>
    <col min="10258" max="10258" width="10.109375" style="2828" customWidth="1"/>
    <col min="10259" max="10259" width="10" style="2828" customWidth="1"/>
    <col min="10260" max="10260" width="26.109375" style="2828" customWidth="1"/>
    <col min="10261" max="10496" width="8.88671875" style="2828"/>
    <col min="10497" max="10497" width="9.44140625" style="2828" customWidth="1"/>
    <col min="10498" max="10498" width="8.88671875" style="2828"/>
    <col min="10499" max="10501" width="12.88671875" style="2828" customWidth="1"/>
    <col min="10502" max="10502" width="47.44140625" style="2828" customWidth="1"/>
    <col min="10503" max="10503" width="13" style="2828" customWidth="1"/>
    <col min="10504" max="10505" width="8.88671875" style="2828"/>
    <col min="10506" max="10506" width="5.77734375" style="2828" customWidth="1"/>
    <col min="10507" max="10507" width="11.77734375" style="2828" customWidth="1"/>
    <col min="10508" max="10509" width="10.77734375" style="2828" customWidth="1"/>
    <col min="10510" max="10510" width="10" style="2828" customWidth="1"/>
    <col min="10511" max="10512" width="10.44140625" style="2828" bestFit="1" customWidth="1"/>
    <col min="10513" max="10513" width="10" style="2828" customWidth="1"/>
    <col min="10514" max="10514" width="10.109375" style="2828" customWidth="1"/>
    <col min="10515" max="10515" width="10" style="2828" customWidth="1"/>
    <col min="10516" max="10516" width="26.109375" style="2828" customWidth="1"/>
    <col min="10517" max="10752" width="8.88671875" style="2828"/>
    <col min="10753" max="10753" width="9.44140625" style="2828" customWidth="1"/>
    <col min="10754" max="10754" width="8.88671875" style="2828"/>
    <col min="10755" max="10757" width="12.88671875" style="2828" customWidth="1"/>
    <col min="10758" max="10758" width="47.44140625" style="2828" customWidth="1"/>
    <col min="10759" max="10759" width="13" style="2828" customWidth="1"/>
    <col min="10760" max="10761" width="8.88671875" style="2828"/>
    <col min="10762" max="10762" width="5.77734375" style="2828" customWidth="1"/>
    <col min="10763" max="10763" width="11.77734375" style="2828" customWidth="1"/>
    <col min="10764" max="10765" width="10.77734375" style="2828" customWidth="1"/>
    <col min="10766" max="10766" width="10" style="2828" customWidth="1"/>
    <col min="10767" max="10768" width="10.44140625" style="2828" bestFit="1" customWidth="1"/>
    <col min="10769" max="10769" width="10" style="2828" customWidth="1"/>
    <col min="10770" max="10770" width="10.109375" style="2828" customWidth="1"/>
    <col min="10771" max="10771" width="10" style="2828" customWidth="1"/>
    <col min="10772" max="10772" width="26.109375" style="2828" customWidth="1"/>
    <col min="10773" max="11008" width="8.88671875" style="2828"/>
    <col min="11009" max="11009" width="9.44140625" style="2828" customWidth="1"/>
    <col min="11010" max="11010" width="8.88671875" style="2828"/>
    <col min="11011" max="11013" width="12.88671875" style="2828" customWidth="1"/>
    <col min="11014" max="11014" width="47.44140625" style="2828" customWidth="1"/>
    <col min="11015" max="11015" width="13" style="2828" customWidth="1"/>
    <col min="11016" max="11017" width="8.88671875" style="2828"/>
    <col min="11018" max="11018" width="5.77734375" style="2828" customWidth="1"/>
    <col min="11019" max="11019" width="11.77734375" style="2828" customWidth="1"/>
    <col min="11020" max="11021" width="10.77734375" style="2828" customWidth="1"/>
    <col min="11022" max="11022" width="10" style="2828" customWidth="1"/>
    <col min="11023" max="11024" width="10.44140625" style="2828" bestFit="1" customWidth="1"/>
    <col min="11025" max="11025" width="10" style="2828" customWidth="1"/>
    <col min="11026" max="11026" width="10.109375" style="2828" customWidth="1"/>
    <col min="11027" max="11027" width="10" style="2828" customWidth="1"/>
    <col min="11028" max="11028" width="26.109375" style="2828" customWidth="1"/>
    <col min="11029" max="11264" width="8.88671875" style="2828"/>
    <col min="11265" max="11265" width="9.44140625" style="2828" customWidth="1"/>
    <col min="11266" max="11266" width="8.88671875" style="2828"/>
    <col min="11267" max="11269" width="12.88671875" style="2828" customWidth="1"/>
    <col min="11270" max="11270" width="47.44140625" style="2828" customWidth="1"/>
    <col min="11271" max="11271" width="13" style="2828" customWidth="1"/>
    <col min="11272" max="11273" width="8.88671875" style="2828"/>
    <col min="11274" max="11274" width="5.77734375" style="2828" customWidth="1"/>
    <col min="11275" max="11275" width="11.77734375" style="2828" customWidth="1"/>
    <col min="11276" max="11277" width="10.77734375" style="2828" customWidth="1"/>
    <col min="11278" max="11278" width="10" style="2828" customWidth="1"/>
    <col min="11279" max="11280" width="10.44140625" style="2828" bestFit="1" customWidth="1"/>
    <col min="11281" max="11281" width="10" style="2828" customWidth="1"/>
    <col min="11282" max="11282" width="10.109375" style="2828" customWidth="1"/>
    <col min="11283" max="11283" width="10" style="2828" customWidth="1"/>
    <col min="11284" max="11284" width="26.109375" style="2828" customWidth="1"/>
    <col min="11285" max="11520" width="8.88671875" style="2828"/>
    <col min="11521" max="11521" width="9.44140625" style="2828" customWidth="1"/>
    <col min="11522" max="11522" width="8.88671875" style="2828"/>
    <col min="11523" max="11525" width="12.88671875" style="2828" customWidth="1"/>
    <col min="11526" max="11526" width="47.44140625" style="2828" customWidth="1"/>
    <col min="11527" max="11527" width="13" style="2828" customWidth="1"/>
    <col min="11528" max="11529" width="8.88671875" style="2828"/>
    <col min="11530" max="11530" width="5.77734375" style="2828" customWidth="1"/>
    <col min="11531" max="11531" width="11.77734375" style="2828" customWidth="1"/>
    <col min="11532" max="11533" width="10.77734375" style="2828" customWidth="1"/>
    <col min="11534" max="11534" width="10" style="2828" customWidth="1"/>
    <col min="11535" max="11536" width="10.44140625" style="2828" bestFit="1" customWidth="1"/>
    <col min="11537" max="11537" width="10" style="2828" customWidth="1"/>
    <col min="11538" max="11538" width="10.109375" style="2828" customWidth="1"/>
    <col min="11539" max="11539" width="10" style="2828" customWidth="1"/>
    <col min="11540" max="11540" width="26.109375" style="2828" customWidth="1"/>
    <col min="11541" max="11776" width="8.88671875" style="2828"/>
    <col min="11777" max="11777" width="9.44140625" style="2828" customWidth="1"/>
    <col min="11778" max="11778" width="8.88671875" style="2828"/>
    <col min="11779" max="11781" width="12.88671875" style="2828" customWidth="1"/>
    <col min="11782" max="11782" width="47.44140625" style="2828" customWidth="1"/>
    <col min="11783" max="11783" width="13" style="2828" customWidth="1"/>
    <col min="11784" max="11785" width="8.88671875" style="2828"/>
    <col min="11786" max="11786" width="5.77734375" style="2828" customWidth="1"/>
    <col min="11787" max="11787" width="11.77734375" style="2828" customWidth="1"/>
    <col min="11788" max="11789" width="10.77734375" style="2828" customWidth="1"/>
    <col min="11790" max="11790" width="10" style="2828" customWidth="1"/>
    <col min="11791" max="11792" width="10.44140625" style="2828" bestFit="1" customWidth="1"/>
    <col min="11793" max="11793" width="10" style="2828" customWidth="1"/>
    <col min="11794" max="11794" width="10.109375" style="2828" customWidth="1"/>
    <col min="11795" max="11795" width="10" style="2828" customWidth="1"/>
    <col min="11796" max="11796" width="26.109375" style="2828" customWidth="1"/>
    <col min="11797" max="12032" width="8.88671875" style="2828"/>
    <col min="12033" max="12033" width="9.44140625" style="2828" customWidth="1"/>
    <col min="12034" max="12034" width="8.88671875" style="2828"/>
    <col min="12035" max="12037" width="12.88671875" style="2828" customWidth="1"/>
    <col min="12038" max="12038" width="47.44140625" style="2828" customWidth="1"/>
    <col min="12039" max="12039" width="13" style="2828" customWidth="1"/>
    <col min="12040" max="12041" width="8.88671875" style="2828"/>
    <col min="12042" max="12042" width="5.77734375" style="2828" customWidth="1"/>
    <col min="12043" max="12043" width="11.77734375" style="2828" customWidth="1"/>
    <col min="12044" max="12045" width="10.77734375" style="2828" customWidth="1"/>
    <col min="12046" max="12046" width="10" style="2828" customWidth="1"/>
    <col min="12047" max="12048" width="10.44140625" style="2828" bestFit="1" customWidth="1"/>
    <col min="12049" max="12049" width="10" style="2828" customWidth="1"/>
    <col min="12050" max="12050" width="10.109375" style="2828" customWidth="1"/>
    <col min="12051" max="12051" width="10" style="2828" customWidth="1"/>
    <col min="12052" max="12052" width="26.109375" style="2828" customWidth="1"/>
    <col min="12053" max="12288" width="8.88671875" style="2828"/>
    <col min="12289" max="12289" width="9.44140625" style="2828" customWidth="1"/>
    <col min="12290" max="12290" width="8.88671875" style="2828"/>
    <col min="12291" max="12293" width="12.88671875" style="2828" customWidth="1"/>
    <col min="12294" max="12294" width="47.44140625" style="2828" customWidth="1"/>
    <col min="12295" max="12295" width="13" style="2828" customWidth="1"/>
    <col min="12296" max="12297" width="8.88671875" style="2828"/>
    <col min="12298" max="12298" width="5.77734375" style="2828" customWidth="1"/>
    <col min="12299" max="12299" width="11.77734375" style="2828" customWidth="1"/>
    <col min="12300" max="12301" width="10.77734375" style="2828" customWidth="1"/>
    <col min="12302" max="12302" width="10" style="2828" customWidth="1"/>
    <col min="12303" max="12304" width="10.44140625" style="2828" bestFit="1" customWidth="1"/>
    <col min="12305" max="12305" width="10" style="2828" customWidth="1"/>
    <col min="12306" max="12306" width="10.109375" style="2828" customWidth="1"/>
    <col min="12307" max="12307" width="10" style="2828" customWidth="1"/>
    <col min="12308" max="12308" width="26.109375" style="2828" customWidth="1"/>
    <col min="12309" max="12544" width="8.88671875" style="2828"/>
    <col min="12545" max="12545" width="9.44140625" style="2828" customWidth="1"/>
    <col min="12546" max="12546" width="8.88671875" style="2828"/>
    <col min="12547" max="12549" width="12.88671875" style="2828" customWidth="1"/>
    <col min="12550" max="12550" width="47.44140625" style="2828" customWidth="1"/>
    <col min="12551" max="12551" width="13" style="2828" customWidth="1"/>
    <col min="12552" max="12553" width="8.88671875" style="2828"/>
    <col min="12554" max="12554" width="5.77734375" style="2828" customWidth="1"/>
    <col min="12555" max="12555" width="11.77734375" style="2828" customWidth="1"/>
    <col min="12556" max="12557" width="10.77734375" style="2828" customWidth="1"/>
    <col min="12558" max="12558" width="10" style="2828" customWidth="1"/>
    <col min="12559" max="12560" width="10.44140625" style="2828" bestFit="1" customWidth="1"/>
    <col min="12561" max="12561" width="10" style="2828" customWidth="1"/>
    <col min="12562" max="12562" width="10.109375" style="2828" customWidth="1"/>
    <col min="12563" max="12563" width="10" style="2828" customWidth="1"/>
    <col min="12564" max="12564" width="26.109375" style="2828" customWidth="1"/>
    <col min="12565" max="12800" width="8.88671875" style="2828"/>
    <col min="12801" max="12801" width="9.44140625" style="2828" customWidth="1"/>
    <col min="12802" max="12802" width="8.88671875" style="2828"/>
    <col min="12803" max="12805" width="12.88671875" style="2828" customWidth="1"/>
    <col min="12806" max="12806" width="47.44140625" style="2828" customWidth="1"/>
    <col min="12807" max="12807" width="13" style="2828" customWidth="1"/>
    <col min="12808" max="12809" width="8.88671875" style="2828"/>
    <col min="12810" max="12810" width="5.77734375" style="2828" customWidth="1"/>
    <col min="12811" max="12811" width="11.77734375" style="2828" customWidth="1"/>
    <col min="12812" max="12813" width="10.77734375" style="2828" customWidth="1"/>
    <col min="12814" max="12814" width="10" style="2828" customWidth="1"/>
    <col min="12815" max="12816" width="10.44140625" style="2828" bestFit="1" customWidth="1"/>
    <col min="12817" max="12817" width="10" style="2828" customWidth="1"/>
    <col min="12818" max="12818" width="10.109375" style="2828" customWidth="1"/>
    <col min="12819" max="12819" width="10" style="2828" customWidth="1"/>
    <col min="12820" max="12820" width="26.109375" style="2828" customWidth="1"/>
    <col min="12821" max="13056" width="8.88671875" style="2828"/>
    <col min="13057" max="13057" width="9.44140625" style="2828" customWidth="1"/>
    <col min="13058" max="13058" width="8.88671875" style="2828"/>
    <col min="13059" max="13061" width="12.88671875" style="2828" customWidth="1"/>
    <col min="13062" max="13062" width="47.44140625" style="2828" customWidth="1"/>
    <col min="13063" max="13063" width="13" style="2828" customWidth="1"/>
    <col min="13064" max="13065" width="8.88671875" style="2828"/>
    <col min="13066" max="13066" width="5.77734375" style="2828" customWidth="1"/>
    <col min="13067" max="13067" width="11.77734375" style="2828" customWidth="1"/>
    <col min="13068" max="13069" width="10.77734375" style="2828" customWidth="1"/>
    <col min="13070" max="13070" width="10" style="2828" customWidth="1"/>
    <col min="13071" max="13072" width="10.44140625" style="2828" bestFit="1" customWidth="1"/>
    <col min="13073" max="13073" width="10" style="2828" customWidth="1"/>
    <col min="13074" max="13074" width="10.109375" style="2828" customWidth="1"/>
    <col min="13075" max="13075" width="10" style="2828" customWidth="1"/>
    <col min="13076" max="13076" width="26.109375" style="2828" customWidth="1"/>
    <col min="13077" max="13312" width="8.88671875" style="2828"/>
    <col min="13313" max="13313" width="9.44140625" style="2828" customWidth="1"/>
    <col min="13314" max="13314" width="8.88671875" style="2828"/>
    <col min="13315" max="13317" width="12.88671875" style="2828" customWidth="1"/>
    <col min="13318" max="13318" width="47.44140625" style="2828" customWidth="1"/>
    <col min="13319" max="13319" width="13" style="2828" customWidth="1"/>
    <col min="13320" max="13321" width="8.88671875" style="2828"/>
    <col min="13322" max="13322" width="5.77734375" style="2828" customWidth="1"/>
    <col min="13323" max="13323" width="11.77734375" style="2828" customWidth="1"/>
    <col min="13324" max="13325" width="10.77734375" style="2828" customWidth="1"/>
    <col min="13326" max="13326" width="10" style="2828" customWidth="1"/>
    <col min="13327" max="13328" width="10.44140625" style="2828" bestFit="1" customWidth="1"/>
    <col min="13329" max="13329" width="10" style="2828" customWidth="1"/>
    <col min="13330" max="13330" width="10.109375" style="2828" customWidth="1"/>
    <col min="13331" max="13331" width="10" style="2828" customWidth="1"/>
    <col min="13332" max="13332" width="26.109375" style="2828" customWidth="1"/>
    <col min="13333" max="13568" width="8.88671875" style="2828"/>
    <col min="13569" max="13569" width="9.44140625" style="2828" customWidth="1"/>
    <col min="13570" max="13570" width="8.88671875" style="2828"/>
    <col min="13571" max="13573" width="12.88671875" style="2828" customWidth="1"/>
    <col min="13574" max="13574" width="47.44140625" style="2828" customWidth="1"/>
    <col min="13575" max="13575" width="13" style="2828" customWidth="1"/>
    <col min="13576" max="13577" width="8.88671875" style="2828"/>
    <col min="13578" max="13578" width="5.77734375" style="2828" customWidth="1"/>
    <col min="13579" max="13579" width="11.77734375" style="2828" customWidth="1"/>
    <col min="13580" max="13581" width="10.77734375" style="2828" customWidth="1"/>
    <col min="13582" max="13582" width="10" style="2828" customWidth="1"/>
    <col min="13583" max="13584" width="10.44140625" style="2828" bestFit="1" customWidth="1"/>
    <col min="13585" max="13585" width="10" style="2828" customWidth="1"/>
    <col min="13586" max="13586" width="10.109375" style="2828" customWidth="1"/>
    <col min="13587" max="13587" width="10" style="2828" customWidth="1"/>
    <col min="13588" max="13588" width="26.109375" style="2828" customWidth="1"/>
    <col min="13589" max="13824" width="8.88671875" style="2828"/>
    <col min="13825" max="13825" width="9.44140625" style="2828" customWidth="1"/>
    <col min="13826" max="13826" width="8.88671875" style="2828"/>
    <col min="13827" max="13829" width="12.88671875" style="2828" customWidth="1"/>
    <col min="13830" max="13830" width="47.44140625" style="2828" customWidth="1"/>
    <col min="13831" max="13831" width="13" style="2828" customWidth="1"/>
    <col min="13832" max="13833" width="8.88671875" style="2828"/>
    <col min="13834" max="13834" width="5.77734375" style="2828" customWidth="1"/>
    <col min="13835" max="13835" width="11.77734375" style="2828" customWidth="1"/>
    <col min="13836" max="13837" width="10.77734375" style="2828" customWidth="1"/>
    <col min="13838" max="13838" width="10" style="2828" customWidth="1"/>
    <col min="13839" max="13840" width="10.44140625" style="2828" bestFit="1" customWidth="1"/>
    <col min="13841" max="13841" width="10" style="2828" customWidth="1"/>
    <col min="13842" max="13842" width="10.109375" style="2828" customWidth="1"/>
    <col min="13843" max="13843" width="10" style="2828" customWidth="1"/>
    <col min="13844" max="13844" width="26.109375" style="2828" customWidth="1"/>
    <col min="13845" max="14080" width="8.88671875" style="2828"/>
    <col min="14081" max="14081" width="9.44140625" style="2828" customWidth="1"/>
    <col min="14082" max="14082" width="8.88671875" style="2828"/>
    <col min="14083" max="14085" width="12.88671875" style="2828" customWidth="1"/>
    <col min="14086" max="14086" width="47.44140625" style="2828" customWidth="1"/>
    <col min="14087" max="14087" width="13" style="2828" customWidth="1"/>
    <col min="14088" max="14089" width="8.88671875" style="2828"/>
    <col min="14090" max="14090" width="5.77734375" style="2828" customWidth="1"/>
    <col min="14091" max="14091" width="11.77734375" style="2828" customWidth="1"/>
    <col min="14092" max="14093" width="10.77734375" style="2828" customWidth="1"/>
    <col min="14094" max="14094" width="10" style="2828" customWidth="1"/>
    <col min="14095" max="14096" width="10.44140625" style="2828" bestFit="1" customWidth="1"/>
    <col min="14097" max="14097" width="10" style="2828" customWidth="1"/>
    <col min="14098" max="14098" width="10.109375" style="2828" customWidth="1"/>
    <col min="14099" max="14099" width="10" style="2828" customWidth="1"/>
    <col min="14100" max="14100" width="26.109375" style="2828" customWidth="1"/>
    <col min="14101" max="14336" width="8.88671875" style="2828"/>
    <col min="14337" max="14337" width="9.44140625" style="2828" customWidth="1"/>
    <col min="14338" max="14338" width="8.88671875" style="2828"/>
    <col min="14339" max="14341" width="12.88671875" style="2828" customWidth="1"/>
    <col min="14342" max="14342" width="47.44140625" style="2828" customWidth="1"/>
    <col min="14343" max="14343" width="13" style="2828" customWidth="1"/>
    <col min="14344" max="14345" width="8.88671875" style="2828"/>
    <col min="14346" max="14346" width="5.77734375" style="2828" customWidth="1"/>
    <col min="14347" max="14347" width="11.77734375" style="2828" customWidth="1"/>
    <col min="14348" max="14349" width="10.77734375" style="2828" customWidth="1"/>
    <col min="14350" max="14350" width="10" style="2828" customWidth="1"/>
    <col min="14351" max="14352" width="10.44140625" style="2828" bestFit="1" customWidth="1"/>
    <col min="14353" max="14353" width="10" style="2828" customWidth="1"/>
    <col min="14354" max="14354" width="10.109375" style="2828" customWidth="1"/>
    <col min="14355" max="14355" width="10" style="2828" customWidth="1"/>
    <col min="14356" max="14356" width="26.109375" style="2828" customWidth="1"/>
    <col min="14357" max="14592" width="8.88671875" style="2828"/>
    <col min="14593" max="14593" width="9.44140625" style="2828" customWidth="1"/>
    <col min="14594" max="14594" width="8.88671875" style="2828"/>
    <col min="14595" max="14597" width="12.88671875" style="2828" customWidth="1"/>
    <col min="14598" max="14598" width="47.44140625" style="2828" customWidth="1"/>
    <col min="14599" max="14599" width="13" style="2828" customWidth="1"/>
    <col min="14600" max="14601" width="8.88671875" style="2828"/>
    <col min="14602" max="14602" width="5.77734375" style="2828" customWidth="1"/>
    <col min="14603" max="14603" width="11.77734375" style="2828" customWidth="1"/>
    <col min="14604" max="14605" width="10.77734375" style="2828" customWidth="1"/>
    <col min="14606" max="14606" width="10" style="2828" customWidth="1"/>
    <col min="14607" max="14608" width="10.44140625" style="2828" bestFit="1" customWidth="1"/>
    <col min="14609" max="14609" width="10" style="2828" customWidth="1"/>
    <col min="14610" max="14610" width="10.109375" style="2828" customWidth="1"/>
    <col min="14611" max="14611" width="10" style="2828" customWidth="1"/>
    <col min="14612" max="14612" width="26.109375" style="2828" customWidth="1"/>
    <col min="14613" max="14848" width="8.88671875" style="2828"/>
    <col min="14849" max="14849" width="9.44140625" style="2828" customWidth="1"/>
    <col min="14850" max="14850" width="8.88671875" style="2828"/>
    <col min="14851" max="14853" width="12.88671875" style="2828" customWidth="1"/>
    <col min="14854" max="14854" width="47.44140625" style="2828" customWidth="1"/>
    <col min="14855" max="14855" width="13" style="2828" customWidth="1"/>
    <col min="14856" max="14857" width="8.88671875" style="2828"/>
    <col min="14858" max="14858" width="5.77734375" style="2828" customWidth="1"/>
    <col min="14859" max="14859" width="11.77734375" style="2828" customWidth="1"/>
    <col min="14860" max="14861" width="10.77734375" style="2828" customWidth="1"/>
    <col min="14862" max="14862" width="10" style="2828" customWidth="1"/>
    <col min="14863" max="14864" width="10.44140625" style="2828" bestFit="1" customWidth="1"/>
    <col min="14865" max="14865" width="10" style="2828" customWidth="1"/>
    <col min="14866" max="14866" width="10.109375" style="2828" customWidth="1"/>
    <col min="14867" max="14867" width="10" style="2828" customWidth="1"/>
    <col min="14868" max="14868" width="26.109375" style="2828" customWidth="1"/>
    <col min="14869" max="15104" width="8.88671875" style="2828"/>
    <col min="15105" max="15105" width="9.44140625" style="2828" customWidth="1"/>
    <col min="15106" max="15106" width="8.88671875" style="2828"/>
    <col min="15107" max="15109" width="12.88671875" style="2828" customWidth="1"/>
    <col min="15110" max="15110" width="47.44140625" style="2828" customWidth="1"/>
    <col min="15111" max="15111" width="13" style="2828" customWidth="1"/>
    <col min="15112" max="15113" width="8.88671875" style="2828"/>
    <col min="15114" max="15114" width="5.77734375" style="2828" customWidth="1"/>
    <col min="15115" max="15115" width="11.77734375" style="2828" customWidth="1"/>
    <col min="15116" max="15117" width="10.77734375" style="2828" customWidth="1"/>
    <col min="15118" max="15118" width="10" style="2828" customWidth="1"/>
    <col min="15119" max="15120" width="10.44140625" style="2828" bestFit="1" customWidth="1"/>
    <col min="15121" max="15121" width="10" style="2828" customWidth="1"/>
    <col min="15122" max="15122" width="10.109375" style="2828" customWidth="1"/>
    <col min="15123" max="15123" width="10" style="2828" customWidth="1"/>
    <col min="15124" max="15124" width="26.109375" style="2828" customWidth="1"/>
    <col min="15125" max="15360" width="8.88671875" style="2828"/>
    <col min="15361" max="15361" width="9.44140625" style="2828" customWidth="1"/>
    <col min="15362" max="15362" width="8.88671875" style="2828"/>
    <col min="15363" max="15365" width="12.88671875" style="2828" customWidth="1"/>
    <col min="15366" max="15366" width="47.44140625" style="2828" customWidth="1"/>
    <col min="15367" max="15367" width="13" style="2828" customWidth="1"/>
    <col min="15368" max="15369" width="8.88671875" style="2828"/>
    <col min="15370" max="15370" width="5.77734375" style="2828" customWidth="1"/>
    <col min="15371" max="15371" width="11.77734375" style="2828" customWidth="1"/>
    <col min="15372" max="15373" width="10.77734375" style="2828" customWidth="1"/>
    <col min="15374" max="15374" width="10" style="2828" customWidth="1"/>
    <col min="15375" max="15376" width="10.44140625" style="2828" bestFit="1" customWidth="1"/>
    <col min="15377" max="15377" width="10" style="2828" customWidth="1"/>
    <col min="15378" max="15378" width="10.109375" style="2828" customWidth="1"/>
    <col min="15379" max="15379" width="10" style="2828" customWidth="1"/>
    <col min="15380" max="15380" width="26.109375" style="2828" customWidth="1"/>
    <col min="15381" max="15616" width="8.88671875" style="2828"/>
    <col min="15617" max="15617" width="9.44140625" style="2828" customWidth="1"/>
    <col min="15618" max="15618" width="8.88671875" style="2828"/>
    <col min="15619" max="15621" width="12.88671875" style="2828" customWidth="1"/>
    <col min="15622" max="15622" width="47.44140625" style="2828" customWidth="1"/>
    <col min="15623" max="15623" width="13" style="2828" customWidth="1"/>
    <col min="15624" max="15625" width="8.88671875" style="2828"/>
    <col min="15626" max="15626" width="5.77734375" style="2828" customWidth="1"/>
    <col min="15627" max="15627" width="11.77734375" style="2828" customWidth="1"/>
    <col min="15628" max="15629" width="10.77734375" style="2828" customWidth="1"/>
    <col min="15630" max="15630" width="10" style="2828" customWidth="1"/>
    <col min="15631" max="15632" width="10.44140625" style="2828" bestFit="1" customWidth="1"/>
    <col min="15633" max="15633" width="10" style="2828" customWidth="1"/>
    <col min="15634" max="15634" width="10.109375" style="2828" customWidth="1"/>
    <col min="15635" max="15635" width="10" style="2828" customWidth="1"/>
    <col min="15636" max="15636" width="26.109375" style="2828" customWidth="1"/>
    <col min="15637" max="15872" width="8.88671875" style="2828"/>
    <col min="15873" max="15873" width="9.44140625" style="2828" customWidth="1"/>
    <col min="15874" max="15874" width="8.88671875" style="2828"/>
    <col min="15875" max="15877" width="12.88671875" style="2828" customWidth="1"/>
    <col min="15878" max="15878" width="47.44140625" style="2828" customWidth="1"/>
    <col min="15879" max="15879" width="13" style="2828" customWidth="1"/>
    <col min="15880" max="15881" width="8.88671875" style="2828"/>
    <col min="15882" max="15882" width="5.77734375" style="2828" customWidth="1"/>
    <col min="15883" max="15883" width="11.77734375" style="2828" customWidth="1"/>
    <col min="15884" max="15885" width="10.77734375" style="2828" customWidth="1"/>
    <col min="15886" max="15886" width="10" style="2828" customWidth="1"/>
    <col min="15887" max="15888" width="10.44140625" style="2828" bestFit="1" customWidth="1"/>
    <col min="15889" max="15889" width="10" style="2828" customWidth="1"/>
    <col min="15890" max="15890" width="10.109375" style="2828" customWidth="1"/>
    <col min="15891" max="15891" width="10" style="2828" customWidth="1"/>
    <col min="15892" max="15892" width="26.109375" style="2828" customWidth="1"/>
    <col min="15893" max="16128" width="8.88671875" style="2828"/>
    <col min="16129" max="16129" width="9.44140625" style="2828" customWidth="1"/>
    <col min="16130" max="16130" width="8.88671875" style="2828"/>
    <col min="16131" max="16133" width="12.88671875" style="2828" customWidth="1"/>
    <col min="16134" max="16134" width="47.44140625" style="2828" customWidth="1"/>
    <col min="16135" max="16135" width="13" style="2828" customWidth="1"/>
    <col min="16136" max="16137" width="8.88671875" style="2828"/>
    <col min="16138" max="16138" width="5.77734375" style="2828" customWidth="1"/>
    <col min="16139" max="16139" width="11.77734375" style="2828" customWidth="1"/>
    <col min="16140" max="16141" width="10.77734375" style="2828" customWidth="1"/>
    <col min="16142" max="16142" width="10" style="2828" customWidth="1"/>
    <col min="16143" max="16144" width="10.44140625" style="2828" bestFit="1" customWidth="1"/>
    <col min="16145" max="16145" width="10" style="2828" customWidth="1"/>
    <col min="16146" max="16146" width="10.109375" style="2828" customWidth="1"/>
    <col min="16147" max="16147" width="10" style="2828" customWidth="1"/>
    <col min="16148" max="16148" width="26.109375" style="2828" customWidth="1"/>
    <col min="16149" max="16384" width="8.88671875" style="2828"/>
  </cols>
  <sheetData>
    <row r="1" spans="1:23" ht="21" customHeight="1">
      <c r="A1" s="2824" t="s">
        <v>2794</v>
      </c>
      <c r="B1" s="2825"/>
      <c r="C1" s="2831"/>
      <c r="D1" s="2831"/>
      <c r="E1" s="2826"/>
      <c r="F1" s="2827"/>
      <c r="G1" s="2920"/>
      <c r="J1" s="2923" t="s">
        <v>2650</v>
      </c>
      <c r="K1" s="2924"/>
      <c r="L1" s="2924"/>
      <c r="M1" s="2924"/>
      <c r="N1" s="2924"/>
      <c r="O1" s="2924"/>
      <c r="P1" s="2924"/>
      <c r="Q1" s="2924"/>
      <c r="R1" s="2925"/>
      <c r="S1" s="2926"/>
      <c r="T1" s="2926"/>
      <c r="U1" s="2926"/>
    </row>
    <row r="2" spans="1:23" s="2834" customFormat="1" ht="13.2" customHeight="1">
      <c r="A2" s="2829" t="s">
        <v>2651</v>
      </c>
      <c r="B2" s="2830" t="e">
        <f>C40</f>
        <v>#DIV/0!</v>
      </c>
      <c r="C2" s="2831" t="s">
        <v>2652</v>
      </c>
      <c r="D2" s="2831"/>
      <c r="E2" s="2832"/>
      <c r="F2" s="2833"/>
      <c r="G2" s="2927"/>
      <c r="H2" s="2928"/>
      <c r="I2" s="2929"/>
      <c r="J2" s="3293" t="s">
        <v>2653</v>
      </c>
      <c r="K2" s="3294"/>
      <c r="L2" s="2930" t="s">
        <v>2654</v>
      </c>
      <c r="M2" s="2930" t="s">
        <v>2655</v>
      </c>
      <c r="N2" s="2930" t="s">
        <v>2656</v>
      </c>
      <c r="O2" s="2930" t="s">
        <v>2657</v>
      </c>
      <c r="P2" s="2930" t="s">
        <v>2658</v>
      </c>
      <c r="Q2" s="2931" t="s">
        <v>2659</v>
      </c>
      <c r="R2" s="2932" t="s">
        <v>2660</v>
      </c>
      <c r="S2" s="2926"/>
      <c r="T2" s="2926"/>
      <c r="U2" s="2926"/>
      <c r="V2" s="2929"/>
      <c r="W2" s="2928"/>
    </row>
    <row r="3" spans="1:23" s="2834" customFormat="1" ht="13.2" customHeight="1">
      <c r="A3" s="2836" t="s">
        <v>2661</v>
      </c>
      <c r="B3" s="2837" t="e">
        <f>ROUND(B2*10000/B4,0)</f>
        <v>#DIV/0!</v>
      </c>
      <c r="C3" s="2831" t="s">
        <v>2662</v>
      </c>
      <c r="D3" s="2831"/>
      <c r="E3" s="2832"/>
      <c r="F3" s="2833"/>
      <c r="G3" s="2927"/>
      <c r="H3" s="2928"/>
      <c r="I3" s="2929"/>
      <c r="J3" s="3295" t="s">
        <v>2663</v>
      </c>
      <c r="K3" s="3296"/>
      <c r="L3" s="2933"/>
      <c r="M3" s="2933"/>
      <c r="N3" s="2933"/>
      <c r="O3" s="2933"/>
      <c r="P3" s="2933"/>
      <c r="Q3" s="2934"/>
      <c r="R3" s="2935">
        <f>SUM(L3:Q3)</f>
        <v>0</v>
      </c>
      <c r="S3" s="2926"/>
      <c r="T3" s="2926"/>
      <c r="U3" s="2926"/>
      <c r="V3" s="2929"/>
      <c r="W3" s="2928"/>
    </row>
    <row r="4" spans="1:23" s="2834" customFormat="1" ht="13.2" customHeight="1">
      <c r="A4" s="2838" t="s">
        <v>2664</v>
      </c>
      <c r="B4" s="2895"/>
      <c r="C4" s="2831"/>
      <c r="D4" s="2831"/>
      <c r="E4" s="2832"/>
      <c r="F4" s="2833"/>
      <c r="G4" s="2927"/>
      <c r="H4" s="2928"/>
      <c r="I4" s="2929"/>
      <c r="J4" s="3295" t="s">
        <v>2665</v>
      </c>
      <c r="K4" s="3296"/>
      <c r="L4" s="2936"/>
      <c r="M4" s="2936"/>
      <c r="N4" s="2936"/>
      <c r="O4" s="2936"/>
      <c r="P4" s="2936"/>
      <c r="Q4" s="2937"/>
      <c r="R4" s="2938">
        <f>SUM(L4:Q4)</f>
        <v>0</v>
      </c>
      <c r="S4" s="2926"/>
      <c r="T4" s="2926"/>
      <c r="U4" s="2926"/>
      <c r="V4" s="2929"/>
      <c r="W4" s="2928"/>
    </row>
    <row r="5" spans="1:23" s="2834" customFormat="1" ht="13.2" customHeight="1" thickBot="1">
      <c r="A5" s="2839" t="s">
        <v>2666</v>
      </c>
      <c r="B5" s="2896"/>
      <c r="C5" s="2831"/>
      <c r="D5" s="2840"/>
      <c r="E5" s="2833"/>
      <c r="F5" s="2833"/>
      <c r="G5" s="2927"/>
      <c r="H5" s="2928"/>
      <c r="I5" s="2929"/>
      <c r="J5" s="2939" t="s">
        <v>2667</v>
      </c>
      <c r="K5" s="2940"/>
      <c r="L5" s="2940"/>
      <c r="M5" s="2941"/>
      <c r="N5" s="2941"/>
      <c r="O5" s="2941"/>
      <c r="P5" s="2941"/>
      <c r="Q5" s="2941"/>
      <c r="R5" s="2932">
        <f>SUM(R14,R19,R24,R25,R27,R28)</f>
        <v>0</v>
      </c>
      <c r="S5" s="2926"/>
      <c r="T5" s="2926" t="s">
        <v>2668</v>
      </c>
      <c r="U5" s="2926" t="e">
        <f>ROUND(R5*10000/365/R3,1)</f>
        <v>#DIV/0!</v>
      </c>
      <c r="V5" s="2929"/>
      <c r="W5" s="2928"/>
    </row>
    <row r="6" spans="1:23" s="2834" customFormat="1" ht="13.2" customHeight="1" thickBot="1">
      <c r="A6" s="3297" t="s">
        <v>2669</v>
      </c>
      <c r="B6" s="3298"/>
      <c r="C6" s="3299"/>
      <c r="D6" s="2897"/>
      <c r="E6" s="2841"/>
      <c r="F6" s="2842"/>
      <c r="G6" s="2942"/>
      <c r="H6" s="2928"/>
      <c r="I6" s="2929"/>
      <c r="J6" s="3300">
        <v>1</v>
      </c>
      <c r="K6" s="3301" t="s">
        <v>2670</v>
      </c>
      <c r="L6" s="2943" t="s">
        <v>2671</v>
      </c>
      <c r="M6" s="2944" t="s">
        <v>2672</v>
      </c>
      <c r="N6" s="2944" t="s">
        <v>2673</v>
      </c>
      <c r="O6" s="2944" t="s">
        <v>2674</v>
      </c>
      <c r="P6" s="2944" t="s">
        <v>2675</v>
      </c>
      <c r="Q6" s="2944" t="s">
        <v>2676</v>
      </c>
      <c r="R6" s="2935" t="s">
        <v>2677</v>
      </c>
      <c r="S6" s="2926"/>
      <c r="T6" s="2926" t="s">
        <v>2678</v>
      </c>
      <c r="U6" s="2926"/>
      <c r="V6" s="2929"/>
      <c r="W6" s="2928"/>
    </row>
    <row r="7" spans="1:23" s="2834" customFormat="1" ht="13.2" customHeight="1">
      <c r="A7" s="2844" t="s">
        <v>2679</v>
      </c>
      <c r="B7" s="2845"/>
      <c r="C7" s="2846"/>
      <c r="D7" s="2847">
        <f>SUM(D9,D10,D11,D17,0)</f>
        <v>0</v>
      </c>
      <c r="E7" s="2848" t="e">
        <f>E9+E10+E11+E17</f>
        <v>#DIV/0!</v>
      </c>
      <c r="F7" s="2849"/>
      <c r="G7" s="2945"/>
      <c r="H7" s="2928"/>
      <c r="I7" s="2929"/>
      <c r="J7" s="3300"/>
      <c r="K7" s="3302"/>
      <c r="L7" s="2946" t="s">
        <v>2779</v>
      </c>
      <c r="M7" s="2947"/>
      <c r="N7" s="2947"/>
      <c r="O7" s="2948"/>
      <c r="P7" s="2948"/>
      <c r="Q7" s="2949">
        <v>365</v>
      </c>
      <c r="R7" s="2950">
        <f>ROUND(M7*N7*O7*P7*Q7/10000,0)</f>
        <v>0</v>
      </c>
      <c r="S7" s="2926"/>
      <c r="T7" s="2926" t="s">
        <v>2680</v>
      </c>
      <c r="U7" s="2926"/>
      <c r="V7" s="2929"/>
      <c r="W7" s="2928"/>
    </row>
    <row r="8" spans="1:23" s="2834" customFormat="1" ht="13.2" customHeight="1">
      <c r="A8" s="2850" t="s">
        <v>2681</v>
      </c>
      <c r="B8" s="3304" t="s">
        <v>2682</v>
      </c>
      <c r="C8" s="3305"/>
      <c r="D8" s="2851" t="s">
        <v>2683</v>
      </c>
      <c r="E8" s="2852" t="s">
        <v>2684</v>
      </c>
      <c r="F8" s="2835" t="s">
        <v>2685</v>
      </c>
      <c r="G8" s="2999" t="s">
        <v>2793</v>
      </c>
      <c r="H8" s="2928"/>
      <c r="I8" s="2929"/>
      <c r="J8" s="3300"/>
      <c r="K8" s="3302"/>
      <c r="L8" s="2946" t="s">
        <v>2780</v>
      </c>
      <c r="M8" s="2947"/>
      <c r="N8" s="2947"/>
      <c r="O8" s="2948"/>
      <c r="P8" s="2948"/>
      <c r="Q8" s="2949">
        <v>365</v>
      </c>
      <c r="R8" s="2950">
        <f t="shared" ref="R8:R13" si="0">ROUND(M8*N8*O8*P8*Q8/10000,0)</f>
        <v>0</v>
      </c>
      <c r="S8" s="2926"/>
      <c r="T8" s="2926" t="s">
        <v>2686</v>
      </c>
      <c r="U8" s="2926"/>
      <c r="V8" s="2929"/>
      <c r="W8" s="2928"/>
    </row>
    <row r="9" spans="1:23" s="2834" customFormat="1" ht="13.2" customHeight="1">
      <c r="A9" s="2850">
        <v>1</v>
      </c>
      <c r="B9" s="3304" t="s">
        <v>2687</v>
      </c>
      <c r="C9" s="3305"/>
      <c r="D9" s="2851">
        <f>ROUND(D6*E9,0)</f>
        <v>0</v>
      </c>
      <c r="E9" s="2898"/>
      <c r="F9" s="2853" t="s">
        <v>2688</v>
      </c>
      <c r="G9" s="2951" t="s">
        <v>2791</v>
      </c>
      <c r="H9" s="2928"/>
      <c r="I9" s="2929"/>
      <c r="J9" s="3300"/>
      <c r="K9" s="3302"/>
      <c r="L9" s="2946" t="s">
        <v>2781</v>
      </c>
      <c r="M9" s="2947"/>
      <c r="N9" s="2947"/>
      <c r="O9" s="2948"/>
      <c r="P9" s="2948"/>
      <c r="Q9" s="2949">
        <v>365</v>
      </c>
      <c r="R9" s="2950">
        <f t="shared" si="0"/>
        <v>0</v>
      </c>
      <c r="S9" s="2926"/>
      <c r="T9" s="2926"/>
      <c r="U9" s="2926"/>
      <c r="V9" s="2929"/>
      <c r="W9" s="2928"/>
    </row>
    <row r="10" spans="1:23" s="2834" customFormat="1" ht="13.2" customHeight="1">
      <c r="A10" s="2850">
        <v>2</v>
      </c>
      <c r="B10" s="3304" t="s">
        <v>2689</v>
      </c>
      <c r="C10" s="3305"/>
      <c r="D10" s="2851">
        <f>ROUND(D6*E10,0)</f>
        <v>0</v>
      </c>
      <c r="E10" s="2898"/>
      <c r="F10" s="2853" t="s">
        <v>2690</v>
      </c>
      <c r="G10" s="2951" t="s">
        <v>2792</v>
      </c>
      <c r="H10" s="2928"/>
      <c r="I10" s="2929"/>
      <c r="J10" s="3300"/>
      <c r="K10" s="3302"/>
      <c r="L10" s="2946" t="s">
        <v>2782</v>
      </c>
      <c r="M10" s="2947"/>
      <c r="N10" s="2947"/>
      <c r="O10" s="2948"/>
      <c r="P10" s="2948"/>
      <c r="Q10" s="2949">
        <v>365</v>
      </c>
      <c r="R10" s="2950">
        <f t="shared" si="0"/>
        <v>0</v>
      </c>
      <c r="S10" s="2926"/>
      <c r="T10" s="2926"/>
      <c r="U10" s="2926"/>
      <c r="V10" s="2929"/>
      <c r="W10" s="2928"/>
    </row>
    <row r="11" spans="1:23" s="2834" customFormat="1" ht="13.2" customHeight="1">
      <c r="A11" s="2850">
        <v>3</v>
      </c>
      <c r="B11" s="3304" t="s">
        <v>2691</v>
      </c>
      <c r="C11" s="3305"/>
      <c r="D11" s="2851">
        <f>D12+D14+D15+D16</f>
        <v>0</v>
      </c>
      <c r="E11" s="2854" t="e">
        <f>D11/D6</f>
        <v>#DIV/0!</v>
      </c>
      <c r="F11" s="2835"/>
      <c r="G11" s="2951"/>
      <c r="H11" s="2928"/>
      <c r="I11" s="2929"/>
      <c r="J11" s="3300"/>
      <c r="K11" s="3302"/>
      <c r="L11" s="2946" t="s">
        <v>2783</v>
      </c>
      <c r="M11" s="2947"/>
      <c r="N11" s="2947"/>
      <c r="O11" s="2948"/>
      <c r="P11" s="2948"/>
      <c r="Q11" s="2949">
        <v>365</v>
      </c>
      <c r="R11" s="2950">
        <f t="shared" si="0"/>
        <v>0</v>
      </c>
      <c r="S11" s="2926"/>
      <c r="T11" s="2926"/>
      <c r="U11" s="2926"/>
      <c r="V11" s="2929"/>
      <c r="W11" s="2928"/>
    </row>
    <row r="12" spans="1:23" s="2834" customFormat="1" ht="13.2" customHeight="1">
      <c r="A12" s="2855" t="s">
        <v>2692</v>
      </c>
      <c r="B12" s="3306" t="s">
        <v>2693</v>
      </c>
      <c r="C12" s="3307"/>
      <c r="D12" s="2856">
        <f>ROUND(D13*1.2%*(1-30%),0)</f>
        <v>0</v>
      </c>
      <c r="E12" s="2857">
        <v>1.2E-2</v>
      </c>
      <c r="F12" s="2835" t="s">
        <v>2694</v>
      </c>
      <c r="G12" s="2951"/>
      <c r="H12" s="2928"/>
      <c r="I12" s="2929"/>
      <c r="J12" s="3300"/>
      <c r="K12" s="3302"/>
      <c r="L12" s="2946" t="s">
        <v>2784</v>
      </c>
      <c r="M12" s="2947"/>
      <c r="N12" s="2947"/>
      <c r="O12" s="2948"/>
      <c r="P12" s="2948"/>
      <c r="Q12" s="2949">
        <v>365</v>
      </c>
      <c r="R12" s="2950">
        <f t="shared" si="0"/>
        <v>0</v>
      </c>
      <c r="S12" s="2926"/>
      <c r="T12" s="2926"/>
      <c r="U12" s="2926"/>
      <c r="V12" s="2929"/>
      <c r="W12" s="2928"/>
    </row>
    <row r="13" spans="1:23" s="2834" customFormat="1" ht="13.2" customHeight="1">
      <c r="A13" s="2855"/>
      <c r="B13" s="2858"/>
      <c r="C13" s="2859" t="s">
        <v>2695</v>
      </c>
      <c r="D13" s="2899"/>
      <c r="E13" s="2860"/>
      <c r="F13" s="2835"/>
      <c r="G13" s="2951"/>
      <c r="H13" s="2928"/>
      <c r="I13" s="2929"/>
      <c r="J13" s="3300"/>
      <c r="K13" s="3302"/>
      <c r="L13" s="2946" t="s">
        <v>2785</v>
      </c>
      <c r="M13" s="2947"/>
      <c r="N13" s="2947"/>
      <c r="O13" s="2948"/>
      <c r="P13" s="2948"/>
      <c r="Q13" s="2949">
        <v>365</v>
      </c>
      <c r="R13" s="2950">
        <f t="shared" si="0"/>
        <v>0</v>
      </c>
      <c r="S13" s="2926"/>
      <c r="T13" s="2926"/>
      <c r="U13" s="2926"/>
      <c r="V13" s="2929"/>
      <c r="W13" s="2928"/>
    </row>
    <row r="14" spans="1:23" s="2834" customFormat="1" ht="13.2" customHeight="1">
      <c r="A14" s="2855" t="s">
        <v>2696</v>
      </c>
      <c r="B14" s="3306" t="s">
        <v>2697</v>
      </c>
      <c r="C14" s="3307"/>
      <c r="D14" s="2856">
        <f>ROUND(E14*B5/10000,0)</f>
        <v>0</v>
      </c>
      <c r="E14" s="2900"/>
      <c r="F14" s="2835" t="s">
        <v>2698</v>
      </c>
      <c r="G14" s="2951"/>
      <c r="H14" s="2928"/>
      <c r="I14" s="2929"/>
      <c r="J14" s="3300"/>
      <c r="K14" s="3303"/>
      <c r="L14" s="2952" t="s">
        <v>2699</v>
      </c>
      <c r="M14" s="2953">
        <f>SUM(M7:M13)</f>
        <v>0</v>
      </c>
      <c r="N14" s="2953" t="e">
        <f>ROUND((N7*M7+N8*M8+N9*M9+N10*M10+N11*M11+N12*M12+N13*M13)/M14,0)</f>
        <v>#DIV/0!</v>
      </c>
      <c r="O14" s="2954"/>
      <c r="P14" s="2954"/>
      <c r="Q14" s="2955"/>
      <c r="R14" s="2932">
        <f>SUM(R7:R13)</f>
        <v>0</v>
      </c>
      <c r="S14" s="2926"/>
      <c r="T14" s="2926"/>
      <c r="U14" s="2926"/>
      <c r="V14" s="2929"/>
      <c r="W14" s="2928"/>
    </row>
    <row r="15" spans="1:23" s="2834" customFormat="1" ht="13.2" customHeight="1">
      <c r="A15" s="2855" t="s">
        <v>2700</v>
      </c>
      <c r="B15" s="3306" t="s">
        <v>2701</v>
      </c>
      <c r="C15" s="3307"/>
      <c r="D15" s="2856">
        <f>ROUND(D6*E15,0)</f>
        <v>0</v>
      </c>
      <c r="E15" s="2857">
        <v>5.5E-2</v>
      </c>
      <c r="F15" s="2835" t="s">
        <v>2702</v>
      </c>
      <c r="G15" s="2951"/>
      <c r="H15" s="2928"/>
      <c r="I15" s="2929"/>
      <c r="J15" s="3300">
        <v>2</v>
      </c>
      <c r="K15" s="3301" t="s">
        <v>2703</v>
      </c>
      <c r="L15" s="2956" t="s">
        <v>2704</v>
      </c>
      <c r="M15" s="2957" t="s">
        <v>2705</v>
      </c>
      <c r="N15" s="2957" t="s">
        <v>2706</v>
      </c>
      <c r="O15" s="2958" t="s">
        <v>2707</v>
      </c>
      <c r="P15" s="2958" t="s">
        <v>2708</v>
      </c>
      <c r="Q15" s="2895" t="s">
        <v>2709</v>
      </c>
      <c r="R15" s="2959" t="s">
        <v>2710</v>
      </c>
      <c r="S15" s="2926"/>
      <c r="T15" s="2926"/>
      <c r="U15" s="2926"/>
      <c r="V15" s="2929"/>
      <c r="W15" s="2928"/>
    </row>
    <row r="16" spans="1:23" s="2834" customFormat="1" ht="13.2" customHeight="1">
      <c r="A16" s="2855" t="s">
        <v>2711</v>
      </c>
      <c r="B16" s="3306" t="s">
        <v>2712</v>
      </c>
      <c r="C16" s="3307"/>
      <c r="D16" s="2901">
        <f>D6*E16</f>
        <v>0</v>
      </c>
      <c r="E16" s="2902"/>
      <c r="F16" s="2853" t="s">
        <v>2713</v>
      </c>
      <c r="G16" s="2951"/>
      <c r="H16" s="2928"/>
      <c r="I16" s="2929"/>
      <c r="J16" s="3300"/>
      <c r="K16" s="3302"/>
      <c r="L16" s="2946" t="s">
        <v>2786</v>
      </c>
      <c r="M16" s="2947"/>
      <c r="N16" s="2947"/>
      <c r="O16" s="2948"/>
      <c r="P16" s="2949">
        <v>365</v>
      </c>
      <c r="Q16" s="2947"/>
      <c r="R16" s="2960">
        <f>ROUND(M16*N16*O16*P16/10000,0)</f>
        <v>0</v>
      </c>
      <c r="S16" s="2926"/>
      <c r="T16" s="2926"/>
      <c r="U16" s="2926"/>
      <c r="V16" s="2929"/>
      <c r="W16" s="2928"/>
    </row>
    <row r="17" spans="1:23" s="2834" customFormat="1" ht="13.2" customHeight="1" thickBot="1">
      <c r="A17" s="2861">
        <v>4</v>
      </c>
      <c r="B17" s="3308" t="s">
        <v>2714</v>
      </c>
      <c r="C17" s="3309"/>
      <c r="D17" s="2862">
        <f>ROUND(D6*E17,0)</f>
        <v>0</v>
      </c>
      <c r="E17" s="2903"/>
      <c r="F17" s="2863" t="s">
        <v>2715</v>
      </c>
      <c r="G17" s="2998">
        <v>0.1</v>
      </c>
      <c r="H17" s="2928"/>
      <c r="I17" s="2929"/>
      <c r="J17" s="3300"/>
      <c r="K17" s="3302"/>
      <c r="L17" s="2946" t="s">
        <v>2787</v>
      </c>
      <c r="M17" s="2947"/>
      <c r="N17" s="2947"/>
      <c r="O17" s="2948"/>
      <c r="P17" s="2949">
        <v>365</v>
      </c>
      <c r="Q17" s="2947"/>
      <c r="R17" s="2960">
        <f>ROUND(M17*N17*O17*P17/10000,0)</f>
        <v>0</v>
      </c>
      <c r="S17" s="2926"/>
      <c r="T17" s="2926"/>
      <c r="U17" s="2926"/>
      <c r="V17" s="2929"/>
      <c r="W17" s="2928"/>
    </row>
    <row r="18" spans="1:23" s="2834" customFormat="1" ht="13.2" customHeight="1" thickBot="1">
      <c r="A18" s="2844" t="s">
        <v>2716</v>
      </c>
      <c r="B18" s="2845"/>
      <c r="C18" s="2845"/>
      <c r="D18" s="2864">
        <f>ROUND(D6*E18,0)</f>
        <v>0</v>
      </c>
      <c r="E18" s="2904"/>
      <c r="F18" s="2865" t="s">
        <v>2717</v>
      </c>
      <c r="G18" s="2998">
        <v>0.05</v>
      </c>
      <c r="H18" s="2928"/>
      <c r="I18" s="2929"/>
      <c r="J18" s="3300"/>
      <c r="K18" s="3302"/>
      <c r="L18" s="2946" t="s">
        <v>2788</v>
      </c>
      <c r="M18" s="2947"/>
      <c r="N18" s="2947"/>
      <c r="O18" s="2948"/>
      <c r="P18" s="2949">
        <v>365</v>
      </c>
      <c r="Q18" s="2947"/>
      <c r="R18" s="2960">
        <f>ROUND(M18*N18*O18*P18/10000,0)</f>
        <v>0</v>
      </c>
      <c r="S18" s="2926"/>
      <c r="T18" s="2926"/>
      <c r="U18" s="2926"/>
      <c r="V18" s="2929"/>
      <c r="W18" s="2928"/>
    </row>
    <row r="19" spans="1:23" s="2834" customFormat="1" ht="13.2" customHeight="1" thickBot="1">
      <c r="A19" s="2866" t="s">
        <v>2718</v>
      </c>
      <c r="B19" s="2841"/>
      <c r="C19" s="2841"/>
      <c r="D19" s="2841"/>
      <c r="E19" s="2841"/>
      <c r="F19" s="2842"/>
      <c r="G19" s="2951"/>
      <c r="H19" s="2928"/>
      <c r="I19" s="2929"/>
      <c r="J19" s="3300"/>
      <c r="K19" s="3303"/>
      <c r="L19" s="2952" t="s">
        <v>2699</v>
      </c>
      <c r="M19" s="2953"/>
      <c r="N19" s="2953">
        <f>SUM(N16:N18)</f>
        <v>0</v>
      </c>
      <c r="O19" s="2954"/>
      <c r="P19" s="2961" t="s">
        <v>2789</v>
      </c>
      <c r="Q19" s="2958">
        <v>0.5</v>
      </c>
      <c r="R19" s="2962">
        <f>ROUND(IF(P19="按比例",R14*Q19,SUM(R16:R18)),0)</f>
        <v>0</v>
      </c>
      <c r="S19" s="2926"/>
      <c r="T19" s="2926"/>
      <c r="U19" s="2926"/>
      <c r="V19" s="2929"/>
      <c r="W19" s="2928"/>
    </row>
    <row r="20" spans="1:23" s="2834" customFormat="1" ht="13.2" customHeight="1">
      <c r="A20" s="2844"/>
      <c r="B20" s="2845"/>
      <c r="C20" s="2845"/>
      <c r="D20" s="2845"/>
      <c r="E20" s="2845"/>
      <c r="F20" s="2867"/>
      <c r="G20" s="2951"/>
      <c r="H20" s="2928"/>
      <c r="I20" s="2929"/>
      <c r="J20" s="3300">
        <v>3</v>
      </c>
      <c r="K20" s="3301" t="s">
        <v>2719</v>
      </c>
      <c r="L20" s="2956" t="s">
        <v>2720</v>
      </c>
      <c r="M20" s="2957" t="s">
        <v>2721</v>
      </c>
      <c r="N20" s="2963" t="s">
        <v>2722</v>
      </c>
      <c r="O20" s="2958" t="s">
        <v>2723</v>
      </c>
      <c r="P20" s="2900" t="s">
        <v>2708</v>
      </c>
      <c r="Q20" s="2895" t="s">
        <v>2709</v>
      </c>
      <c r="R20" s="2959" t="s">
        <v>2710</v>
      </c>
      <c r="S20" s="2926"/>
      <c r="T20" s="2926"/>
      <c r="U20" s="2926"/>
      <c r="V20" s="2929"/>
      <c r="W20" s="2928"/>
    </row>
    <row r="21" spans="1:23" s="2834" customFormat="1" ht="13.2" customHeight="1">
      <c r="A21" s="2844"/>
      <c r="B21" s="2845"/>
      <c r="C21" s="2868" t="s">
        <v>2724</v>
      </c>
      <c r="D21" s="2869" t="s">
        <v>2725</v>
      </c>
      <c r="E21" s="2870" t="s">
        <v>2726</v>
      </c>
      <c r="F21" s="2867"/>
      <c r="G21" s="2951"/>
      <c r="H21" s="2928"/>
      <c r="I21" s="2929"/>
      <c r="J21" s="3300"/>
      <c r="K21" s="3302"/>
      <c r="L21" s="2956" t="s">
        <v>2727</v>
      </c>
      <c r="M21" s="2957"/>
      <c r="N21" s="2957"/>
      <c r="O21" s="2958"/>
      <c r="P21" s="2900">
        <v>365</v>
      </c>
      <c r="Q21" s="2895"/>
      <c r="R21" s="2964">
        <f>ROUND(M21*N21*O21*P21/10000,0)</f>
        <v>0</v>
      </c>
      <c r="S21" s="2926"/>
      <c r="T21" s="2926"/>
      <c r="U21" s="2926"/>
      <c r="V21" s="2929"/>
      <c r="W21" s="2928"/>
    </row>
    <row r="22" spans="1:23" s="2834" customFormat="1" ht="13.2" customHeight="1">
      <c r="A22" s="2844"/>
      <c r="B22" s="2845"/>
      <c r="C22" s="2905" t="s">
        <v>2728</v>
      </c>
      <c r="D22" s="2906" t="s">
        <v>2729</v>
      </c>
      <c r="E22" s="2907" t="s">
        <v>2730</v>
      </c>
      <c r="F22" s="2867"/>
      <c r="G22" s="2926"/>
      <c r="H22" s="2928"/>
      <c r="I22" s="2929"/>
      <c r="J22" s="3300"/>
      <c r="K22" s="3302"/>
      <c r="L22" s="2956" t="s">
        <v>2731</v>
      </c>
      <c r="M22" s="2957"/>
      <c r="N22" s="2957"/>
      <c r="O22" s="2958"/>
      <c r="P22" s="2900">
        <v>365</v>
      </c>
      <c r="Q22" s="2895"/>
      <c r="R22" s="2964">
        <f>ROUND(M22*N22*O22*P22/10000,0)</f>
        <v>0</v>
      </c>
      <c r="S22" s="2926"/>
      <c r="T22" s="2926"/>
      <c r="U22" s="2926"/>
      <c r="V22" s="2929"/>
      <c r="W22" s="2928"/>
    </row>
    <row r="23" spans="1:23" s="2834" customFormat="1" ht="13.2" customHeight="1">
      <c r="A23" s="2871">
        <v>1</v>
      </c>
      <c r="B23" s="2843" t="s">
        <v>2732</v>
      </c>
      <c r="C23" s="2872">
        <f>D6</f>
        <v>0</v>
      </c>
      <c r="D23" s="2873">
        <f>C23*(1+D24)</f>
        <v>0</v>
      </c>
      <c r="E23" s="2874">
        <f>D23*(1+E24)</f>
        <v>0</v>
      </c>
      <c r="F23" s="2875"/>
      <c r="G23" s="2965"/>
      <c r="H23" s="2928"/>
      <c r="I23" s="2929"/>
      <c r="J23" s="3300"/>
      <c r="K23" s="3302"/>
      <c r="L23" s="2956" t="s">
        <v>2733</v>
      </c>
      <c r="M23" s="2957"/>
      <c r="N23" s="2957"/>
      <c r="O23" s="2958"/>
      <c r="P23" s="2900">
        <v>365</v>
      </c>
      <c r="Q23" s="2895"/>
      <c r="R23" s="2964">
        <f>ROUND(M23*N23*O23*P23/10000,0)</f>
        <v>0</v>
      </c>
      <c r="S23" s="2926"/>
      <c r="T23" s="2926"/>
      <c r="U23" s="2926"/>
      <c r="V23" s="2929"/>
      <c r="W23" s="2928"/>
    </row>
    <row r="24" spans="1:23" s="2834" customFormat="1" ht="13.2" customHeight="1">
      <c r="A24" s="2876"/>
      <c r="B24" s="2877" t="s">
        <v>2734</v>
      </c>
      <c r="C24" s="2878"/>
      <c r="D24" s="2908"/>
      <c r="E24" s="2909"/>
      <c r="F24" s="2879"/>
      <c r="G24" s="2965"/>
      <c r="H24" s="2928"/>
      <c r="I24" s="2929"/>
      <c r="J24" s="3300"/>
      <c r="K24" s="3303"/>
      <c r="L24" s="2952" t="s">
        <v>2699</v>
      </c>
      <c r="M24" s="2953">
        <f>SUM(M21:M23)</f>
        <v>0</v>
      </c>
      <c r="N24" s="2953"/>
      <c r="O24" s="2954"/>
      <c r="P24" s="2961" t="s">
        <v>2789</v>
      </c>
      <c r="Q24" s="2958">
        <v>0.1</v>
      </c>
      <c r="R24" s="2962">
        <f>ROUND(IF(P24="按比例",R14*Q24,SUM(R21:R23)),0)</f>
        <v>0</v>
      </c>
      <c r="S24" s="2926"/>
      <c r="T24" s="2926"/>
      <c r="U24" s="2926"/>
      <c r="V24" s="2929"/>
      <c r="W24" s="2928"/>
    </row>
    <row r="25" spans="1:23" s="2880" customFormat="1" ht="13.2" customHeight="1">
      <c r="A25" s="2876"/>
      <c r="B25" s="2877"/>
      <c r="C25" s="2878"/>
      <c r="D25" s="2908"/>
      <c r="E25" s="2909"/>
      <c r="F25" s="2879"/>
      <c r="G25" s="2926"/>
      <c r="H25" s="2928"/>
      <c r="I25" s="2929"/>
      <c r="J25" s="2966">
        <v>4</v>
      </c>
      <c r="K25" s="2967" t="s">
        <v>2735</v>
      </c>
      <c r="L25" s="2968"/>
      <c r="M25" s="2968"/>
      <c r="N25" s="2968"/>
      <c r="O25" s="2968"/>
      <c r="P25" s="2969"/>
      <c r="Q25" s="2970">
        <v>0</v>
      </c>
      <c r="R25" s="2962">
        <f>ROUND(R14*Q25,0)</f>
        <v>0</v>
      </c>
      <c r="S25" s="2926"/>
      <c r="T25" s="2926"/>
      <c r="U25" s="2926"/>
      <c r="V25" s="2971"/>
      <c r="W25" s="2972"/>
    </row>
    <row r="26" spans="1:23" s="2880" customFormat="1" ht="13.2" customHeight="1">
      <c r="A26" s="2871">
        <v>2</v>
      </c>
      <c r="B26" s="2843" t="s">
        <v>2736</v>
      </c>
      <c r="C26" s="2872">
        <f>D7</f>
        <v>0</v>
      </c>
      <c r="D26" s="2873">
        <f>D23*D27</f>
        <v>0</v>
      </c>
      <c r="E26" s="2874">
        <f>E23*E27</f>
        <v>0</v>
      </c>
      <c r="F26" s="2875"/>
      <c r="G26" s="2965"/>
      <c r="H26" s="2928"/>
      <c r="I26" s="2929"/>
      <c r="J26" s="3310">
        <v>5</v>
      </c>
      <c r="K26" s="2973" t="s">
        <v>2737</v>
      </c>
      <c r="L26" s="2974"/>
      <c r="M26" s="2975"/>
      <c r="N26" s="2976" t="s">
        <v>2738</v>
      </c>
      <c r="O26" s="2976" t="s">
        <v>2739</v>
      </c>
      <c r="P26" s="2977" t="s">
        <v>2740</v>
      </c>
      <c r="Q26" s="2977" t="s">
        <v>2741</v>
      </c>
      <c r="R26" s="2935" t="s">
        <v>2710</v>
      </c>
      <c r="S26" s="2951"/>
      <c r="T26" s="2951"/>
      <c r="U26" s="2951"/>
      <c r="V26" s="2971"/>
      <c r="W26" s="2972"/>
    </row>
    <row r="27" spans="1:23" s="2834" customFormat="1" ht="13.2" customHeight="1">
      <c r="A27" s="2876"/>
      <c r="B27" s="2877" t="s">
        <v>2742</v>
      </c>
      <c r="C27" s="2881" t="e">
        <f>E7</f>
        <v>#DIV/0!</v>
      </c>
      <c r="D27" s="2908"/>
      <c r="E27" s="2909"/>
      <c r="F27" s="2879"/>
      <c r="G27" s="2965"/>
      <c r="H27" s="2972"/>
      <c r="I27" s="2971"/>
      <c r="J27" s="3311"/>
      <c r="K27" s="2978"/>
      <c r="L27" s="2979"/>
      <c r="M27" s="2980"/>
      <c r="N27" s="2981"/>
      <c r="O27" s="2981"/>
      <c r="P27" s="2981"/>
      <c r="Q27" s="2982"/>
      <c r="R27" s="2962">
        <f>ROUND(O27*N27*P27*(1-Q27)/10000,0)</f>
        <v>0</v>
      </c>
      <c r="S27" s="2926"/>
      <c r="T27" s="2926"/>
      <c r="U27" s="2926"/>
      <c r="V27" s="2929"/>
      <c r="W27" s="2928"/>
    </row>
    <row r="28" spans="1:23" s="2880" customFormat="1" ht="13.2" customHeight="1" thickBot="1">
      <c r="A28" s="2876"/>
      <c r="B28" s="2877"/>
      <c r="C28" s="2881"/>
      <c r="D28" s="2908"/>
      <c r="E28" s="2909" t="s">
        <v>2743</v>
      </c>
      <c r="F28" s="2879"/>
      <c r="G28" s="2926"/>
      <c r="H28" s="2972"/>
      <c r="I28" s="2971"/>
      <c r="J28" s="2983">
        <v>6</v>
      </c>
      <c r="K28" s="2984" t="s">
        <v>2744</v>
      </c>
      <c r="L28" s="2985" t="s">
        <v>2745</v>
      </c>
      <c r="M28" s="2986"/>
      <c r="N28" s="2985" t="s">
        <v>2746</v>
      </c>
      <c r="O28" s="2987"/>
      <c r="P28" s="2985" t="s">
        <v>2747</v>
      </c>
      <c r="Q28" s="2988">
        <v>1.4999999999999999E-2</v>
      </c>
      <c r="R28" s="2989"/>
      <c r="S28" s="2926"/>
      <c r="T28" s="2926"/>
      <c r="U28" s="2926"/>
      <c r="V28" s="2971"/>
      <c r="W28" s="2972"/>
    </row>
    <row r="29" spans="1:23" s="2880" customFormat="1" ht="13.2" customHeight="1">
      <c r="A29" s="2871">
        <v>3</v>
      </c>
      <c r="B29" s="2843" t="s">
        <v>2748</v>
      </c>
      <c r="C29" s="2872">
        <f>C23*C30</f>
        <v>0</v>
      </c>
      <c r="D29" s="2873">
        <f>D23*C30</f>
        <v>0</v>
      </c>
      <c r="E29" s="2874">
        <f>E23*C30</f>
        <v>0</v>
      </c>
      <c r="F29" s="2875"/>
      <c r="G29" s="2965"/>
      <c r="H29" s="2928"/>
      <c r="I29" s="2929"/>
      <c r="J29" s="2926"/>
      <c r="K29" s="2926"/>
      <c r="L29" s="2926"/>
      <c r="M29" s="2926"/>
      <c r="N29" s="2926"/>
      <c r="O29" s="2926"/>
      <c r="P29" s="2926"/>
      <c r="Q29" s="2926"/>
      <c r="R29" s="2926"/>
      <c r="S29" s="2926"/>
      <c r="T29" s="2926"/>
      <c r="U29" s="2926"/>
      <c r="V29" s="2971"/>
      <c r="W29" s="2972"/>
    </row>
    <row r="30" spans="1:23" s="2834" customFormat="1" ht="13.2" customHeight="1" thickBot="1">
      <c r="A30" s="2876"/>
      <c r="B30" s="2877" t="s">
        <v>2742</v>
      </c>
      <c r="C30" s="2881">
        <f>E18</f>
        <v>0</v>
      </c>
      <c r="D30" s="2882"/>
      <c r="E30" s="2860"/>
      <c r="F30" s="2879"/>
      <c r="G30" s="2965"/>
      <c r="H30" s="2972"/>
      <c r="I30" s="2971"/>
      <c r="J30" s="2926"/>
      <c r="K30" s="2926"/>
      <c r="L30" s="2926"/>
      <c r="M30" s="2926"/>
      <c r="N30" s="2926"/>
      <c r="O30" s="2926"/>
      <c r="P30" s="2926"/>
      <c r="Q30" s="2926"/>
      <c r="R30" s="2926"/>
      <c r="S30" s="2926"/>
      <c r="T30" s="2926"/>
      <c r="U30" s="2926"/>
      <c r="V30" s="2929"/>
      <c r="W30" s="2928"/>
    </row>
    <row r="31" spans="1:23" s="2880" customFormat="1" ht="13.2" customHeight="1">
      <c r="A31" s="2876"/>
      <c r="B31" s="2877"/>
      <c r="C31" s="2910"/>
      <c r="D31" s="2882"/>
      <c r="E31" s="2860"/>
      <c r="F31" s="2879"/>
      <c r="G31" s="2926"/>
      <c r="H31" s="2972"/>
      <c r="I31" s="2971"/>
      <c r="J31" s="2923" t="s">
        <v>2749</v>
      </c>
      <c r="K31" s="2924"/>
      <c r="L31" s="2924"/>
      <c r="M31" s="2924"/>
      <c r="N31" s="2924"/>
      <c r="O31" s="2924"/>
      <c r="P31" s="2924"/>
      <c r="Q31" s="2924"/>
      <c r="R31" s="2925"/>
      <c r="S31" s="2926"/>
      <c r="T31" s="2926"/>
      <c r="U31" s="2926"/>
      <c r="V31" s="2971"/>
      <c r="W31" s="2972"/>
    </row>
    <row r="32" spans="1:23" s="2880" customFormat="1" ht="13.2" customHeight="1">
      <c r="A32" s="2871">
        <v>4</v>
      </c>
      <c r="B32" s="2843" t="s">
        <v>2750</v>
      </c>
      <c r="C32" s="2872">
        <f>C23-C26-C29</f>
        <v>0</v>
      </c>
      <c r="D32" s="2873">
        <f>D23-D26-D29</f>
        <v>0</v>
      </c>
      <c r="E32" s="2874">
        <f>E23-E26-E29</f>
        <v>0</v>
      </c>
      <c r="F32" s="2875"/>
      <c r="G32" s="2926"/>
      <c r="H32" s="2928"/>
      <c r="I32" s="2929"/>
      <c r="J32" s="3293" t="s">
        <v>2751</v>
      </c>
      <c r="K32" s="3294"/>
      <c r="L32" s="2930" t="s">
        <v>2752</v>
      </c>
      <c r="M32" s="2930" t="s">
        <v>2655</v>
      </c>
      <c r="N32" s="2930" t="s">
        <v>2656</v>
      </c>
      <c r="O32" s="2930" t="s">
        <v>2657</v>
      </c>
      <c r="P32" s="2930" t="s">
        <v>2658</v>
      </c>
      <c r="Q32" s="2931" t="s">
        <v>2753</v>
      </c>
      <c r="R32" s="2990" t="s">
        <v>2754</v>
      </c>
      <c r="S32" s="2926"/>
      <c r="T32" s="2926"/>
      <c r="U32" s="2926"/>
      <c r="V32" s="2971"/>
      <c r="W32" s="2972"/>
    </row>
    <row r="33" spans="1:23" s="2834" customFormat="1" ht="13.2" customHeight="1">
      <c r="A33" s="2871"/>
      <c r="B33" s="2843"/>
      <c r="C33" s="2872"/>
      <c r="D33" s="2883"/>
      <c r="E33" s="2884"/>
      <c r="F33" s="2875"/>
      <c r="G33" s="2926"/>
      <c r="H33" s="2972"/>
      <c r="I33" s="2971"/>
      <c r="J33" s="3295" t="s">
        <v>2755</v>
      </c>
      <c r="K33" s="3296"/>
      <c r="L33" s="2933"/>
      <c r="M33" s="2933"/>
      <c r="N33" s="2933"/>
      <c r="O33" s="2933"/>
      <c r="P33" s="2933"/>
      <c r="Q33" s="2934"/>
      <c r="R33" s="2991">
        <f>SUM(L33:Q33)</f>
        <v>0</v>
      </c>
      <c r="S33" s="2926"/>
      <c r="T33" s="2926"/>
      <c r="U33" s="2926"/>
      <c r="V33" s="2929"/>
      <c r="W33" s="2928"/>
    </row>
    <row r="34" spans="1:23" s="2834" customFormat="1" ht="13.2" customHeight="1">
      <c r="A34" s="2871">
        <v>5</v>
      </c>
      <c r="B34" s="2843" t="s">
        <v>2756</v>
      </c>
      <c r="C34" s="2911"/>
      <c r="D34" s="2912"/>
      <c r="E34" s="2913"/>
      <c r="F34" s="2875"/>
      <c r="G34" s="2926"/>
      <c r="H34" s="2972"/>
      <c r="I34" s="2971"/>
      <c r="J34" s="3295" t="s">
        <v>2757</v>
      </c>
      <c r="K34" s="3296"/>
      <c r="L34" s="2936"/>
      <c r="M34" s="2936"/>
      <c r="N34" s="2936"/>
      <c r="O34" s="2936"/>
      <c r="P34" s="2936"/>
      <c r="Q34" s="2937"/>
      <c r="R34" s="2992">
        <f>SUM(L34:Q34)</f>
        <v>0</v>
      </c>
      <c r="S34" s="2926"/>
      <c r="T34" s="2926"/>
      <c r="U34" s="2926" t="e">
        <f>ROUND(R35*10000/365/R33,1)</f>
        <v>#DIV/0!</v>
      </c>
      <c r="V34" s="2929"/>
      <c r="W34" s="2928"/>
    </row>
    <row r="35" spans="1:23" s="2834" customFormat="1" ht="13.2" customHeight="1">
      <c r="A35" s="2871">
        <v>6</v>
      </c>
      <c r="B35" s="2843" t="s">
        <v>2758</v>
      </c>
      <c r="C35" s="2914"/>
      <c r="D35" s="2915"/>
      <c r="E35" s="2916"/>
      <c r="F35" s="2875"/>
      <c r="G35" s="2993"/>
      <c r="H35" s="2928"/>
      <c r="I35" s="2971"/>
      <c r="J35" s="2939" t="s">
        <v>2759</v>
      </c>
      <c r="K35" s="2940"/>
      <c r="L35" s="2940"/>
      <c r="M35" s="2941"/>
      <c r="N35" s="2941"/>
      <c r="O35" s="2941"/>
      <c r="P35" s="2941"/>
      <c r="Q35" s="2941"/>
      <c r="R35" s="2994">
        <f>R40+R41+R43</f>
        <v>0</v>
      </c>
      <c r="S35" s="2926"/>
      <c r="T35" s="2926" t="s">
        <v>2760</v>
      </c>
      <c r="U35" s="2926"/>
      <c r="V35" s="2929"/>
      <c r="W35" s="2928"/>
    </row>
    <row r="36" spans="1:23" s="2834" customFormat="1" ht="13.2" customHeight="1" thickBot="1">
      <c r="A36" s="2871">
        <v>7</v>
      </c>
      <c r="B36" s="2885" t="s">
        <v>2761</v>
      </c>
      <c r="C36" s="2917"/>
      <c r="D36" s="2918"/>
      <c r="E36" s="2919"/>
      <c r="F36" s="2886">
        <f>C36+D36+E36</f>
        <v>0</v>
      </c>
      <c r="G36" s="2926"/>
      <c r="H36" s="2928"/>
      <c r="I36" s="2929"/>
      <c r="J36" s="3300">
        <v>1</v>
      </c>
      <c r="K36" s="3301" t="s">
        <v>2762</v>
      </c>
      <c r="L36" s="2943"/>
      <c r="M36" s="2944"/>
      <c r="N36" s="2944"/>
      <c r="O36" s="2944"/>
      <c r="P36" s="2944"/>
      <c r="Q36" s="2944"/>
      <c r="R36" s="2935" t="s">
        <v>2710</v>
      </c>
      <c r="S36" s="2926"/>
      <c r="T36" s="2926" t="s">
        <v>2763</v>
      </c>
      <c r="U36" s="2926"/>
      <c r="V36" s="2929"/>
      <c r="W36" s="2928"/>
    </row>
    <row r="37" spans="1:23" s="2834" customFormat="1" ht="13.2" customHeight="1">
      <c r="A37" s="2871"/>
      <c r="B37" s="2843"/>
      <c r="C37" s="2843"/>
      <c r="D37" s="2843"/>
      <c r="E37" s="2843"/>
      <c r="F37" s="2875"/>
      <c r="G37" s="2926"/>
      <c r="H37" s="2928"/>
      <c r="I37" s="2929"/>
      <c r="J37" s="3300"/>
      <c r="K37" s="3302"/>
      <c r="L37" s="2956"/>
      <c r="M37" s="2957"/>
      <c r="N37" s="2895"/>
      <c r="O37" s="2958"/>
      <c r="P37" s="2958"/>
      <c r="Q37" s="2900"/>
      <c r="R37" s="2995"/>
      <c r="S37" s="2926"/>
      <c r="T37" s="2926" t="s">
        <v>2764</v>
      </c>
      <c r="U37" s="2926"/>
      <c r="V37" s="2929"/>
      <c r="W37" s="2928"/>
    </row>
    <row r="38" spans="1:23" s="2834" customFormat="1" ht="13.2" customHeight="1">
      <c r="A38" s="2871">
        <v>8</v>
      </c>
      <c r="B38" s="2843"/>
      <c r="C38" s="2851" t="e">
        <f>ROUND(C32*(1-((1+C35)/(1+C34))^C36)/(C34-C35),0)</f>
        <v>#DIV/0!</v>
      </c>
      <c r="D38" s="2851">
        <f>IF(D23=0,0,ROUND(D32*(1-((1+D35)/(1+D34))^D36)/(D34-D35),0))</f>
        <v>0</v>
      </c>
      <c r="E38" s="2851">
        <f>IF(E23=0,0,ROUND(E32*(1-((1+E35)/(1+E34))^E36)/(E34-E35),0))</f>
        <v>0</v>
      </c>
      <c r="F38" s="2875"/>
      <c r="G38" s="2926"/>
      <c r="H38" s="2928"/>
      <c r="I38" s="2929"/>
      <c r="J38" s="3300"/>
      <c r="K38" s="3302"/>
      <c r="L38" s="2956"/>
      <c r="M38" s="2957"/>
      <c r="N38" s="2895"/>
      <c r="O38" s="2958"/>
      <c r="P38" s="2958"/>
      <c r="Q38" s="2900"/>
      <c r="R38" s="2995"/>
      <c r="S38" s="2926"/>
      <c r="T38" s="2926" t="s">
        <v>2686</v>
      </c>
      <c r="U38" s="2926"/>
      <c r="V38" s="2929"/>
      <c r="W38" s="2928"/>
    </row>
    <row r="39" spans="1:23" s="2834" customFormat="1" ht="13.2" customHeight="1">
      <c r="A39" s="2871">
        <v>9</v>
      </c>
      <c r="B39" s="2843" t="s">
        <v>2765</v>
      </c>
      <c r="C39" s="2856" t="e">
        <f>C38</f>
        <v>#DIV/0!</v>
      </c>
      <c r="D39" s="2843">
        <f>D38/(1+D34)^C36</f>
        <v>0</v>
      </c>
      <c r="E39" s="2843">
        <f>E38/(1+E34)^(C36+D36)</f>
        <v>0</v>
      </c>
      <c r="F39" s="2875"/>
      <c r="G39" s="2929"/>
      <c r="H39" s="2928"/>
      <c r="I39" s="2929"/>
      <c r="J39" s="3300"/>
      <c r="K39" s="3302"/>
      <c r="L39" s="2956"/>
      <c r="M39" s="2957"/>
      <c r="N39" s="2895"/>
      <c r="O39" s="2958"/>
      <c r="P39" s="2958"/>
      <c r="Q39" s="2900"/>
      <c r="R39" s="2995"/>
      <c r="S39" s="2926"/>
      <c r="T39" s="2926"/>
      <c r="U39" s="2926"/>
      <c r="V39" s="2929"/>
      <c r="W39" s="2928"/>
    </row>
    <row r="40" spans="1:23" s="2834" customFormat="1" ht="13.2" customHeight="1">
      <c r="A40" s="2887">
        <v>10</v>
      </c>
      <c r="B40" s="2843" t="s">
        <v>2766</v>
      </c>
      <c r="C40" s="2888" t="e">
        <f>C39+D39+E39</f>
        <v>#DIV/0!</v>
      </c>
      <c r="D40" s="2889"/>
      <c r="E40" s="2889"/>
      <c r="F40" s="2890"/>
      <c r="G40" s="2926"/>
      <c r="H40" s="2928"/>
      <c r="I40" s="2929"/>
      <c r="J40" s="3300"/>
      <c r="K40" s="3303"/>
      <c r="L40" s="2952" t="s">
        <v>2767</v>
      </c>
      <c r="M40" s="2953"/>
      <c r="N40" s="2953"/>
      <c r="O40" s="2954"/>
      <c r="P40" s="2954"/>
      <c r="Q40" s="2955"/>
      <c r="R40" s="2932">
        <f>SUM(R37:R39)</f>
        <v>0</v>
      </c>
      <c r="S40" s="2926"/>
      <c r="T40" s="2926"/>
      <c r="U40" s="2926"/>
      <c r="V40" s="2929"/>
      <c r="W40" s="2928"/>
    </row>
    <row r="41" spans="1:23" s="2834" customFormat="1" ht="13.2" customHeight="1" thickBot="1">
      <c r="A41" s="2891">
        <v>11</v>
      </c>
      <c r="B41" s="2892" t="s">
        <v>2768</v>
      </c>
      <c r="C41" s="2892" t="e">
        <f>ROUND(C40*10000/B4,0)</f>
        <v>#DIV/0!</v>
      </c>
      <c r="D41" s="2893"/>
      <c r="E41" s="2893"/>
      <c r="F41" s="2894"/>
      <c r="G41" s="2928"/>
      <c r="H41" s="2928"/>
      <c r="I41" s="2929"/>
      <c r="J41" s="2966">
        <v>2</v>
      </c>
      <c r="K41" s="2967" t="s">
        <v>2769</v>
      </c>
      <c r="L41" s="2968"/>
      <c r="M41" s="2968"/>
      <c r="N41" s="2968"/>
      <c r="O41" s="2968"/>
      <c r="P41" s="2969"/>
      <c r="Q41" s="2970"/>
      <c r="R41" s="2962">
        <f>ROUND(R40*Q41,0)</f>
        <v>0</v>
      </c>
      <c r="S41" s="2926"/>
      <c r="T41" s="2926"/>
      <c r="U41" s="2951"/>
      <c r="V41" s="2929"/>
      <c r="W41" s="2928"/>
    </row>
    <row r="42" spans="1:23" s="2834" customFormat="1" ht="13.2" customHeight="1">
      <c r="G42" s="2928"/>
      <c r="H42" s="2928"/>
      <c r="I42" s="2929"/>
      <c r="J42" s="3310">
        <v>3</v>
      </c>
      <c r="K42" s="2973" t="s">
        <v>2770</v>
      </c>
      <c r="L42" s="2974"/>
      <c r="M42" s="2975"/>
      <c r="N42" s="2976" t="s">
        <v>2771</v>
      </c>
      <c r="O42" s="2976" t="s">
        <v>2772</v>
      </c>
      <c r="P42" s="2977" t="s">
        <v>2773</v>
      </c>
      <c r="Q42" s="2977" t="s">
        <v>2774</v>
      </c>
      <c r="R42" s="2935" t="s">
        <v>2677</v>
      </c>
      <c r="S42" s="2951"/>
      <c r="T42" s="2951"/>
      <c r="U42" s="2926"/>
      <c r="V42" s="2929"/>
      <c r="W42" s="2928"/>
    </row>
    <row r="43" spans="1:23" ht="13.2" customHeight="1">
      <c r="A43" s="2834"/>
      <c r="B43" s="2834"/>
      <c r="C43" s="2834"/>
      <c r="D43" s="2834"/>
      <c r="E43" s="2834"/>
      <c r="F43" s="2834"/>
      <c r="I43" s="2921"/>
      <c r="J43" s="3311"/>
      <c r="K43" s="2978"/>
      <c r="L43" s="2979"/>
      <c r="M43" s="2980"/>
      <c r="N43" s="2957"/>
      <c r="O43" s="2957"/>
      <c r="P43" s="2957"/>
      <c r="Q43" s="2970"/>
      <c r="R43" s="2962">
        <f>ROUND(O43*N43*P43*(1-Q43)/10000,0)</f>
        <v>0</v>
      </c>
      <c r="S43" s="2926"/>
      <c r="T43" s="2926"/>
      <c r="V43" s="2996"/>
      <c r="W43" s="2922"/>
    </row>
    <row r="44" spans="1:23" ht="13.2" customHeight="1" thickBot="1">
      <c r="J44" s="2983">
        <v>6</v>
      </c>
      <c r="K44" s="2984" t="s">
        <v>2775</v>
      </c>
      <c r="L44" s="2997" t="s">
        <v>2776</v>
      </c>
      <c r="M44" s="2986"/>
      <c r="N44" s="2997" t="s">
        <v>2777</v>
      </c>
      <c r="O44" s="2986"/>
      <c r="P44" s="2997" t="s">
        <v>2778</v>
      </c>
      <c r="Q44" s="2988">
        <v>1.4999999999999999E-2</v>
      </c>
      <c r="R44" s="298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3.2"/>
  <cols>
    <col min="1" max="1" width="12.33203125" style="28" customWidth="1"/>
    <col min="2" max="2" width="9.218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9"/>
    <col min="21" max="22" width="9" style="912"/>
    <col min="23" max="23" width="9" style="629"/>
    <col min="24" max="25" width="9" style="912"/>
    <col min="26" max="44" width="9" style="629"/>
    <col min="45" max="16384" width="9" style="28"/>
  </cols>
  <sheetData>
    <row r="1" spans="1:44" ht="21">
      <c r="A1" s="284" t="s">
        <v>1968</v>
      </c>
      <c r="B1" s="786"/>
      <c r="C1" s="33"/>
      <c r="D1" s="33"/>
      <c r="E1" s="33"/>
      <c r="F1" s="33"/>
      <c r="G1" s="33"/>
      <c r="H1" s="33"/>
      <c r="I1" s="33"/>
      <c r="J1" s="33"/>
      <c r="K1" s="33"/>
      <c r="L1" s="33"/>
      <c r="M1" s="33"/>
      <c r="N1" s="33"/>
      <c r="O1" s="33"/>
      <c r="P1" s="33"/>
      <c r="Q1" s="33"/>
      <c r="R1" s="33"/>
      <c r="S1" s="27"/>
      <c r="T1" s="27"/>
      <c r="U1" s="910"/>
      <c r="V1" s="910"/>
      <c r="X1" s="910"/>
      <c r="Y1" s="910"/>
    </row>
    <row r="2" spans="1:44" ht="15.6">
      <c r="A2" s="77" t="s">
        <v>1969</v>
      </c>
      <c r="B2" s="246">
        <f>B23</f>
        <v>0</v>
      </c>
      <c r="C2" s="822" t="str">
        <f>C23</f>
        <v>元</v>
      </c>
      <c r="D2" s="33"/>
      <c r="E2" s="33"/>
      <c r="F2" s="33"/>
      <c r="G2" s="33"/>
      <c r="H2" s="33"/>
      <c r="I2" s="33"/>
      <c r="J2" s="33"/>
      <c r="K2" s="33"/>
      <c r="L2" s="33"/>
      <c r="M2" s="33"/>
      <c r="N2" s="33"/>
      <c r="O2" s="33"/>
      <c r="P2" s="33"/>
      <c r="Q2" s="33"/>
      <c r="R2" s="33"/>
      <c r="S2" s="27"/>
      <c r="T2" s="27"/>
      <c r="U2" s="910"/>
      <c r="V2" s="910"/>
      <c r="X2" s="910"/>
      <c r="Y2" s="910"/>
    </row>
    <row r="3" spans="1:44" ht="15.6">
      <c r="A3" s="79" t="s">
        <v>1970</v>
      </c>
      <c r="B3" s="246" t="e">
        <f>B24</f>
        <v>#DIV/0!</v>
      </c>
      <c r="C3" s="822" t="s">
        <v>1971</v>
      </c>
      <c r="D3" s="33"/>
      <c r="E3" s="33"/>
      <c r="F3" s="33"/>
      <c r="G3" s="33"/>
      <c r="H3" s="33"/>
      <c r="I3" s="33"/>
      <c r="J3" s="33"/>
      <c r="K3" s="33"/>
      <c r="L3" s="33"/>
      <c r="M3" s="33"/>
      <c r="N3" s="33"/>
      <c r="O3" s="33"/>
      <c r="P3" s="33"/>
      <c r="Q3" s="33"/>
      <c r="R3" s="33"/>
      <c r="S3" s="27"/>
      <c r="T3" s="27"/>
      <c r="U3" s="910"/>
      <c r="V3" s="910"/>
      <c r="X3" s="910"/>
      <c r="Y3" s="910"/>
    </row>
    <row r="4" spans="1:44" ht="14.25" customHeight="1" thickBot="1">
      <c r="A4" s="30"/>
      <c r="B4" s="555" t="s">
        <v>1972</v>
      </c>
      <c r="C4" s="3315" t="s">
        <v>1973</v>
      </c>
      <c r="D4" s="3316"/>
      <c r="E4" s="3316"/>
      <c r="F4" s="3316"/>
      <c r="G4" s="3316"/>
      <c r="H4" s="3316"/>
      <c r="I4" s="3316"/>
      <c r="J4" s="3316"/>
      <c r="K4" s="3316"/>
      <c r="L4" s="3316"/>
      <c r="M4" s="3316"/>
      <c r="N4" s="3316"/>
      <c r="O4" s="3316"/>
      <c r="P4" s="3316"/>
      <c r="Q4" s="3316"/>
      <c r="R4" s="3316"/>
      <c r="S4" s="3317"/>
      <c r="T4" s="555" t="s">
        <v>1974</v>
      </c>
      <c r="U4" s="910"/>
      <c r="V4" s="910"/>
      <c r="X4" s="910"/>
      <c r="Y4" s="910"/>
    </row>
    <row r="5" spans="1:44" s="566" customFormat="1">
      <c r="A5" s="914"/>
      <c r="B5" s="562" t="s">
        <v>1975</v>
      </c>
      <c r="C5" s="563" t="str">
        <f t="shared" ref="C5:L5" si="0">C6&amp;"(含)"&amp;"-"&amp;D6</f>
        <v>(含)-</v>
      </c>
      <c r="D5" s="564" t="str">
        <f t="shared" si="0"/>
        <v>(含)-</v>
      </c>
      <c r="E5" s="564" t="str">
        <f t="shared" si="0"/>
        <v>(含)-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8" t="str">
        <f>S6&amp;"(含)"&amp;"-"</f>
        <v>(含)-</v>
      </c>
      <c r="T5" s="565"/>
      <c r="U5" s="911"/>
      <c r="V5" s="911"/>
      <c r="W5" s="630"/>
      <c r="X5" s="911"/>
      <c r="Y5" s="911"/>
      <c r="Z5" s="630"/>
      <c r="AA5" s="630"/>
      <c r="AB5" s="630"/>
      <c r="AC5" s="630"/>
      <c r="AD5" s="630"/>
      <c r="AE5" s="630"/>
      <c r="AF5" s="630"/>
      <c r="AG5" s="630"/>
      <c r="AH5" s="630"/>
      <c r="AI5" s="630"/>
      <c r="AJ5" s="630"/>
      <c r="AK5" s="630"/>
      <c r="AL5" s="630"/>
      <c r="AM5" s="630"/>
      <c r="AN5" s="630"/>
      <c r="AO5" s="630"/>
      <c r="AP5" s="630"/>
      <c r="AQ5" s="630"/>
      <c r="AR5" s="630"/>
    </row>
    <row r="6" spans="1:44" s="573" customFormat="1">
      <c r="A6" s="915"/>
      <c r="B6" s="567"/>
      <c r="C6" s="568"/>
      <c r="D6" s="569"/>
      <c r="E6" s="569"/>
      <c r="F6" s="569"/>
      <c r="G6" s="569"/>
      <c r="H6" s="569"/>
      <c r="I6" s="569"/>
      <c r="J6" s="570"/>
      <c r="K6" s="570"/>
      <c r="L6" s="571"/>
      <c r="M6" s="787"/>
      <c r="N6" s="789"/>
      <c r="O6" s="569"/>
      <c r="P6" s="569"/>
      <c r="Q6" s="569"/>
      <c r="R6" s="569"/>
      <c r="S6" s="829"/>
      <c r="T6" s="572"/>
      <c r="U6" s="911"/>
      <c r="V6" s="911"/>
      <c r="W6" s="631"/>
      <c r="X6" s="911"/>
      <c r="Y6" s="911"/>
      <c r="Z6" s="631"/>
      <c r="AA6" s="631"/>
      <c r="AB6" s="631"/>
      <c r="AC6" s="631"/>
      <c r="AD6" s="631"/>
      <c r="AE6" s="631"/>
      <c r="AF6" s="631"/>
      <c r="AG6" s="631"/>
      <c r="AH6" s="631"/>
      <c r="AI6" s="631"/>
      <c r="AJ6" s="631"/>
      <c r="AK6" s="631"/>
      <c r="AL6" s="631"/>
      <c r="AM6" s="631"/>
      <c r="AN6" s="631"/>
      <c r="AO6" s="631"/>
      <c r="AP6" s="631"/>
      <c r="AQ6" s="631"/>
      <c r="AR6" s="631"/>
    </row>
    <row r="7" spans="1:44" s="573" customFormat="1" ht="13.8" thickBot="1">
      <c r="A7" s="916"/>
      <c r="B7" s="803"/>
      <c r="C7" s="804"/>
      <c r="D7" s="805"/>
      <c r="E7" s="805"/>
      <c r="F7" s="805"/>
      <c r="G7" s="805"/>
      <c r="H7" s="805"/>
      <c r="I7" s="805"/>
      <c r="J7" s="805"/>
      <c r="K7" s="805"/>
      <c r="L7" s="805"/>
      <c r="M7" s="806"/>
      <c r="N7" s="807"/>
      <c r="O7" s="805"/>
      <c r="P7" s="805"/>
      <c r="Q7" s="805"/>
      <c r="R7" s="805"/>
      <c r="S7" s="830"/>
      <c r="T7" s="575"/>
      <c r="U7" s="911"/>
      <c r="V7" s="911"/>
      <c r="W7" s="631"/>
      <c r="X7" s="911"/>
      <c r="Y7" s="911"/>
      <c r="Z7" s="631"/>
      <c r="AA7" s="631"/>
      <c r="AB7" s="631"/>
      <c r="AC7" s="631"/>
      <c r="AD7" s="631"/>
      <c r="AE7" s="631"/>
      <c r="AF7" s="631"/>
      <c r="AG7" s="631"/>
      <c r="AH7" s="631"/>
      <c r="AI7" s="631"/>
      <c r="AJ7" s="631"/>
      <c r="AK7" s="631"/>
      <c r="AL7" s="631"/>
      <c r="AM7" s="631"/>
      <c r="AN7" s="631"/>
      <c r="AO7" s="631"/>
      <c r="AP7" s="631"/>
      <c r="AQ7" s="631"/>
      <c r="AR7" s="631"/>
    </row>
    <row r="8" spans="1:44" s="15" customFormat="1">
      <c r="A8" s="917"/>
      <c r="B8" s="816" t="s">
        <v>1976</v>
      </c>
      <c r="C8" s="808"/>
      <c r="D8" s="809"/>
      <c r="E8" s="809"/>
      <c r="F8" s="809"/>
      <c r="G8" s="809"/>
      <c r="H8" s="809"/>
      <c r="I8" s="809"/>
      <c r="J8" s="809"/>
      <c r="K8" s="809"/>
      <c r="L8" s="810"/>
      <c r="M8" s="811"/>
      <c r="N8" s="811"/>
      <c r="O8" s="809"/>
      <c r="P8" s="809"/>
      <c r="Q8" s="809"/>
      <c r="R8" s="809"/>
      <c r="S8" s="831"/>
      <c r="T8" s="812"/>
      <c r="U8" s="911"/>
      <c r="V8" s="911"/>
      <c r="W8" s="632"/>
      <c r="X8" s="911"/>
      <c r="Y8" s="911"/>
      <c r="Z8" s="632"/>
      <c r="AA8" s="632"/>
      <c r="AB8" s="632"/>
      <c r="AC8" s="632"/>
      <c r="AD8" s="632"/>
      <c r="AE8" s="632"/>
      <c r="AF8" s="632"/>
      <c r="AG8" s="632"/>
      <c r="AH8" s="632"/>
      <c r="AI8" s="632"/>
      <c r="AJ8" s="632"/>
      <c r="AK8" s="632"/>
      <c r="AL8" s="632"/>
      <c r="AM8" s="632"/>
      <c r="AN8" s="632"/>
      <c r="AO8" s="632"/>
      <c r="AP8" s="632"/>
      <c r="AQ8" s="632"/>
      <c r="AR8" s="632"/>
    </row>
    <row r="9" spans="1:44" s="15" customFormat="1" ht="13.8" thickBot="1">
      <c r="A9" s="917"/>
      <c r="B9" s="798"/>
      <c r="C9" s="799">
        <v>100</v>
      </c>
      <c r="D9" s="800">
        <f t="shared" ref="D9:S9" si="7">C9-$T$8</f>
        <v>100</v>
      </c>
      <c r="E9" s="800">
        <f t="shared" si="7"/>
        <v>100</v>
      </c>
      <c r="F9" s="800">
        <f t="shared" si="7"/>
        <v>100</v>
      </c>
      <c r="G9" s="800">
        <f t="shared" si="7"/>
        <v>100</v>
      </c>
      <c r="H9" s="800">
        <f t="shared" si="7"/>
        <v>100</v>
      </c>
      <c r="I9" s="800">
        <f t="shared" si="7"/>
        <v>100</v>
      </c>
      <c r="J9" s="800">
        <f t="shared" si="7"/>
        <v>100</v>
      </c>
      <c r="K9" s="800">
        <f t="shared" si="7"/>
        <v>100</v>
      </c>
      <c r="L9" s="800">
        <f t="shared" si="7"/>
        <v>100</v>
      </c>
      <c r="M9" s="801">
        <f t="shared" si="7"/>
        <v>100</v>
      </c>
      <c r="N9" s="801">
        <f t="shared" si="7"/>
        <v>100</v>
      </c>
      <c r="O9" s="800">
        <f t="shared" si="7"/>
        <v>100</v>
      </c>
      <c r="P9" s="800">
        <f t="shared" si="7"/>
        <v>100</v>
      </c>
      <c r="Q9" s="800">
        <f t="shared" si="7"/>
        <v>100</v>
      </c>
      <c r="R9" s="800">
        <f t="shared" si="7"/>
        <v>100</v>
      </c>
      <c r="S9" s="832">
        <f t="shared" si="7"/>
        <v>100</v>
      </c>
      <c r="T9" s="802"/>
      <c r="U9" s="911"/>
      <c r="V9" s="911"/>
      <c r="W9" s="632"/>
      <c r="X9" s="911"/>
      <c r="Y9" s="911"/>
      <c r="Z9" s="632"/>
      <c r="AA9" s="632"/>
      <c r="AB9" s="632"/>
      <c r="AC9" s="632"/>
      <c r="AD9" s="632"/>
      <c r="AE9" s="632"/>
      <c r="AF9" s="632"/>
      <c r="AG9" s="632"/>
      <c r="AH9" s="632"/>
      <c r="AI9" s="632"/>
      <c r="AJ9" s="632"/>
      <c r="AK9" s="632"/>
      <c r="AL9" s="632"/>
      <c r="AM9" s="632"/>
      <c r="AN9" s="632"/>
      <c r="AO9" s="632"/>
      <c r="AP9" s="632"/>
      <c r="AQ9" s="632"/>
      <c r="AR9" s="632"/>
    </row>
    <row r="10" spans="1:44" s="15" customFormat="1">
      <c r="A10" s="917"/>
      <c r="B10" s="797" t="s">
        <v>1977</v>
      </c>
      <c r="C10" s="793"/>
      <c r="D10" s="794"/>
      <c r="E10" s="794"/>
      <c r="F10" s="794"/>
      <c r="G10" s="794"/>
      <c r="H10" s="794"/>
      <c r="I10" s="794"/>
      <c r="J10" s="794"/>
      <c r="K10" s="794"/>
      <c r="L10" s="794"/>
      <c r="M10" s="796"/>
      <c r="N10" s="788"/>
      <c r="O10" s="790"/>
      <c r="P10" s="790"/>
      <c r="Q10" s="791"/>
      <c r="R10" s="792"/>
      <c r="S10" s="833"/>
      <c r="T10" s="574"/>
      <c r="U10" s="911"/>
      <c r="V10" s="911"/>
      <c r="W10" s="632"/>
      <c r="X10" s="911"/>
      <c r="Y10" s="911"/>
      <c r="Z10" s="632"/>
      <c r="AA10" s="632"/>
      <c r="AB10" s="632"/>
      <c r="AC10" s="632"/>
      <c r="AD10" s="632"/>
      <c r="AE10" s="632"/>
      <c r="AF10" s="632"/>
      <c r="AG10" s="632"/>
      <c r="AH10" s="632"/>
      <c r="AI10" s="632"/>
      <c r="AJ10" s="632"/>
      <c r="AK10" s="632"/>
      <c r="AL10" s="632"/>
      <c r="AM10" s="632"/>
      <c r="AN10" s="632"/>
      <c r="AO10" s="632"/>
      <c r="AP10" s="632"/>
      <c r="AQ10" s="632"/>
      <c r="AR10" s="632"/>
    </row>
    <row r="11" spans="1:44" s="15" customFormat="1" ht="13.8" thickBot="1">
      <c r="A11" s="917"/>
      <c r="B11" s="798"/>
      <c r="C11" s="799">
        <v>100</v>
      </c>
      <c r="D11" s="800">
        <f t="shared" ref="D11:M11" si="8">C11-$T$10</f>
        <v>100</v>
      </c>
      <c r="E11" s="800">
        <f t="shared" si="8"/>
        <v>100</v>
      </c>
      <c r="F11" s="800">
        <f t="shared" si="8"/>
        <v>100</v>
      </c>
      <c r="G11" s="800">
        <f t="shared" si="8"/>
        <v>100</v>
      </c>
      <c r="H11" s="800">
        <f t="shared" si="8"/>
        <v>100</v>
      </c>
      <c r="I11" s="800">
        <f t="shared" si="8"/>
        <v>100</v>
      </c>
      <c r="J11" s="800">
        <f t="shared" si="8"/>
        <v>100</v>
      </c>
      <c r="K11" s="800">
        <f t="shared" si="8"/>
        <v>100</v>
      </c>
      <c r="L11" s="800">
        <f t="shared" si="8"/>
        <v>100</v>
      </c>
      <c r="M11" s="801">
        <f t="shared" si="8"/>
        <v>100</v>
      </c>
      <c r="N11" s="801">
        <f t="shared" ref="N11:S11" si="9">M11-$T$10</f>
        <v>100</v>
      </c>
      <c r="O11" s="800">
        <f t="shared" si="9"/>
        <v>100</v>
      </c>
      <c r="P11" s="800">
        <f t="shared" si="9"/>
        <v>100</v>
      </c>
      <c r="Q11" s="800">
        <f t="shared" si="9"/>
        <v>100</v>
      </c>
      <c r="R11" s="800">
        <f t="shared" si="9"/>
        <v>100</v>
      </c>
      <c r="S11" s="832">
        <f t="shared" si="9"/>
        <v>100</v>
      </c>
      <c r="T11" s="802"/>
      <c r="U11" s="911"/>
      <c r="V11" s="911"/>
      <c r="W11" s="632"/>
      <c r="X11" s="911"/>
      <c r="Y11" s="911"/>
      <c r="Z11" s="632"/>
      <c r="AA11" s="632"/>
      <c r="AB11" s="632"/>
      <c r="AC11" s="632"/>
      <c r="AD11" s="632"/>
      <c r="AE11" s="632"/>
      <c r="AF11" s="632"/>
      <c r="AG11" s="632"/>
      <c r="AH11" s="632"/>
      <c r="AI11" s="632"/>
      <c r="AJ11" s="632"/>
      <c r="AK11" s="632"/>
      <c r="AL11" s="632"/>
      <c r="AM11" s="632"/>
      <c r="AN11" s="632"/>
      <c r="AO11" s="632"/>
      <c r="AP11" s="632"/>
      <c r="AQ11" s="632"/>
      <c r="AR11" s="632"/>
    </row>
    <row r="12" spans="1:44" s="15" customFormat="1">
      <c r="A12" s="917"/>
      <c r="B12" s="797" t="s">
        <v>1978</v>
      </c>
      <c r="C12" s="793"/>
      <c r="D12" s="794"/>
      <c r="E12" s="794"/>
      <c r="F12" s="794"/>
      <c r="G12" s="794"/>
      <c r="H12" s="794"/>
      <c r="I12" s="794"/>
      <c r="J12" s="794"/>
      <c r="K12" s="794"/>
      <c r="L12" s="795"/>
      <c r="M12" s="796"/>
      <c r="N12" s="788"/>
      <c r="O12" s="790"/>
      <c r="P12" s="790"/>
      <c r="Q12" s="791"/>
      <c r="R12" s="792"/>
      <c r="S12" s="833"/>
      <c r="T12" s="574"/>
      <c r="U12" s="911"/>
      <c r="V12" s="911"/>
      <c r="W12" s="632"/>
      <c r="X12" s="911"/>
      <c r="Y12" s="911"/>
      <c r="Z12" s="632"/>
      <c r="AA12" s="632"/>
      <c r="AB12" s="632"/>
      <c r="AC12" s="632"/>
      <c r="AD12" s="632"/>
      <c r="AE12" s="632"/>
      <c r="AF12" s="632"/>
      <c r="AG12" s="632"/>
      <c r="AH12" s="632"/>
      <c r="AI12" s="632"/>
      <c r="AJ12" s="632"/>
      <c r="AK12" s="632"/>
      <c r="AL12" s="632"/>
      <c r="AM12" s="632"/>
      <c r="AN12" s="632"/>
      <c r="AO12" s="632"/>
      <c r="AP12" s="632"/>
      <c r="AQ12" s="632"/>
      <c r="AR12" s="632"/>
    </row>
    <row r="13" spans="1:44" s="15" customFormat="1" ht="13.8" thickBot="1">
      <c r="A13" s="917"/>
      <c r="B13" s="803"/>
      <c r="C13" s="813">
        <v>100</v>
      </c>
      <c r="D13" s="814">
        <f t="shared" ref="D13:M13" si="10">C13-$T$12</f>
        <v>100</v>
      </c>
      <c r="E13" s="814">
        <f t="shared" si="10"/>
        <v>100</v>
      </c>
      <c r="F13" s="814">
        <f t="shared" si="10"/>
        <v>100</v>
      </c>
      <c r="G13" s="814">
        <f t="shared" si="10"/>
        <v>100</v>
      </c>
      <c r="H13" s="814">
        <f t="shared" si="10"/>
        <v>100</v>
      </c>
      <c r="I13" s="814">
        <f t="shared" si="10"/>
        <v>100</v>
      </c>
      <c r="J13" s="814">
        <f t="shared" si="10"/>
        <v>100</v>
      </c>
      <c r="K13" s="814">
        <f t="shared" si="10"/>
        <v>100</v>
      </c>
      <c r="L13" s="814">
        <f t="shared" si="10"/>
        <v>100</v>
      </c>
      <c r="M13" s="815">
        <f t="shared" si="10"/>
        <v>100</v>
      </c>
      <c r="N13" s="815">
        <f t="shared" ref="N13:S13" si="11">M13-$T$12</f>
        <v>100</v>
      </c>
      <c r="O13" s="814">
        <f t="shared" si="11"/>
        <v>100</v>
      </c>
      <c r="P13" s="814">
        <f t="shared" si="11"/>
        <v>100</v>
      </c>
      <c r="Q13" s="814">
        <f t="shared" si="11"/>
        <v>100</v>
      </c>
      <c r="R13" s="814">
        <f t="shared" si="11"/>
        <v>100</v>
      </c>
      <c r="S13" s="834">
        <f t="shared" si="11"/>
        <v>100</v>
      </c>
      <c r="T13" s="575"/>
      <c r="U13" s="911"/>
      <c r="V13" s="911"/>
      <c r="W13" s="632"/>
      <c r="X13" s="911"/>
      <c r="Y13" s="911"/>
      <c r="Z13" s="632"/>
      <c r="AA13" s="632"/>
      <c r="AB13" s="632"/>
      <c r="AC13" s="632"/>
      <c r="AD13" s="632"/>
      <c r="AE13" s="632"/>
      <c r="AF13" s="632"/>
      <c r="AG13" s="632"/>
      <c r="AH13" s="632"/>
      <c r="AI13" s="632"/>
      <c r="AJ13" s="632"/>
      <c r="AK13" s="632"/>
      <c r="AL13" s="632"/>
      <c r="AM13" s="632"/>
      <c r="AN13" s="632"/>
      <c r="AO13" s="632"/>
      <c r="AP13" s="632"/>
      <c r="AQ13" s="632"/>
      <c r="AR13" s="632"/>
    </row>
    <row r="14" spans="1:44" s="15" customFormat="1">
      <c r="A14" s="917"/>
      <c r="B14" s="816" t="s">
        <v>1979</v>
      </c>
      <c r="C14" s="808"/>
      <c r="D14" s="809"/>
      <c r="E14" s="809"/>
      <c r="F14" s="809"/>
      <c r="G14" s="809"/>
      <c r="H14" s="809"/>
      <c r="I14" s="809"/>
      <c r="J14" s="809"/>
      <c r="K14" s="809"/>
      <c r="L14" s="809"/>
      <c r="M14" s="811"/>
      <c r="N14" s="817"/>
      <c r="O14" s="818"/>
      <c r="P14" s="818"/>
      <c r="Q14" s="819"/>
      <c r="R14" s="820"/>
      <c r="S14" s="835"/>
      <c r="T14" s="812"/>
      <c r="U14" s="911"/>
      <c r="V14" s="911"/>
      <c r="W14" s="632"/>
      <c r="X14" s="911"/>
      <c r="Y14" s="911"/>
      <c r="Z14" s="632"/>
      <c r="AA14" s="632"/>
      <c r="AB14" s="632"/>
      <c r="AC14" s="632"/>
      <c r="AD14" s="632"/>
      <c r="AE14" s="632"/>
      <c r="AF14" s="632"/>
      <c r="AG14" s="632"/>
      <c r="AH14" s="632"/>
      <c r="AI14" s="632"/>
      <c r="AJ14" s="632"/>
      <c r="AK14" s="632"/>
      <c r="AL14" s="632"/>
      <c r="AM14" s="632"/>
      <c r="AN14" s="632"/>
      <c r="AO14" s="632"/>
      <c r="AP14" s="632"/>
      <c r="AQ14" s="632"/>
      <c r="AR14" s="632"/>
    </row>
    <row r="15" spans="1:44" s="15" customFormat="1" ht="13.8" thickBot="1">
      <c r="A15" s="917"/>
      <c r="B15" s="798"/>
      <c r="C15" s="799">
        <v>100</v>
      </c>
      <c r="D15" s="800">
        <f t="shared" ref="D15:M15" si="12">C15-$T$14</f>
        <v>100</v>
      </c>
      <c r="E15" s="800">
        <f t="shared" si="12"/>
        <v>100</v>
      </c>
      <c r="F15" s="800">
        <f t="shared" si="12"/>
        <v>100</v>
      </c>
      <c r="G15" s="800">
        <f t="shared" si="12"/>
        <v>100</v>
      </c>
      <c r="H15" s="800">
        <f t="shared" si="12"/>
        <v>100</v>
      </c>
      <c r="I15" s="800">
        <f t="shared" si="12"/>
        <v>100</v>
      </c>
      <c r="J15" s="800">
        <f t="shared" si="12"/>
        <v>100</v>
      </c>
      <c r="K15" s="800">
        <f t="shared" si="12"/>
        <v>100</v>
      </c>
      <c r="L15" s="800">
        <f t="shared" si="12"/>
        <v>100</v>
      </c>
      <c r="M15" s="801">
        <f t="shared" si="12"/>
        <v>100</v>
      </c>
      <c r="N15" s="801">
        <f t="shared" ref="N15:S15" si="13">M15-$T$14</f>
        <v>100</v>
      </c>
      <c r="O15" s="800">
        <f t="shared" si="13"/>
        <v>100</v>
      </c>
      <c r="P15" s="800">
        <f t="shared" si="13"/>
        <v>100</v>
      </c>
      <c r="Q15" s="800">
        <f t="shared" si="13"/>
        <v>100</v>
      </c>
      <c r="R15" s="800">
        <f t="shared" si="13"/>
        <v>100</v>
      </c>
      <c r="S15" s="832">
        <f t="shared" si="13"/>
        <v>100</v>
      </c>
      <c r="T15" s="802"/>
      <c r="U15" s="911"/>
      <c r="V15" s="911"/>
      <c r="W15" s="632"/>
      <c r="X15" s="911"/>
      <c r="Y15" s="911"/>
      <c r="Z15" s="632"/>
      <c r="AA15" s="632"/>
      <c r="AB15" s="632"/>
      <c r="AC15" s="632"/>
      <c r="AD15" s="632"/>
      <c r="AE15" s="632"/>
      <c r="AF15" s="632"/>
      <c r="AG15" s="632"/>
      <c r="AH15" s="632"/>
      <c r="AI15" s="632"/>
      <c r="AJ15" s="632"/>
      <c r="AK15" s="632"/>
      <c r="AL15" s="632"/>
      <c r="AM15" s="632"/>
      <c r="AN15" s="632"/>
      <c r="AO15" s="632"/>
      <c r="AP15" s="632"/>
      <c r="AQ15" s="632"/>
      <c r="AR15" s="632"/>
    </row>
    <row r="16" spans="1:44" s="15" customFormat="1">
      <c r="A16" s="917"/>
      <c r="B16" s="816" t="s">
        <v>1980</v>
      </c>
      <c r="C16" s="808"/>
      <c r="D16" s="809"/>
      <c r="E16" s="809"/>
      <c r="F16" s="809"/>
      <c r="G16" s="809"/>
      <c r="H16" s="809"/>
      <c r="I16" s="809"/>
      <c r="J16" s="809"/>
      <c r="K16" s="809"/>
      <c r="L16" s="809"/>
      <c r="M16" s="811"/>
      <c r="N16" s="817"/>
      <c r="O16" s="818"/>
      <c r="P16" s="818"/>
      <c r="Q16" s="819"/>
      <c r="R16" s="820"/>
      <c r="S16" s="835"/>
      <c r="T16" s="827"/>
      <c r="U16" s="911"/>
      <c r="V16" s="911"/>
      <c r="W16" s="632"/>
      <c r="X16" s="911"/>
      <c r="Y16" s="911"/>
      <c r="Z16" s="632"/>
      <c r="AA16" s="632"/>
      <c r="AB16" s="632"/>
      <c r="AC16" s="632"/>
      <c r="AD16" s="632"/>
      <c r="AE16" s="632"/>
      <c r="AF16" s="632"/>
      <c r="AG16" s="632"/>
      <c r="AH16" s="632"/>
      <c r="AI16" s="632"/>
      <c r="AJ16" s="632"/>
      <c r="AK16" s="632"/>
      <c r="AL16" s="632"/>
      <c r="AM16" s="632"/>
      <c r="AN16" s="632"/>
      <c r="AO16" s="632"/>
      <c r="AP16" s="632"/>
      <c r="AQ16" s="632"/>
      <c r="AR16" s="632"/>
    </row>
    <row r="17" spans="1:45" s="15" customFormat="1" ht="13.8" thickBot="1">
      <c r="A17" s="917"/>
      <c r="B17" s="798"/>
      <c r="C17" s="824"/>
      <c r="D17" s="825"/>
      <c r="E17" s="825"/>
      <c r="F17" s="825"/>
      <c r="G17" s="825"/>
      <c r="H17" s="825"/>
      <c r="I17" s="825"/>
      <c r="J17" s="825"/>
      <c r="K17" s="825"/>
      <c r="L17" s="825"/>
      <c r="M17" s="826"/>
      <c r="N17" s="826"/>
      <c r="O17" s="825"/>
      <c r="P17" s="825"/>
      <c r="Q17" s="825"/>
      <c r="R17" s="825"/>
      <c r="S17" s="836"/>
      <c r="T17" s="802"/>
      <c r="U17" s="911"/>
      <c r="V17" s="911"/>
      <c r="W17" s="632"/>
      <c r="X17" s="911"/>
      <c r="Y17" s="911"/>
      <c r="Z17" s="632"/>
      <c r="AA17" s="632"/>
      <c r="AB17" s="632"/>
      <c r="AC17" s="632"/>
      <c r="AD17" s="632"/>
      <c r="AE17" s="632"/>
      <c r="AF17" s="632"/>
      <c r="AG17" s="632"/>
      <c r="AH17" s="632"/>
      <c r="AI17" s="632"/>
      <c r="AJ17" s="632"/>
      <c r="AK17" s="632"/>
      <c r="AL17" s="632"/>
      <c r="AM17" s="632"/>
      <c r="AN17" s="632"/>
      <c r="AO17" s="632"/>
      <c r="AP17" s="632"/>
      <c r="AQ17" s="632"/>
      <c r="AR17" s="632"/>
    </row>
    <row r="18" spans="1:45" s="15" customFormat="1">
      <c r="A18" s="917"/>
      <c r="B18" s="816" t="s">
        <v>1981</v>
      </c>
      <c r="C18" s="808"/>
      <c r="D18" s="809"/>
      <c r="E18" s="809"/>
      <c r="F18" s="809"/>
      <c r="G18" s="809"/>
      <c r="H18" s="809"/>
      <c r="I18" s="809"/>
      <c r="J18" s="809"/>
      <c r="K18" s="809"/>
      <c r="L18" s="809"/>
      <c r="M18" s="811"/>
      <c r="N18" s="817"/>
      <c r="O18" s="818"/>
      <c r="P18" s="818"/>
      <c r="Q18" s="819"/>
      <c r="R18" s="820"/>
      <c r="S18" s="835"/>
      <c r="T18" s="827"/>
      <c r="U18" s="911"/>
      <c r="V18" s="911"/>
      <c r="W18" s="632"/>
      <c r="X18" s="911"/>
      <c r="Y18" s="911"/>
      <c r="Z18" s="632"/>
      <c r="AA18" s="632"/>
      <c r="AB18" s="632"/>
      <c r="AC18" s="632"/>
      <c r="AD18" s="632"/>
      <c r="AE18" s="632"/>
      <c r="AF18" s="632"/>
      <c r="AG18" s="632"/>
      <c r="AH18" s="632"/>
      <c r="AI18" s="632"/>
      <c r="AJ18" s="632"/>
      <c r="AK18" s="632"/>
      <c r="AL18" s="632"/>
      <c r="AM18" s="632"/>
      <c r="AN18" s="632"/>
      <c r="AO18" s="632"/>
      <c r="AP18" s="632"/>
      <c r="AQ18" s="632"/>
      <c r="AR18" s="632"/>
    </row>
    <row r="19" spans="1:45" s="15" customFormat="1" ht="13.8" thickBot="1">
      <c r="A19" s="917"/>
      <c r="B19" s="803"/>
      <c r="C19" s="804"/>
      <c r="D19" s="805"/>
      <c r="E19" s="805"/>
      <c r="F19" s="805"/>
      <c r="G19" s="805"/>
      <c r="H19" s="805"/>
      <c r="I19" s="805"/>
      <c r="J19" s="805"/>
      <c r="K19" s="805"/>
      <c r="L19" s="805"/>
      <c r="M19" s="806"/>
      <c r="N19" s="806"/>
      <c r="O19" s="805"/>
      <c r="P19" s="805"/>
      <c r="Q19" s="805"/>
      <c r="R19" s="805"/>
      <c r="S19" s="830"/>
      <c r="T19" s="575"/>
      <c r="U19" s="911"/>
      <c r="V19" s="911"/>
      <c r="W19" s="632"/>
      <c r="X19" s="911"/>
      <c r="Y19" s="911"/>
      <c r="Z19" s="632"/>
      <c r="AA19" s="632"/>
      <c r="AB19" s="632"/>
      <c r="AC19" s="632"/>
      <c r="AD19" s="632"/>
      <c r="AE19" s="632"/>
      <c r="AF19" s="632"/>
      <c r="AG19" s="632"/>
      <c r="AH19" s="632"/>
      <c r="AI19" s="632"/>
      <c r="AJ19" s="632"/>
      <c r="AK19" s="632"/>
      <c r="AL19" s="632"/>
      <c r="AM19" s="632"/>
      <c r="AN19" s="632"/>
      <c r="AO19" s="632"/>
      <c r="AP19" s="632"/>
      <c r="AQ19" s="632"/>
      <c r="AR19" s="632"/>
    </row>
    <row r="20" spans="1:45" s="15" customFormat="1">
      <c r="A20" s="1396" t="s">
        <v>1982</v>
      </c>
      <c r="B20" s="1397" t="s">
        <v>1983</v>
      </c>
      <c r="C20" s="918"/>
      <c r="D20" s="919"/>
      <c r="E20" s="919"/>
      <c r="F20" s="919"/>
      <c r="G20" s="919"/>
      <c r="H20" s="919"/>
      <c r="I20" s="919"/>
      <c r="J20" s="919"/>
      <c r="K20" s="919"/>
      <c r="L20" s="920"/>
      <c r="M20" s="921"/>
      <c r="N20" s="922"/>
      <c r="O20" s="923"/>
      <c r="P20" s="923"/>
      <c r="Q20" s="924"/>
      <c r="R20" s="925"/>
      <c r="S20" s="926"/>
      <c r="T20" s="926"/>
      <c r="U20" s="926"/>
      <c r="V20" s="926"/>
      <c r="W20" s="926"/>
      <c r="X20" s="926"/>
      <c r="Y20" s="926"/>
      <c r="Z20" s="926"/>
      <c r="AA20" s="926"/>
      <c r="AB20" s="926"/>
      <c r="AC20" s="926"/>
      <c r="AD20" s="926"/>
      <c r="AE20" s="926"/>
      <c r="AF20" s="926"/>
      <c r="AG20" s="926"/>
      <c r="AH20" s="926"/>
      <c r="AI20" s="926"/>
      <c r="AJ20" s="926"/>
      <c r="AK20" s="926"/>
      <c r="AL20" s="926"/>
      <c r="AM20" s="926"/>
      <c r="AN20" s="926"/>
      <c r="AO20" s="926"/>
      <c r="AP20" s="926"/>
      <c r="AQ20" s="926"/>
      <c r="AR20" s="926"/>
      <c r="AS20" s="926"/>
    </row>
    <row r="21" spans="1:45" s="15" customFormat="1" ht="13.8" thickBot="1">
      <c r="A21" s="927"/>
      <c r="B21" s="928"/>
      <c r="C21" s="929"/>
      <c r="D21" s="930"/>
      <c r="E21" s="930"/>
      <c r="F21" s="930"/>
      <c r="G21" s="930"/>
      <c r="H21" s="930"/>
      <c r="I21" s="930"/>
      <c r="J21" s="930"/>
      <c r="K21" s="930"/>
      <c r="L21" s="930"/>
      <c r="M21" s="931"/>
      <c r="N21" s="931"/>
      <c r="O21" s="930"/>
      <c r="P21" s="930"/>
      <c r="Q21" s="930"/>
      <c r="R21" s="930"/>
      <c r="S21" s="932"/>
      <c r="T21" s="932"/>
      <c r="U21" s="932"/>
      <c r="V21" s="932"/>
      <c r="W21" s="932"/>
      <c r="X21" s="932"/>
      <c r="Y21" s="932"/>
      <c r="Z21" s="932"/>
      <c r="AA21" s="932"/>
      <c r="AB21" s="932"/>
      <c r="AC21" s="932"/>
      <c r="AD21" s="932"/>
      <c r="AE21" s="932"/>
      <c r="AF21" s="932"/>
      <c r="AG21" s="932"/>
      <c r="AH21" s="932"/>
      <c r="AI21" s="932"/>
      <c r="AJ21" s="932"/>
      <c r="AK21" s="932"/>
      <c r="AL21" s="932"/>
      <c r="AM21" s="932"/>
      <c r="AN21" s="932"/>
      <c r="AO21" s="932"/>
      <c r="AP21" s="932"/>
      <c r="AQ21" s="932"/>
      <c r="AR21" s="932"/>
      <c r="AS21" s="932"/>
    </row>
    <row r="22" spans="1:45">
      <c r="A22" s="27"/>
      <c r="B22" s="33"/>
      <c r="C22" s="33"/>
      <c r="D22" s="33"/>
      <c r="E22" s="33"/>
      <c r="F22" s="1398" t="s">
        <v>1984</v>
      </c>
      <c r="G22" s="1193"/>
      <c r="H22" s="1193"/>
      <c r="I22" s="1193"/>
      <c r="J22" s="1194"/>
      <c r="K22" s="33"/>
      <c r="L22" s="33"/>
      <c r="M22" s="33"/>
      <c r="N22" s="33"/>
      <c r="O22" s="33"/>
      <c r="P22" s="33"/>
      <c r="Q22" s="33"/>
      <c r="R22" s="33"/>
      <c r="S22" s="27"/>
      <c r="T22" s="27"/>
      <c r="U22" s="910"/>
      <c r="V22" s="911"/>
      <c r="W22" s="632"/>
      <c r="X22" s="632"/>
      <c r="Y22" s="632"/>
      <c r="Z22" s="632"/>
    </row>
    <row r="23" spans="1:45" ht="16.2" thickBot="1">
      <c r="A23" s="77" t="s">
        <v>1985</v>
      </c>
      <c r="B23" s="220">
        <f>IF(F23="——",IF(C23="万元",T25,S25),IF(C23="万元",T25-H23,S25-H23))</f>
        <v>0</v>
      </c>
      <c r="C23" s="1399" t="str">
        <f>'数据-取费表'!B3</f>
        <v>元</v>
      </c>
      <c r="D23" s="33"/>
      <c r="E23" s="33"/>
      <c r="F23" s="1400" t="s">
        <v>1001</v>
      </c>
      <c r="G23" s="1195"/>
      <c r="H23" s="555" t="e">
        <f ca="1">SUMIF(INDIRECT("'"&amp;J23&amp;"'"&amp;"!A:A"),"承租人权益价值",INDIRECT("'"&amp;J23&amp;"'"&amp;"!c:c"))</f>
        <v>#REF!</v>
      </c>
      <c r="I23" s="555" t="str">
        <f>C2</f>
        <v>元</v>
      </c>
      <c r="J23" s="1401"/>
      <c r="K23" s="33"/>
      <c r="L23" s="33"/>
      <c r="M23" s="33"/>
      <c r="N23" s="33"/>
      <c r="O23" s="33"/>
      <c r="P23" s="33"/>
      <c r="Q23" s="33"/>
      <c r="R23" s="33"/>
      <c r="S23" s="27"/>
      <c r="T23" s="27"/>
      <c r="U23" s="910"/>
      <c r="V23" s="911"/>
      <c r="W23" s="632"/>
      <c r="X23" s="632"/>
      <c r="Y23" s="632"/>
      <c r="Z23" s="632"/>
    </row>
    <row r="24" spans="1:45" ht="15.6">
      <c r="A24" s="1399" t="s">
        <v>1986</v>
      </c>
      <c r="B24" s="220" t="e">
        <f>ROUND(B23*10000/B25,0)</f>
        <v>#DIV/0!</v>
      </c>
      <c r="C24" s="786"/>
      <c r="D24" s="33"/>
      <c r="E24" s="33"/>
      <c r="F24" s="33"/>
      <c r="G24" s="33"/>
      <c r="H24" s="33"/>
      <c r="I24" s="33"/>
      <c r="J24" s="33"/>
      <c r="K24" s="33"/>
      <c r="L24" s="33"/>
      <c r="M24" s="33"/>
      <c r="N24" s="33"/>
      <c r="O24" s="33"/>
      <c r="P24" s="33"/>
      <c r="Q24" s="33"/>
      <c r="R24" s="33"/>
      <c r="S24" s="12" t="s">
        <v>1987</v>
      </c>
      <c r="T24" s="1200" t="s">
        <v>1988</v>
      </c>
      <c r="U24" s="2026" t="s">
        <v>1989</v>
      </c>
      <c r="V24" s="2686"/>
      <c r="W24" s="2687" t="s">
        <v>1990</v>
      </c>
      <c r="X24" s="2026" t="s">
        <v>1991</v>
      </c>
      <c r="Y24" s="2686"/>
      <c r="Z24" s="2688" t="s">
        <v>1990</v>
      </c>
    </row>
    <row r="25" spans="1:45">
      <c r="A25" s="246" t="s">
        <v>1992</v>
      </c>
      <c r="B25" s="12">
        <f>SUM(B27:B10000)</f>
        <v>0</v>
      </c>
      <c r="C25" s="3312" t="s">
        <v>45</v>
      </c>
      <c r="D25" s="3313"/>
      <c r="E25" s="3313"/>
      <c r="F25" s="3313"/>
      <c r="G25" s="3313"/>
      <c r="H25" s="3313"/>
      <c r="I25" s="3313"/>
      <c r="J25" s="3313"/>
      <c r="K25" s="3313"/>
      <c r="L25" s="3313"/>
      <c r="M25" s="3313"/>
      <c r="N25" s="3313"/>
      <c r="O25" s="3313"/>
      <c r="P25" s="3313"/>
      <c r="Q25" s="3314"/>
      <c r="R25" s="12" t="e">
        <f>IF(C23="万元",ROUND(T25*10000/B25,0),ROUND(S25/B25,0))</f>
        <v>#DIV/0!</v>
      </c>
      <c r="S25" s="12">
        <f>SUM(S27:S10000)</f>
        <v>0</v>
      </c>
      <c r="T25" s="12">
        <f>SUM(T27:T10000)</f>
        <v>0</v>
      </c>
      <c r="U25" s="16">
        <f>SUM(U27:U10000)</f>
        <v>0</v>
      </c>
      <c r="V25" s="16">
        <f>SUM(V27:V10000)</f>
        <v>0</v>
      </c>
      <c r="W25" s="19"/>
      <c r="X25" s="16">
        <f>SUM(X27:X10000)</f>
        <v>0</v>
      </c>
      <c r="Y25" s="16">
        <f>SUM(Y27:Y10000)</f>
        <v>0</v>
      </c>
      <c r="Z25" s="909"/>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3" t="s">
        <v>1998</v>
      </c>
      <c r="V26" s="653" t="s">
        <v>1999</v>
      </c>
      <c r="W26" s="9" t="s">
        <v>2000</v>
      </c>
      <c r="X26" s="653" t="s">
        <v>1998</v>
      </c>
      <c r="Y26" s="653" t="s">
        <v>1999</v>
      </c>
      <c r="Z26" s="9" t="s">
        <v>2000</v>
      </c>
      <c r="AA26" s="633"/>
      <c r="AB26" s="633"/>
      <c r="AC26" s="633"/>
      <c r="AD26" s="633"/>
      <c r="AE26" s="633"/>
      <c r="AF26" s="633"/>
      <c r="AG26" s="633"/>
      <c r="AH26" s="633"/>
      <c r="AI26" s="633"/>
      <c r="AJ26" s="633"/>
      <c r="AK26" s="633"/>
      <c r="AL26" s="633"/>
      <c r="AM26" s="633"/>
      <c r="AN26" s="633"/>
      <c r="AO26" s="633"/>
      <c r="AP26" s="633"/>
      <c r="AQ26" s="633"/>
      <c r="AR26" s="633"/>
    </row>
    <row r="27" spans="1:45" s="579" customFormat="1">
      <c r="A27" s="576" t="s">
        <v>2001</v>
      </c>
      <c r="B27" s="577">
        <f>'数据-取费表'!E5</f>
        <v>0</v>
      </c>
      <c r="C27" s="821">
        <v>1</v>
      </c>
      <c r="D27" s="578"/>
      <c r="E27" s="821">
        <v>1</v>
      </c>
      <c r="F27" s="578"/>
      <c r="G27" s="821">
        <v>1</v>
      </c>
      <c r="H27" s="578"/>
      <c r="I27" s="821">
        <v>1</v>
      </c>
      <c r="J27" s="578"/>
      <c r="K27" s="821">
        <v>1</v>
      </c>
      <c r="L27" s="578"/>
      <c r="M27" s="821">
        <v>1</v>
      </c>
      <c r="N27" s="578"/>
      <c r="O27" s="821">
        <v>1</v>
      </c>
      <c r="P27" s="578"/>
      <c r="Q27" s="821">
        <v>1</v>
      </c>
      <c r="R27" s="576"/>
      <c r="S27" s="577">
        <f>ROUND(R27*B27,0)</f>
        <v>0</v>
      </c>
      <c r="T27" s="577">
        <f>ROUND(R27*B27/10000,0)</f>
        <v>0</v>
      </c>
      <c r="U27" s="2689">
        <f>ROUND(W27*B27,0)</f>
        <v>0</v>
      </c>
      <c r="V27" s="2689">
        <f>ROUND(W27*B27/10000,0)</f>
        <v>0</v>
      </c>
      <c r="W27" s="908"/>
      <c r="X27" s="2689">
        <f>ROUND(Z27*B27,0)</f>
        <v>0</v>
      </c>
      <c r="Y27" s="2689">
        <f>ROUND(Z27*B27/10000,0)</f>
        <v>0</v>
      </c>
      <c r="Z27" s="908"/>
      <c r="AA27" s="634"/>
      <c r="AB27" s="634"/>
      <c r="AC27" s="634"/>
      <c r="AD27" s="634"/>
      <c r="AE27" s="634"/>
      <c r="AF27" s="634"/>
      <c r="AG27" s="634"/>
      <c r="AH27" s="634"/>
      <c r="AI27" s="634"/>
      <c r="AJ27" s="634"/>
      <c r="AK27" s="634"/>
      <c r="AL27" s="634"/>
      <c r="AM27" s="634"/>
      <c r="AN27" s="634"/>
      <c r="AO27" s="634"/>
      <c r="AP27" s="634"/>
      <c r="AQ27" s="634"/>
      <c r="AR27" s="634"/>
    </row>
    <row r="28" spans="1:45">
      <c r="A28" s="31"/>
      <c r="B28" s="19"/>
      <c r="C28" s="12">
        <f t="shared" ref="C28:C91" si="14">IF(B28="",1,(LOOKUP(B28,$6:$6,$7:$7)-LOOKUP($B$27,$6:$6,$7:$7)+100)/100)</f>
        <v>1</v>
      </c>
      <c r="D28" s="578"/>
      <c r="E28" s="12">
        <f t="shared" ref="E28:E91" si="15">(SUMIF($8:$8,D28,$9:$9)-SUMIF($8:$8,$D$27,$9:$9)+100)/100</f>
        <v>1</v>
      </c>
      <c r="F28" s="578"/>
      <c r="G28" s="12">
        <f t="shared" ref="G28:G91" si="16">(SUMIF($10:$10,F28,$11:$11)-SUMIF($10:$10,$F$27,$11:$11)+100)/100</f>
        <v>1</v>
      </c>
      <c r="H28" s="578"/>
      <c r="I28" s="12">
        <f t="shared" ref="I28:I91" si="17">(SUMIF($12:$12,H28,$13:$13)-SUMIF($12:$12,$H$27,$13:$13)+100)/100</f>
        <v>1</v>
      </c>
      <c r="J28" s="578"/>
      <c r="K28" s="12">
        <f t="shared" ref="K28:K91" si="18">(SUMIF($14:$14,J28,$15:$15)-SUMIF($14:$14,$J$27,$15:$15)+100)/100</f>
        <v>1</v>
      </c>
      <c r="L28" s="578"/>
      <c r="M28" s="12">
        <f t="shared" ref="M28:M91" si="19">(SUMIF($16:$16,L28,$17:$17)-SUMIF($16:$16,$L$27,$17:$17)+100)/100</f>
        <v>1</v>
      </c>
      <c r="N28" s="578"/>
      <c r="O28" s="12">
        <f t="shared" ref="O28:O91" si="20">(SUMIF($18:$18,N28,$19:$19)-SUMIF($18:$18,$N$27,$19:$19)+100)/100</f>
        <v>1</v>
      </c>
      <c r="P28" s="578"/>
      <c r="Q28" s="12">
        <f t="shared" ref="Q28:Q91" si="21">(SUMIF($20:$20,P28,$21:$21)-SUMIF($20:$20,$P$27,$21:$21)+100)/100</f>
        <v>1</v>
      </c>
      <c r="R28" s="12">
        <f>IF(B28="",0,ROUND($R$27*C28*E28*G28*I28*K28*M28*O28*Q28,0))</f>
        <v>0</v>
      </c>
      <c r="S28" s="246">
        <f>ROUND(R28*B28,0)</f>
        <v>0</v>
      </c>
      <c r="T28" s="821">
        <f>ROUND(R28*B28/10000,0)</f>
        <v>0</v>
      </c>
      <c r="U28" s="2689">
        <f t="shared" ref="U28:U91" si="22">ROUND(W28*B28,0)</f>
        <v>0</v>
      </c>
      <c r="V28" s="2689">
        <f t="shared" ref="V28:V91" si="23">ROUND(W28*B28/10000,0)</f>
        <v>0</v>
      </c>
      <c r="W28" s="909"/>
      <c r="X28" s="2689">
        <f t="shared" ref="X28:X91" si="24">ROUND(Z28*B28,0)</f>
        <v>0</v>
      </c>
      <c r="Y28" s="2689">
        <f t="shared" ref="Y28:Y91" si="25">ROUND(Z28*B28/10000,0)</f>
        <v>0</v>
      </c>
      <c r="Z28" s="909"/>
    </row>
    <row r="29" spans="1:45">
      <c r="A29" s="31"/>
      <c r="B29" s="19"/>
      <c r="C29" s="12">
        <f t="shared" si="14"/>
        <v>1</v>
      </c>
      <c r="D29" s="578"/>
      <c r="E29" s="12">
        <f t="shared" si="15"/>
        <v>1</v>
      </c>
      <c r="F29" s="578"/>
      <c r="G29" s="12">
        <f t="shared" si="16"/>
        <v>1</v>
      </c>
      <c r="H29" s="578"/>
      <c r="I29" s="12">
        <f t="shared" si="17"/>
        <v>1</v>
      </c>
      <c r="J29" s="578"/>
      <c r="K29" s="12">
        <f t="shared" si="18"/>
        <v>1</v>
      </c>
      <c r="L29" s="578"/>
      <c r="M29" s="12">
        <f t="shared" si="19"/>
        <v>1</v>
      </c>
      <c r="N29" s="578"/>
      <c r="O29" s="12">
        <f t="shared" si="20"/>
        <v>1</v>
      </c>
      <c r="P29" s="578"/>
      <c r="Q29" s="12">
        <f t="shared" si="21"/>
        <v>1</v>
      </c>
      <c r="R29" s="12">
        <f t="shared" ref="R29:R92" si="26">IF(B29="",0,ROUND($R$27*C29*E29*G29*I29*K29*M29*O29*Q29,0))</f>
        <v>0</v>
      </c>
      <c r="S29" s="246">
        <f t="shared" ref="S29:S92" si="27">ROUND(R29*B29,0)</f>
        <v>0</v>
      </c>
      <c r="T29" s="821">
        <f t="shared" ref="T29:T92" si="28">ROUND(R29*B29/10000,0)</f>
        <v>0</v>
      </c>
      <c r="U29" s="2689">
        <f t="shared" si="22"/>
        <v>0</v>
      </c>
      <c r="V29" s="2689">
        <f t="shared" si="23"/>
        <v>0</v>
      </c>
      <c r="W29" s="909"/>
      <c r="X29" s="2689">
        <f t="shared" si="24"/>
        <v>0</v>
      </c>
      <c r="Y29" s="2689">
        <f t="shared" si="25"/>
        <v>0</v>
      </c>
      <c r="Z29" s="909"/>
    </row>
    <row r="30" spans="1:45">
      <c r="A30" s="31"/>
      <c r="B30" s="19"/>
      <c r="C30" s="12">
        <f t="shared" si="14"/>
        <v>1</v>
      </c>
      <c r="D30" s="578"/>
      <c r="E30" s="12">
        <f t="shared" si="15"/>
        <v>1</v>
      </c>
      <c r="F30" s="578"/>
      <c r="G30" s="12">
        <f t="shared" si="16"/>
        <v>1</v>
      </c>
      <c r="H30" s="578"/>
      <c r="I30" s="12">
        <f t="shared" si="17"/>
        <v>1</v>
      </c>
      <c r="J30" s="578"/>
      <c r="K30" s="12">
        <f t="shared" si="18"/>
        <v>1</v>
      </c>
      <c r="L30" s="578"/>
      <c r="M30" s="12">
        <f t="shared" si="19"/>
        <v>1</v>
      </c>
      <c r="N30" s="578"/>
      <c r="O30" s="12">
        <f t="shared" si="20"/>
        <v>1</v>
      </c>
      <c r="P30" s="578"/>
      <c r="Q30" s="12">
        <f t="shared" si="21"/>
        <v>1</v>
      </c>
      <c r="R30" s="12">
        <f t="shared" si="26"/>
        <v>0</v>
      </c>
      <c r="S30" s="246">
        <f t="shared" si="27"/>
        <v>0</v>
      </c>
      <c r="T30" s="821">
        <f t="shared" si="28"/>
        <v>0</v>
      </c>
      <c r="U30" s="2689">
        <f t="shared" si="22"/>
        <v>0</v>
      </c>
      <c r="V30" s="2689">
        <f t="shared" si="23"/>
        <v>0</v>
      </c>
      <c r="W30" s="909"/>
      <c r="X30" s="2689">
        <f t="shared" si="24"/>
        <v>0</v>
      </c>
      <c r="Y30" s="2689">
        <f t="shared" si="25"/>
        <v>0</v>
      </c>
      <c r="Z30" s="909"/>
    </row>
    <row r="31" spans="1:45">
      <c r="A31" s="31"/>
      <c r="B31" s="19"/>
      <c r="C31" s="12">
        <f t="shared" si="14"/>
        <v>1</v>
      </c>
      <c r="D31" s="578"/>
      <c r="E31" s="12">
        <f t="shared" si="15"/>
        <v>1</v>
      </c>
      <c r="F31" s="578"/>
      <c r="G31" s="12">
        <f t="shared" si="16"/>
        <v>1</v>
      </c>
      <c r="H31" s="578"/>
      <c r="I31" s="12">
        <f t="shared" si="17"/>
        <v>1</v>
      </c>
      <c r="J31" s="578"/>
      <c r="K31" s="12">
        <f t="shared" si="18"/>
        <v>1</v>
      </c>
      <c r="L31" s="578"/>
      <c r="M31" s="12">
        <f t="shared" si="19"/>
        <v>1</v>
      </c>
      <c r="N31" s="578"/>
      <c r="O31" s="12">
        <f t="shared" si="20"/>
        <v>1</v>
      </c>
      <c r="P31" s="578"/>
      <c r="Q31" s="12">
        <f t="shared" si="21"/>
        <v>1</v>
      </c>
      <c r="R31" s="12">
        <f t="shared" si="26"/>
        <v>0</v>
      </c>
      <c r="S31" s="246">
        <f t="shared" si="27"/>
        <v>0</v>
      </c>
      <c r="T31" s="821">
        <f t="shared" si="28"/>
        <v>0</v>
      </c>
      <c r="U31" s="2689">
        <f t="shared" si="22"/>
        <v>0</v>
      </c>
      <c r="V31" s="2689">
        <f t="shared" si="23"/>
        <v>0</v>
      </c>
      <c r="W31" s="909"/>
      <c r="X31" s="2689">
        <f t="shared" si="24"/>
        <v>0</v>
      </c>
      <c r="Y31" s="2689">
        <f t="shared" si="25"/>
        <v>0</v>
      </c>
      <c r="Z31" s="909"/>
    </row>
    <row r="32" spans="1:45">
      <c r="A32" s="31"/>
      <c r="B32" s="19"/>
      <c r="C32" s="12">
        <f t="shared" si="14"/>
        <v>1</v>
      </c>
      <c r="D32" s="578"/>
      <c r="E32" s="12">
        <f t="shared" si="15"/>
        <v>1</v>
      </c>
      <c r="F32" s="578"/>
      <c r="G32" s="12">
        <f t="shared" si="16"/>
        <v>1</v>
      </c>
      <c r="H32" s="578"/>
      <c r="I32" s="12">
        <f t="shared" si="17"/>
        <v>1</v>
      </c>
      <c r="J32" s="578"/>
      <c r="K32" s="12">
        <f t="shared" si="18"/>
        <v>1</v>
      </c>
      <c r="L32" s="578"/>
      <c r="M32" s="12">
        <f t="shared" si="19"/>
        <v>1</v>
      </c>
      <c r="N32" s="578"/>
      <c r="O32" s="12">
        <f t="shared" si="20"/>
        <v>1</v>
      </c>
      <c r="P32" s="578"/>
      <c r="Q32" s="12">
        <f t="shared" si="21"/>
        <v>1</v>
      </c>
      <c r="R32" s="12">
        <f t="shared" si="26"/>
        <v>0</v>
      </c>
      <c r="S32" s="246">
        <f t="shared" si="27"/>
        <v>0</v>
      </c>
      <c r="T32" s="821">
        <f t="shared" si="28"/>
        <v>0</v>
      </c>
      <c r="U32" s="2689">
        <f t="shared" si="22"/>
        <v>0</v>
      </c>
      <c r="V32" s="2689">
        <f t="shared" si="23"/>
        <v>0</v>
      </c>
      <c r="W32" s="909"/>
      <c r="X32" s="2689">
        <f t="shared" si="24"/>
        <v>0</v>
      </c>
      <c r="Y32" s="2689">
        <f t="shared" si="25"/>
        <v>0</v>
      </c>
      <c r="Z32" s="909"/>
    </row>
    <row r="33" spans="1:26">
      <c r="A33" s="31"/>
      <c r="B33" s="19"/>
      <c r="C33" s="12">
        <f t="shared" si="14"/>
        <v>1</v>
      </c>
      <c r="D33" s="578"/>
      <c r="E33" s="12">
        <f t="shared" si="15"/>
        <v>1</v>
      </c>
      <c r="F33" s="578"/>
      <c r="G33" s="12">
        <f t="shared" si="16"/>
        <v>1</v>
      </c>
      <c r="H33" s="578"/>
      <c r="I33" s="12">
        <f t="shared" si="17"/>
        <v>1</v>
      </c>
      <c r="J33" s="578"/>
      <c r="K33" s="12">
        <f t="shared" si="18"/>
        <v>1</v>
      </c>
      <c r="L33" s="578"/>
      <c r="M33" s="12">
        <f t="shared" si="19"/>
        <v>1</v>
      </c>
      <c r="N33" s="578"/>
      <c r="O33" s="12">
        <f t="shared" si="20"/>
        <v>1</v>
      </c>
      <c r="P33" s="578"/>
      <c r="Q33" s="12">
        <f t="shared" si="21"/>
        <v>1</v>
      </c>
      <c r="R33" s="12">
        <f t="shared" si="26"/>
        <v>0</v>
      </c>
      <c r="S33" s="246">
        <f t="shared" si="27"/>
        <v>0</v>
      </c>
      <c r="T33" s="821">
        <f t="shared" si="28"/>
        <v>0</v>
      </c>
      <c r="U33" s="2689">
        <f t="shared" si="22"/>
        <v>0</v>
      </c>
      <c r="V33" s="2689">
        <f t="shared" si="23"/>
        <v>0</v>
      </c>
      <c r="W33" s="909"/>
      <c r="X33" s="2689">
        <f t="shared" si="24"/>
        <v>0</v>
      </c>
      <c r="Y33" s="2689">
        <f t="shared" si="25"/>
        <v>0</v>
      </c>
      <c r="Z33" s="909"/>
    </row>
    <row r="34" spans="1:26">
      <c r="A34" s="31"/>
      <c r="B34" s="19"/>
      <c r="C34" s="12">
        <f t="shared" si="14"/>
        <v>1</v>
      </c>
      <c r="D34" s="578"/>
      <c r="E34" s="12">
        <f t="shared" si="15"/>
        <v>1</v>
      </c>
      <c r="F34" s="578"/>
      <c r="G34" s="12">
        <f t="shared" si="16"/>
        <v>1</v>
      </c>
      <c r="H34" s="578"/>
      <c r="I34" s="12">
        <f t="shared" si="17"/>
        <v>1</v>
      </c>
      <c r="J34" s="578"/>
      <c r="K34" s="12">
        <f t="shared" si="18"/>
        <v>1</v>
      </c>
      <c r="L34" s="578"/>
      <c r="M34" s="12">
        <f t="shared" si="19"/>
        <v>1</v>
      </c>
      <c r="N34" s="578"/>
      <c r="O34" s="12">
        <f t="shared" si="20"/>
        <v>1</v>
      </c>
      <c r="P34" s="578"/>
      <c r="Q34" s="12">
        <f t="shared" si="21"/>
        <v>1</v>
      </c>
      <c r="R34" s="12">
        <f t="shared" si="26"/>
        <v>0</v>
      </c>
      <c r="S34" s="246">
        <f t="shared" si="27"/>
        <v>0</v>
      </c>
      <c r="T34" s="821">
        <f t="shared" si="28"/>
        <v>0</v>
      </c>
      <c r="U34" s="2689">
        <f t="shared" si="22"/>
        <v>0</v>
      </c>
      <c r="V34" s="2689">
        <f t="shared" si="23"/>
        <v>0</v>
      </c>
      <c r="W34" s="909"/>
      <c r="X34" s="2689">
        <f t="shared" si="24"/>
        <v>0</v>
      </c>
      <c r="Y34" s="2689">
        <f t="shared" si="25"/>
        <v>0</v>
      </c>
      <c r="Z34" s="909"/>
    </row>
    <row r="35" spans="1:26">
      <c r="A35" s="31"/>
      <c r="B35" s="19"/>
      <c r="C35" s="12">
        <f t="shared" si="14"/>
        <v>1</v>
      </c>
      <c r="D35" s="578"/>
      <c r="E35" s="12">
        <f t="shared" si="15"/>
        <v>1</v>
      </c>
      <c r="F35" s="578"/>
      <c r="G35" s="12">
        <f t="shared" si="16"/>
        <v>1</v>
      </c>
      <c r="H35" s="578"/>
      <c r="I35" s="12">
        <f t="shared" si="17"/>
        <v>1</v>
      </c>
      <c r="J35" s="578"/>
      <c r="K35" s="12">
        <f t="shared" si="18"/>
        <v>1</v>
      </c>
      <c r="L35" s="578"/>
      <c r="M35" s="12">
        <f t="shared" si="19"/>
        <v>1</v>
      </c>
      <c r="N35" s="578"/>
      <c r="O35" s="12">
        <f t="shared" si="20"/>
        <v>1</v>
      </c>
      <c r="P35" s="578"/>
      <c r="Q35" s="12">
        <f t="shared" si="21"/>
        <v>1</v>
      </c>
      <c r="R35" s="12">
        <f t="shared" si="26"/>
        <v>0</v>
      </c>
      <c r="S35" s="246">
        <f t="shared" si="27"/>
        <v>0</v>
      </c>
      <c r="T35" s="821">
        <f t="shared" si="28"/>
        <v>0</v>
      </c>
      <c r="U35" s="2689">
        <f t="shared" si="22"/>
        <v>0</v>
      </c>
      <c r="V35" s="2689">
        <f t="shared" si="23"/>
        <v>0</v>
      </c>
      <c r="W35" s="909"/>
      <c r="X35" s="2689">
        <f t="shared" si="24"/>
        <v>0</v>
      </c>
      <c r="Y35" s="2689">
        <f t="shared" si="25"/>
        <v>0</v>
      </c>
      <c r="Z35" s="909"/>
    </row>
    <row r="36" spans="1:26">
      <c r="A36" s="31"/>
      <c r="B36" s="19"/>
      <c r="C36" s="12">
        <f t="shared" si="14"/>
        <v>1</v>
      </c>
      <c r="D36" s="578"/>
      <c r="E36" s="12">
        <f t="shared" si="15"/>
        <v>1</v>
      </c>
      <c r="F36" s="578"/>
      <c r="G36" s="12">
        <f t="shared" si="16"/>
        <v>1</v>
      </c>
      <c r="H36" s="578"/>
      <c r="I36" s="12">
        <f t="shared" si="17"/>
        <v>1</v>
      </c>
      <c r="J36" s="578"/>
      <c r="K36" s="12">
        <f t="shared" si="18"/>
        <v>1</v>
      </c>
      <c r="L36" s="578"/>
      <c r="M36" s="12">
        <f t="shared" si="19"/>
        <v>1</v>
      </c>
      <c r="N36" s="578"/>
      <c r="O36" s="12">
        <f t="shared" si="20"/>
        <v>1</v>
      </c>
      <c r="P36" s="578"/>
      <c r="Q36" s="12">
        <f t="shared" si="21"/>
        <v>1</v>
      </c>
      <c r="R36" s="12">
        <f t="shared" si="26"/>
        <v>0</v>
      </c>
      <c r="S36" s="246">
        <f t="shared" si="27"/>
        <v>0</v>
      </c>
      <c r="T36" s="821">
        <f t="shared" si="28"/>
        <v>0</v>
      </c>
      <c r="U36" s="2689">
        <f t="shared" si="22"/>
        <v>0</v>
      </c>
      <c r="V36" s="2689">
        <f t="shared" si="23"/>
        <v>0</v>
      </c>
      <c r="W36" s="909"/>
      <c r="X36" s="2689">
        <f t="shared" si="24"/>
        <v>0</v>
      </c>
      <c r="Y36" s="2689">
        <f t="shared" si="25"/>
        <v>0</v>
      </c>
      <c r="Z36" s="909"/>
    </row>
    <row r="37" spans="1:26">
      <c r="A37" s="31"/>
      <c r="B37" s="19"/>
      <c r="C37" s="12">
        <f t="shared" si="14"/>
        <v>1</v>
      </c>
      <c r="D37" s="578"/>
      <c r="E37" s="12">
        <f t="shared" si="15"/>
        <v>1</v>
      </c>
      <c r="F37" s="578"/>
      <c r="G37" s="12">
        <f t="shared" si="16"/>
        <v>1</v>
      </c>
      <c r="H37" s="578"/>
      <c r="I37" s="12">
        <f t="shared" si="17"/>
        <v>1</v>
      </c>
      <c r="J37" s="578"/>
      <c r="K37" s="12">
        <f t="shared" si="18"/>
        <v>1</v>
      </c>
      <c r="L37" s="578"/>
      <c r="M37" s="12">
        <f t="shared" si="19"/>
        <v>1</v>
      </c>
      <c r="N37" s="578"/>
      <c r="O37" s="12">
        <f t="shared" si="20"/>
        <v>1</v>
      </c>
      <c r="P37" s="578"/>
      <c r="Q37" s="12">
        <f t="shared" si="21"/>
        <v>1</v>
      </c>
      <c r="R37" s="12">
        <f t="shared" si="26"/>
        <v>0</v>
      </c>
      <c r="S37" s="246">
        <f t="shared" si="27"/>
        <v>0</v>
      </c>
      <c r="T37" s="821">
        <f t="shared" si="28"/>
        <v>0</v>
      </c>
      <c r="U37" s="2689">
        <f t="shared" si="22"/>
        <v>0</v>
      </c>
      <c r="V37" s="2689">
        <f t="shared" si="23"/>
        <v>0</v>
      </c>
      <c r="W37" s="909"/>
      <c r="X37" s="2689">
        <f t="shared" si="24"/>
        <v>0</v>
      </c>
      <c r="Y37" s="2689">
        <f t="shared" si="25"/>
        <v>0</v>
      </c>
      <c r="Z37" s="909"/>
    </row>
    <row r="38" spans="1:26">
      <c r="A38" s="31"/>
      <c r="B38" s="19"/>
      <c r="C38" s="12">
        <f t="shared" si="14"/>
        <v>1</v>
      </c>
      <c r="D38" s="578"/>
      <c r="E38" s="12">
        <f t="shared" si="15"/>
        <v>1</v>
      </c>
      <c r="F38" s="578"/>
      <c r="G38" s="12">
        <f t="shared" si="16"/>
        <v>1</v>
      </c>
      <c r="H38" s="578"/>
      <c r="I38" s="12">
        <f t="shared" si="17"/>
        <v>1</v>
      </c>
      <c r="J38" s="578"/>
      <c r="K38" s="12">
        <f t="shared" si="18"/>
        <v>1</v>
      </c>
      <c r="L38" s="578"/>
      <c r="M38" s="12">
        <f t="shared" si="19"/>
        <v>1</v>
      </c>
      <c r="N38" s="578"/>
      <c r="O38" s="12">
        <f t="shared" si="20"/>
        <v>1</v>
      </c>
      <c r="P38" s="578"/>
      <c r="Q38" s="12">
        <f t="shared" si="21"/>
        <v>1</v>
      </c>
      <c r="R38" s="12">
        <f t="shared" si="26"/>
        <v>0</v>
      </c>
      <c r="S38" s="246">
        <f t="shared" si="27"/>
        <v>0</v>
      </c>
      <c r="T38" s="821">
        <f t="shared" si="28"/>
        <v>0</v>
      </c>
      <c r="U38" s="2689">
        <f t="shared" si="22"/>
        <v>0</v>
      </c>
      <c r="V38" s="2689">
        <f t="shared" si="23"/>
        <v>0</v>
      </c>
      <c r="W38" s="909"/>
      <c r="X38" s="2689">
        <f t="shared" si="24"/>
        <v>0</v>
      </c>
      <c r="Y38" s="2689">
        <f t="shared" si="25"/>
        <v>0</v>
      </c>
      <c r="Z38" s="909"/>
    </row>
    <row r="39" spans="1:26">
      <c r="A39" s="31"/>
      <c r="B39" s="19"/>
      <c r="C39" s="12">
        <f t="shared" si="14"/>
        <v>1</v>
      </c>
      <c r="D39" s="578"/>
      <c r="E39" s="12">
        <f t="shared" si="15"/>
        <v>1</v>
      </c>
      <c r="F39" s="578"/>
      <c r="G39" s="12">
        <f t="shared" si="16"/>
        <v>1</v>
      </c>
      <c r="H39" s="578"/>
      <c r="I39" s="12">
        <f t="shared" si="17"/>
        <v>1</v>
      </c>
      <c r="J39" s="578"/>
      <c r="K39" s="12">
        <f t="shared" si="18"/>
        <v>1</v>
      </c>
      <c r="L39" s="578"/>
      <c r="M39" s="12">
        <f t="shared" si="19"/>
        <v>1</v>
      </c>
      <c r="N39" s="578"/>
      <c r="O39" s="12">
        <f t="shared" si="20"/>
        <v>1</v>
      </c>
      <c r="P39" s="578"/>
      <c r="Q39" s="12">
        <f t="shared" si="21"/>
        <v>1</v>
      </c>
      <c r="R39" s="12">
        <f t="shared" si="26"/>
        <v>0</v>
      </c>
      <c r="S39" s="246">
        <f t="shared" si="27"/>
        <v>0</v>
      </c>
      <c r="T39" s="821">
        <f t="shared" si="28"/>
        <v>0</v>
      </c>
      <c r="U39" s="2689">
        <f t="shared" si="22"/>
        <v>0</v>
      </c>
      <c r="V39" s="2689">
        <f t="shared" si="23"/>
        <v>0</v>
      </c>
      <c r="W39" s="909"/>
      <c r="X39" s="2689">
        <f t="shared" si="24"/>
        <v>0</v>
      </c>
      <c r="Y39" s="2689">
        <f t="shared" si="25"/>
        <v>0</v>
      </c>
      <c r="Z39" s="909"/>
    </row>
    <row r="40" spans="1:26">
      <c r="A40" s="31"/>
      <c r="B40" s="19"/>
      <c r="C40" s="12">
        <f t="shared" si="14"/>
        <v>1</v>
      </c>
      <c r="D40" s="578"/>
      <c r="E40" s="12">
        <f t="shared" si="15"/>
        <v>1</v>
      </c>
      <c r="F40" s="578"/>
      <c r="G40" s="12">
        <f t="shared" si="16"/>
        <v>1</v>
      </c>
      <c r="H40" s="578"/>
      <c r="I40" s="12">
        <f t="shared" si="17"/>
        <v>1</v>
      </c>
      <c r="J40" s="578"/>
      <c r="K40" s="12">
        <f t="shared" si="18"/>
        <v>1</v>
      </c>
      <c r="L40" s="578"/>
      <c r="M40" s="12">
        <f t="shared" si="19"/>
        <v>1</v>
      </c>
      <c r="N40" s="578"/>
      <c r="O40" s="12">
        <f t="shared" si="20"/>
        <v>1</v>
      </c>
      <c r="P40" s="578"/>
      <c r="Q40" s="12">
        <f t="shared" si="21"/>
        <v>1</v>
      </c>
      <c r="R40" s="12">
        <f t="shared" si="26"/>
        <v>0</v>
      </c>
      <c r="S40" s="246">
        <f t="shared" si="27"/>
        <v>0</v>
      </c>
      <c r="T40" s="821">
        <f t="shared" si="28"/>
        <v>0</v>
      </c>
      <c r="U40" s="2689">
        <f t="shared" si="22"/>
        <v>0</v>
      </c>
      <c r="V40" s="2689">
        <f t="shared" si="23"/>
        <v>0</v>
      </c>
      <c r="W40" s="909"/>
      <c r="X40" s="2689">
        <f t="shared" si="24"/>
        <v>0</v>
      </c>
      <c r="Y40" s="2689">
        <f t="shared" si="25"/>
        <v>0</v>
      </c>
      <c r="Z40" s="909"/>
    </row>
    <row r="41" spans="1:26">
      <c r="A41" s="31"/>
      <c r="B41" s="19"/>
      <c r="C41" s="12">
        <f t="shared" si="14"/>
        <v>1</v>
      </c>
      <c r="D41" s="578"/>
      <c r="E41" s="12">
        <f t="shared" si="15"/>
        <v>1</v>
      </c>
      <c r="F41" s="578"/>
      <c r="G41" s="12">
        <f t="shared" si="16"/>
        <v>1</v>
      </c>
      <c r="H41" s="578"/>
      <c r="I41" s="12">
        <f t="shared" si="17"/>
        <v>1</v>
      </c>
      <c r="J41" s="578"/>
      <c r="K41" s="12">
        <f t="shared" si="18"/>
        <v>1</v>
      </c>
      <c r="L41" s="578"/>
      <c r="M41" s="12">
        <f t="shared" si="19"/>
        <v>1</v>
      </c>
      <c r="N41" s="578"/>
      <c r="O41" s="12">
        <f t="shared" si="20"/>
        <v>1</v>
      </c>
      <c r="P41" s="578"/>
      <c r="Q41" s="12">
        <f t="shared" si="21"/>
        <v>1</v>
      </c>
      <c r="R41" s="12">
        <f t="shared" si="26"/>
        <v>0</v>
      </c>
      <c r="S41" s="246">
        <f t="shared" si="27"/>
        <v>0</v>
      </c>
      <c r="T41" s="821">
        <f t="shared" si="28"/>
        <v>0</v>
      </c>
      <c r="U41" s="2689">
        <f t="shared" si="22"/>
        <v>0</v>
      </c>
      <c r="V41" s="2689">
        <f t="shared" si="23"/>
        <v>0</v>
      </c>
      <c r="W41" s="909"/>
      <c r="X41" s="2689">
        <f t="shared" si="24"/>
        <v>0</v>
      </c>
      <c r="Y41" s="2689">
        <f t="shared" si="25"/>
        <v>0</v>
      </c>
      <c r="Z41" s="909"/>
    </row>
    <row r="42" spans="1:26">
      <c r="A42" s="31"/>
      <c r="B42" s="19"/>
      <c r="C42" s="12">
        <f t="shared" si="14"/>
        <v>1</v>
      </c>
      <c r="D42" s="578"/>
      <c r="E42" s="12">
        <f t="shared" si="15"/>
        <v>1</v>
      </c>
      <c r="F42" s="578"/>
      <c r="G42" s="12">
        <f t="shared" si="16"/>
        <v>1</v>
      </c>
      <c r="H42" s="578"/>
      <c r="I42" s="12">
        <f t="shared" si="17"/>
        <v>1</v>
      </c>
      <c r="J42" s="578"/>
      <c r="K42" s="12">
        <f t="shared" si="18"/>
        <v>1</v>
      </c>
      <c r="L42" s="578"/>
      <c r="M42" s="12">
        <f t="shared" si="19"/>
        <v>1</v>
      </c>
      <c r="N42" s="578"/>
      <c r="O42" s="12">
        <f t="shared" si="20"/>
        <v>1</v>
      </c>
      <c r="P42" s="578"/>
      <c r="Q42" s="12">
        <f t="shared" si="21"/>
        <v>1</v>
      </c>
      <c r="R42" s="12">
        <f t="shared" si="26"/>
        <v>0</v>
      </c>
      <c r="S42" s="246">
        <f t="shared" si="27"/>
        <v>0</v>
      </c>
      <c r="T42" s="821">
        <f t="shared" si="28"/>
        <v>0</v>
      </c>
      <c r="U42" s="2689">
        <f t="shared" si="22"/>
        <v>0</v>
      </c>
      <c r="V42" s="2689">
        <f t="shared" si="23"/>
        <v>0</v>
      </c>
      <c r="W42" s="909"/>
      <c r="X42" s="2689">
        <f t="shared" si="24"/>
        <v>0</v>
      </c>
      <c r="Y42" s="2689">
        <f t="shared" si="25"/>
        <v>0</v>
      </c>
      <c r="Z42" s="909"/>
    </row>
    <row r="43" spans="1:26">
      <c r="A43" s="31"/>
      <c r="B43" s="19"/>
      <c r="C43" s="12">
        <f t="shared" si="14"/>
        <v>1</v>
      </c>
      <c r="D43" s="578"/>
      <c r="E43" s="12">
        <f t="shared" si="15"/>
        <v>1</v>
      </c>
      <c r="F43" s="578"/>
      <c r="G43" s="12">
        <f t="shared" si="16"/>
        <v>1</v>
      </c>
      <c r="H43" s="578"/>
      <c r="I43" s="12">
        <f t="shared" si="17"/>
        <v>1</v>
      </c>
      <c r="J43" s="578"/>
      <c r="K43" s="12">
        <f t="shared" si="18"/>
        <v>1</v>
      </c>
      <c r="L43" s="578"/>
      <c r="M43" s="12">
        <f t="shared" si="19"/>
        <v>1</v>
      </c>
      <c r="N43" s="578"/>
      <c r="O43" s="12">
        <f t="shared" si="20"/>
        <v>1</v>
      </c>
      <c r="P43" s="578"/>
      <c r="Q43" s="12">
        <f t="shared" si="21"/>
        <v>1</v>
      </c>
      <c r="R43" s="12">
        <f t="shared" si="26"/>
        <v>0</v>
      </c>
      <c r="S43" s="246">
        <f t="shared" si="27"/>
        <v>0</v>
      </c>
      <c r="T43" s="821">
        <f t="shared" si="28"/>
        <v>0</v>
      </c>
      <c r="U43" s="2689">
        <f t="shared" si="22"/>
        <v>0</v>
      </c>
      <c r="V43" s="2689">
        <f t="shared" si="23"/>
        <v>0</v>
      </c>
      <c r="W43" s="909"/>
      <c r="X43" s="2689">
        <f t="shared" si="24"/>
        <v>0</v>
      </c>
      <c r="Y43" s="2689">
        <f t="shared" si="25"/>
        <v>0</v>
      </c>
      <c r="Z43" s="909"/>
    </row>
    <row r="44" spans="1:26">
      <c r="A44" s="31"/>
      <c r="B44" s="19"/>
      <c r="C44" s="12">
        <f t="shared" si="14"/>
        <v>1</v>
      </c>
      <c r="D44" s="578"/>
      <c r="E44" s="12">
        <f t="shared" si="15"/>
        <v>1</v>
      </c>
      <c r="F44" s="578"/>
      <c r="G44" s="12">
        <f t="shared" si="16"/>
        <v>1</v>
      </c>
      <c r="H44" s="578"/>
      <c r="I44" s="12">
        <f t="shared" si="17"/>
        <v>1</v>
      </c>
      <c r="J44" s="578"/>
      <c r="K44" s="12">
        <f t="shared" si="18"/>
        <v>1</v>
      </c>
      <c r="L44" s="578"/>
      <c r="M44" s="12">
        <f t="shared" si="19"/>
        <v>1</v>
      </c>
      <c r="N44" s="578"/>
      <c r="O44" s="12">
        <f t="shared" si="20"/>
        <v>1</v>
      </c>
      <c r="P44" s="578"/>
      <c r="Q44" s="12">
        <f t="shared" si="21"/>
        <v>1</v>
      </c>
      <c r="R44" s="12">
        <f t="shared" si="26"/>
        <v>0</v>
      </c>
      <c r="S44" s="246">
        <f t="shared" si="27"/>
        <v>0</v>
      </c>
      <c r="T44" s="821">
        <f t="shared" si="28"/>
        <v>0</v>
      </c>
      <c r="U44" s="2689">
        <f t="shared" si="22"/>
        <v>0</v>
      </c>
      <c r="V44" s="2689">
        <f t="shared" si="23"/>
        <v>0</v>
      </c>
      <c r="W44" s="909"/>
      <c r="X44" s="2689">
        <f t="shared" si="24"/>
        <v>0</v>
      </c>
      <c r="Y44" s="2689">
        <f t="shared" si="25"/>
        <v>0</v>
      </c>
      <c r="Z44" s="909"/>
    </row>
    <row r="45" spans="1:26">
      <c r="A45" s="31"/>
      <c r="B45" s="19"/>
      <c r="C45" s="12">
        <f t="shared" si="14"/>
        <v>1</v>
      </c>
      <c r="D45" s="578"/>
      <c r="E45" s="12">
        <f t="shared" si="15"/>
        <v>1</v>
      </c>
      <c r="F45" s="578"/>
      <c r="G45" s="12">
        <f t="shared" si="16"/>
        <v>1</v>
      </c>
      <c r="H45" s="578"/>
      <c r="I45" s="12">
        <f t="shared" si="17"/>
        <v>1</v>
      </c>
      <c r="J45" s="578"/>
      <c r="K45" s="12">
        <f t="shared" si="18"/>
        <v>1</v>
      </c>
      <c r="L45" s="578"/>
      <c r="M45" s="12">
        <f t="shared" si="19"/>
        <v>1</v>
      </c>
      <c r="N45" s="578"/>
      <c r="O45" s="12">
        <f t="shared" si="20"/>
        <v>1</v>
      </c>
      <c r="P45" s="578"/>
      <c r="Q45" s="12">
        <f t="shared" si="21"/>
        <v>1</v>
      </c>
      <c r="R45" s="12">
        <f t="shared" si="26"/>
        <v>0</v>
      </c>
      <c r="S45" s="246">
        <f t="shared" si="27"/>
        <v>0</v>
      </c>
      <c r="T45" s="821">
        <f t="shared" si="28"/>
        <v>0</v>
      </c>
      <c r="U45" s="2689">
        <f t="shared" si="22"/>
        <v>0</v>
      </c>
      <c r="V45" s="2689">
        <f t="shared" si="23"/>
        <v>0</v>
      </c>
      <c r="W45" s="909"/>
      <c r="X45" s="2689">
        <f t="shared" si="24"/>
        <v>0</v>
      </c>
      <c r="Y45" s="2689">
        <f t="shared" si="25"/>
        <v>0</v>
      </c>
      <c r="Z45" s="909"/>
    </row>
    <row r="46" spans="1:26">
      <c r="A46" s="31"/>
      <c r="B46" s="19"/>
      <c r="C46" s="12">
        <f t="shared" si="14"/>
        <v>1</v>
      </c>
      <c r="D46" s="578"/>
      <c r="E46" s="12">
        <f t="shared" si="15"/>
        <v>1</v>
      </c>
      <c r="F46" s="578"/>
      <c r="G46" s="12">
        <f t="shared" si="16"/>
        <v>1</v>
      </c>
      <c r="H46" s="578"/>
      <c r="I46" s="12">
        <f t="shared" si="17"/>
        <v>1</v>
      </c>
      <c r="J46" s="578"/>
      <c r="K46" s="12">
        <f t="shared" si="18"/>
        <v>1</v>
      </c>
      <c r="L46" s="578"/>
      <c r="M46" s="12">
        <f t="shared" si="19"/>
        <v>1</v>
      </c>
      <c r="N46" s="578"/>
      <c r="O46" s="12">
        <f t="shared" si="20"/>
        <v>1</v>
      </c>
      <c r="P46" s="578"/>
      <c r="Q46" s="12">
        <f t="shared" si="21"/>
        <v>1</v>
      </c>
      <c r="R46" s="12">
        <f t="shared" si="26"/>
        <v>0</v>
      </c>
      <c r="S46" s="246">
        <f t="shared" si="27"/>
        <v>0</v>
      </c>
      <c r="T46" s="821">
        <f t="shared" si="28"/>
        <v>0</v>
      </c>
      <c r="U46" s="2689">
        <f t="shared" si="22"/>
        <v>0</v>
      </c>
      <c r="V46" s="2689">
        <f t="shared" si="23"/>
        <v>0</v>
      </c>
      <c r="W46" s="909"/>
      <c r="X46" s="2689">
        <f t="shared" si="24"/>
        <v>0</v>
      </c>
      <c r="Y46" s="2689">
        <f t="shared" si="25"/>
        <v>0</v>
      </c>
      <c r="Z46" s="909"/>
    </row>
    <row r="47" spans="1:26">
      <c r="A47" s="31"/>
      <c r="B47" s="19"/>
      <c r="C47" s="12">
        <f t="shared" si="14"/>
        <v>1</v>
      </c>
      <c r="D47" s="578"/>
      <c r="E47" s="12">
        <f t="shared" si="15"/>
        <v>1</v>
      </c>
      <c r="F47" s="578"/>
      <c r="G47" s="12">
        <f t="shared" si="16"/>
        <v>1</v>
      </c>
      <c r="H47" s="578"/>
      <c r="I47" s="12">
        <f t="shared" si="17"/>
        <v>1</v>
      </c>
      <c r="J47" s="578"/>
      <c r="K47" s="12">
        <f t="shared" si="18"/>
        <v>1</v>
      </c>
      <c r="L47" s="578"/>
      <c r="M47" s="12">
        <f t="shared" si="19"/>
        <v>1</v>
      </c>
      <c r="N47" s="578"/>
      <c r="O47" s="12">
        <f t="shared" si="20"/>
        <v>1</v>
      </c>
      <c r="P47" s="578"/>
      <c r="Q47" s="12">
        <f t="shared" si="21"/>
        <v>1</v>
      </c>
      <c r="R47" s="12">
        <f t="shared" si="26"/>
        <v>0</v>
      </c>
      <c r="S47" s="246">
        <f t="shared" si="27"/>
        <v>0</v>
      </c>
      <c r="T47" s="821">
        <f t="shared" si="28"/>
        <v>0</v>
      </c>
      <c r="U47" s="2689">
        <f t="shared" si="22"/>
        <v>0</v>
      </c>
      <c r="V47" s="2689">
        <f t="shared" si="23"/>
        <v>0</v>
      </c>
      <c r="W47" s="909"/>
      <c r="X47" s="2689">
        <f t="shared" si="24"/>
        <v>0</v>
      </c>
      <c r="Y47" s="2689">
        <f t="shared" si="25"/>
        <v>0</v>
      </c>
      <c r="Z47" s="909"/>
    </row>
    <row r="48" spans="1:26">
      <c r="A48" s="31"/>
      <c r="B48" s="19"/>
      <c r="C48" s="12">
        <f t="shared" si="14"/>
        <v>1</v>
      </c>
      <c r="D48" s="578"/>
      <c r="E48" s="12">
        <f t="shared" si="15"/>
        <v>1</v>
      </c>
      <c r="F48" s="578"/>
      <c r="G48" s="12">
        <f t="shared" si="16"/>
        <v>1</v>
      </c>
      <c r="H48" s="578"/>
      <c r="I48" s="12">
        <f t="shared" si="17"/>
        <v>1</v>
      </c>
      <c r="J48" s="578"/>
      <c r="K48" s="12">
        <f t="shared" si="18"/>
        <v>1</v>
      </c>
      <c r="L48" s="578"/>
      <c r="M48" s="12">
        <f t="shared" si="19"/>
        <v>1</v>
      </c>
      <c r="N48" s="578"/>
      <c r="O48" s="12">
        <f t="shared" si="20"/>
        <v>1</v>
      </c>
      <c r="P48" s="578"/>
      <c r="Q48" s="12">
        <f t="shared" si="21"/>
        <v>1</v>
      </c>
      <c r="R48" s="12">
        <f t="shared" si="26"/>
        <v>0</v>
      </c>
      <c r="S48" s="246">
        <f t="shared" si="27"/>
        <v>0</v>
      </c>
      <c r="T48" s="821">
        <f t="shared" si="28"/>
        <v>0</v>
      </c>
      <c r="U48" s="2689">
        <f t="shared" si="22"/>
        <v>0</v>
      </c>
      <c r="V48" s="2689">
        <f t="shared" si="23"/>
        <v>0</v>
      </c>
      <c r="W48" s="909"/>
      <c r="X48" s="2689">
        <f t="shared" si="24"/>
        <v>0</v>
      </c>
      <c r="Y48" s="2689">
        <f t="shared" si="25"/>
        <v>0</v>
      </c>
      <c r="Z48" s="909"/>
    </row>
    <row r="49" spans="1:26">
      <c r="A49" s="31"/>
      <c r="B49" s="19"/>
      <c r="C49" s="12">
        <f t="shared" si="14"/>
        <v>1</v>
      </c>
      <c r="D49" s="578"/>
      <c r="E49" s="12">
        <f t="shared" si="15"/>
        <v>1</v>
      </c>
      <c r="F49" s="578"/>
      <c r="G49" s="12">
        <f t="shared" si="16"/>
        <v>1</v>
      </c>
      <c r="H49" s="578"/>
      <c r="I49" s="12">
        <f t="shared" si="17"/>
        <v>1</v>
      </c>
      <c r="J49" s="578"/>
      <c r="K49" s="12">
        <f t="shared" si="18"/>
        <v>1</v>
      </c>
      <c r="L49" s="578"/>
      <c r="M49" s="12">
        <f t="shared" si="19"/>
        <v>1</v>
      </c>
      <c r="N49" s="578"/>
      <c r="O49" s="12">
        <f t="shared" si="20"/>
        <v>1</v>
      </c>
      <c r="P49" s="578"/>
      <c r="Q49" s="12">
        <f t="shared" si="21"/>
        <v>1</v>
      </c>
      <c r="R49" s="12">
        <f t="shared" si="26"/>
        <v>0</v>
      </c>
      <c r="S49" s="246">
        <f t="shared" si="27"/>
        <v>0</v>
      </c>
      <c r="T49" s="821">
        <f t="shared" si="28"/>
        <v>0</v>
      </c>
      <c r="U49" s="2689">
        <f t="shared" si="22"/>
        <v>0</v>
      </c>
      <c r="V49" s="2689">
        <f t="shared" si="23"/>
        <v>0</v>
      </c>
      <c r="W49" s="909"/>
      <c r="X49" s="2689">
        <f t="shared" si="24"/>
        <v>0</v>
      </c>
      <c r="Y49" s="2689">
        <f t="shared" si="25"/>
        <v>0</v>
      </c>
      <c r="Z49" s="909"/>
    </row>
    <row r="50" spans="1:26">
      <c r="A50" s="31"/>
      <c r="B50" s="19"/>
      <c r="C50" s="12">
        <f t="shared" si="14"/>
        <v>1</v>
      </c>
      <c r="D50" s="578"/>
      <c r="E50" s="12">
        <f t="shared" si="15"/>
        <v>1</v>
      </c>
      <c r="F50" s="578"/>
      <c r="G50" s="12">
        <f t="shared" si="16"/>
        <v>1</v>
      </c>
      <c r="H50" s="578"/>
      <c r="I50" s="12">
        <f t="shared" si="17"/>
        <v>1</v>
      </c>
      <c r="J50" s="578"/>
      <c r="K50" s="12">
        <f t="shared" si="18"/>
        <v>1</v>
      </c>
      <c r="L50" s="578"/>
      <c r="M50" s="12">
        <f t="shared" si="19"/>
        <v>1</v>
      </c>
      <c r="N50" s="578"/>
      <c r="O50" s="12">
        <f t="shared" si="20"/>
        <v>1</v>
      </c>
      <c r="P50" s="578"/>
      <c r="Q50" s="12">
        <f t="shared" si="21"/>
        <v>1</v>
      </c>
      <c r="R50" s="12">
        <f t="shared" si="26"/>
        <v>0</v>
      </c>
      <c r="S50" s="246">
        <f t="shared" si="27"/>
        <v>0</v>
      </c>
      <c r="T50" s="821">
        <f t="shared" si="28"/>
        <v>0</v>
      </c>
      <c r="U50" s="2689">
        <f t="shared" si="22"/>
        <v>0</v>
      </c>
      <c r="V50" s="2689">
        <f t="shared" si="23"/>
        <v>0</v>
      </c>
      <c r="W50" s="909"/>
      <c r="X50" s="2689">
        <f t="shared" si="24"/>
        <v>0</v>
      </c>
      <c r="Y50" s="2689">
        <f t="shared" si="25"/>
        <v>0</v>
      </c>
      <c r="Z50" s="909"/>
    </row>
    <row r="51" spans="1:26">
      <c r="A51" s="31"/>
      <c r="B51" s="19"/>
      <c r="C51" s="12">
        <f t="shared" si="14"/>
        <v>1</v>
      </c>
      <c r="D51" s="578"/>
      <c r="E51" s="12">
        <f t="shared" si="15"/>
        <v>1</v>
      </c>
      <c r="F51" s="578"/>
      <c r="G51" s="12">
        <f t="shared" si="16"/>
        <v>1</v>
      </c>
      <c r="H51" s="578"/>
      <c r="I51" s="12">
        <f t="shared" si="17"/>
        <v>1</v>
      </c>
      <c r="J51" s="578"/>
      <c r="K51" s="12">
        <f t="shared" si="18"/>
        <v>1</v>
      </c>
      <c r="L51" s="578"/>
      <c r="M51" s="12">
        <f t="shared" si="19"/>
        <v>1</v>
      </c>
      <c r="N51" s="578"/>
      <c r="O51" s="12">
        <f t="shared" si="20"/>
        <v>1</v>
      </c>
      <c r="P51" s="578"/>
      <c r="Q51" s="12">
        <f t="shared" si="21"/>
        <v>1</v>
      </c>
      <c r="R51" s="12">
        <f t="shared" si="26"/>
        <v>0</v>
      </c>
      <c r="S51" s="246">
        <f t="shared" si="27"/>
        <v>0</v>
      </c>
      <c r="T51" s="821">
        <f t="shared" si="28"/>
        <v>0</v>
      </c>
      <c r="U51" s="2689">
        <f t="shared" si="22"/>
        <v>0</v>
      </c>
      <c r="V51" s="2689">
        <f t="shared" si="23"/>
        <v>0</v>
      </c>
      <c r="W51" s="909"/>
      <c r="X51" s="2689">
        <f t="shared" si="24"/>
        <v>0</v>
      </c>
      <c r="Y51" s="2689">
        <f t="shared" si="25"/>
        <v>0</v>
      </c>
      <c r="Z51" s="909"/>
    </row>
    <row r="52" spans="1:26">
      <c r="A52" s="31"/>
      <c r="B52" s="19"/>
      <c r="C52" s="12">
        <f t="shared" si="14"/>
        <v>1</v>
      </c>
      <c r="D52" s="578"/>
      <c r="E52" s="12">
        <f t="shared" si="15"/>
        <v>1</v>
      </c>
      <c r="F52" s="578"/>
      <c r="G52" s="12">
        <f t="shared" si="16"/>
        <v>1</v>
      </c>
      <c r="H52" s="578"/>
      <c r="I52" s="12">
        <f t="shared" si="17"/>
        <v>1</v>
      </c>
      <c r="J52" s="578"/>
      <c r="K52" s="12">
        <f t="shared" si="18"/>
        <v>1</v>
      </c>
      <c r="L52" s="578"/>
      <c r="M52" s="12">
        <f t="shared" si="19"/>
        <v>1</v>
      </c>
      <c r="N52" s="578"/>
      <c r="O52" s="12">
        <f t="shared" si="20"/>
        <v>1</v>
      </c>
      <c r="P52" s="578"/>
      <c r="Q52" s="12">
        <f t="shared" si="21"/>
        <v>1</v>
      </c>
      <c r="R52" s="12">
        <f t="shared" si="26"/>
        <v>0</v>
      </c>
      <c r="S52" s="246">
        <f t="shared" si="27"/>
        <v>0</v>
      </c>
      <c r="T52" s="821">
        <f t="shared" si="28"/>
        <v>0</v>
      </c>
      <c r="U52" s="2689">
        <f t="shared" si="22"/>
        <v>0</v>
      </c>
      <c r="V52" s="2689">
        <f t="shared" si="23"/>
        <v>0</v>
      </c>
      <c r="W52" s="909"/>
      <c r="X52" s="2689">
        <f t="shared" si="24"/>
        <v>0</v>
      </c>
      <c r="Y52" s="2689">
        <f t="shared" si="25"/>
        <v>0</v>
      </c>
      <c r="Z52" s="909"/>
    </row>
    <row r="53" spans="1:26">
      <c r="A53" s="31"/>
      <c r="B53" s="19"/>
      <c r="C53" s="12">
        <f t="shared" si="14"/>
        <v>1</v>
      </c>
      <c r="D53" s="578"/>
      <c r="E53" s="12">
        <f t="shared" si="15"/>
        <v>1</v>
      </c>
      <c r="F53" s="578"/>
      <c r="G53" s="12">
        <f t="shared" si="16"/>
        <v>1</v>
      </c>
      <c r="H53" s="578"/>
      <c r="I53" s="12">
        <f t="shared" si="17"/>
        <v>1</v>
      </c>
      <c r="J53" s="578"/>
      <c r="K53" s="12">
        <f t="shared" si="18"/>
        <v>1</v>
      </c>
      <c r="L53" s="578"/>
      <c r="M53" s="12">
        <f t="shared" si="19"/>
        <v>1</v>
      </c>
      <c r="N53" s="578"/>
      <c r="O53" s="12">
        <f t="shared" si="20"/>
        <v>1</v>
      </c>
      <c r="P53" s="578"/>
      <c r="Q53" s="12">
        <f t="shared" si="21"/>
        <v>1</v>
      </c>
      <c r="R53" s="12">
        <f t="shared" si="26"/>
        <v>0</v>
      </c>
      <c r="S53" s="246">
        <f t="shared" si="27"/>
        <v>0</v>
      </c>
      <c r="T53" s="821">
        <f t="shared" si="28"/>
        <v>0</v>
      </c>
      <c r="U53" s="2689">
        <f t="shared" si="22"/>
        <v>0</v>
      </c>
      <c r="V53" s="2689">
        <f t="shared" si="23"/>
        <v>0</v>
      </c>
      <c r="W53" s="909"/>
      <c r="X53" s="2689">
        <f t="shared" si="24"/>
        <v>0</v>
      </c>
      <c r="Y53" s="2689">
        <f t="shared" si="25"/>
        <v>0</v>
      </c>
      <c r="Z53" s="909"/>
    </row>
    <row r="54" spans="1:26">
      <c r="A54" s="31"/>
      <c r="B54" s="19"/>
      <c r="C54" s="12">
        <f t="shared" si="14"/>
        <v>1</v>
      </c>
      <c r="D54" s="578"/>
      <c r="E54" s="12">
        <f t="shared" si="15"/>
        <v>1</v>
      </c>
      <c r="F54" s="578"/>
      <c r="G54" s="12">
        <f t="shared" si="16"/>
        <v>1</v>
      </c>
      <c r="H54" s="578"/>
      <c r="I54" s="12">
        <f t="shared" si="17"/>
        <v>1</v>
      </c>
      <c r="J54" s="578"/>
      <c r="K54" s="12">
        <f t="shared" si="18"/>
        <v>1</v>
      </c>
      <c r="L54" s="578"/>
      <c r="M54" s="12">
        <f t="shared" si="19"/>
        <v>1</v>
      </c>
      <c r="N54" s="578"/>
      <c r="O54" s="12">
        <f t="shared" si="20"/>
        <v>1</v>
      </c>
      <c r="P54" s="578"/>
      <c r="Q54" s="12">
        <f t="shared" si="21"/>
        <v>1</v>
      </c>
      <c r="R54" s="12">
        <f t="shared" si="26"/>
        <v>0</v>
      </c>
      <c r="S54" s="246">
        <f t="shared" si="27"/>
        <v>0</v>
      </c>
      <c r="T54" s="821">
        <f t="shared" si="28"/>
        <v>0</v>
      </c>
      <c r="U54" s="2689">
        <f t="shared" si="22"/>
        <v>0</v>
      </c>
      <c r="V54" s="2689">
        <f t="shared" si="23"/>
        <v>0</v>
      </c>
      <c r="W54" s="909"/>
      <c r="X54" s="2689">
        <f t="shared" si="24"/>
        <v>0</v>
      </c>
      <c r="Y54" s="2689">
        <f t="shared" si="25"/>
        <v>0</v>
      </c>
      <c r="Z54" s="909"/>
    </row>
    <row r="55" spans="1:26">
      <c r="A55" s="31"/>
      <c r="B55" s="19"/>
      <c r="C55" s="12">
        <f t="shared" si="14"/>
        <v>1</v>
      </c>
      <c r="D55" s="578"/>
      <c r="E55" s="12">
        <f t="shared" si="15"/>
        <v>1</v>
      </c>
      <c r="F55" s="578"/>
      <c r="G55" s="12">
        <f t="shared" si="16"/>
        <v>1</v>
      </c>
      <c r="H55" s="578"/>
      <c r="I55" s="12">
        <f t="shared" si="17"/>
        <v>1</v>
      </c>
      <c r="J55" s="578"/>
      <c r="K55" s="12">
        <f t="shared" si="18"/>
        <v>1</v>
      </c>
      <c r="L55" s="578"/>
      <c r="M55" s="12">
        <f t="shared" si="19"/>
        <v>1</v>
      </c>
      <c r="N55" s="578"/>
      <c r="O55" s="12">
        <f t="shared" si="20"/>
        <v>1</v>
      </c>
      <c r="P55" s="578"/>
      <c r="Q55" s="12">
        <f t="shared" si="21"/>
        <v>1</v>
      </c>
      <c r="R55" s="12">
        <f t="shared" si="26"/>
        <v>0</v>
      </c>
      <c r="S55" s="246">
        <f t="shared" si="27"/>
        <v>0</v>
      </c>
      <c r="T55" s="821">
        <f t="shared" si="28"/>
        <v>0</v>
      </c>
      <c r="U55" s="2689">
        <f t="shared" si="22"/>
        <v>0</v>
      </c>
      <c r="V55" s="2689">
        <f t="shared" si="23"/>
        <v>0</v>
      </c>
      <c r="W55" s="909"/>
      <c r="X55" s="2689">
        <f t="shared" si="24"/>
        <v>0</v>
      </c>
      <c r="Y55" s="2689">
        <f t="shared" si="25"/>
        <v>0</v>
      </c>
      <c r="Z55" s="909"/>
    </row>
    <row r="56" spans="1:26">
      <c r="A56" s="31"/>
      <c r="B56" s="19"/>
      <c r="C56" s="12">
        <f t="shared" si="14"/>
        <v>1</v>
      </c>
      <c r="D56" s="578"/>
      <c r="E56" s="12">
        <f t="shared" si="15"/>
        <v>1</v>
      </c>
      <c r="F56" s="578"/>
      <c r="G56" s="12">
        <f t="shared" si="16"/>
        <v>1</v>
      </c>
      <c r="H56" s="578"/>
      <c r="I56" s="12">
        <f t="shared" si="17"/>
        <v>1</v>
      </c>
      <c r="J56" s="578"/>
      <c r="K56" s="12">
        <f t="shared" si="18"/>
        <v>1</v>
      </c>
      <c r="L56" s="578"/>
      <c r="M56" s="12">
        <f t="shared" si="19"/>
        <v>1</v>
      </c>
      <c r="N56" s="578"/>
      <c r="O56" s="12">
        <f t="shared" si="20"/>
        <v>1</v>
      </c>
      <c r="P56" s="578"/>
      <c r="Q56" s="12">
        <f t="shared" si="21"/>
        <v>1</v>
      </c>
      <c r="R56" s="12">
        <f t="shared" si="26"/>
        <v>0</v>
      </c>
      <c r="S56" s="246">
        <f t="shared" si="27"/>
        <v>0</v>
      </c>
      <c r="T56" s="821">
        <f t="shared" si="28"/>
        <v>0</v>
      </c>
      <c r="U56" s="2689">
        <f t="shared" si="22"/>
        <v>0</v>
      </c>
      <c r="V56" s="2689">
        <f t="shared" si="23"/>
        <v>0</v>
      </c>
      <c r="W56" s="909"/>
      <c r="X56" s="2689">
        <f t="shared" si="24"/>
        <v>0</v>
      </c>
      <c r="Y56" s="2689">
        <f t="shared" si="25"/>
        <v>0</v>
      </c>
      <c r="Z56" s="909"/>
    </row>
    <row r="57" spans="1:26">
      <c r="A57" s="31"/>
      <c r="B57" s="19"/>
      <c r="C57" s="12">
        <f t="shared" si="14"/>
        <v>1</v>
      </c>
      <c r="D57" s="578"/>
      <c r="E57" s="12">
        <f t="shared" si="15"/>
        <v>1</v>
      </c>
      <c r="F57" s="578"/>
      <c r="G57" s="12">
        <f t="shared" si="16"/>
        <v>1</v>
      </c>
      <c r="H57" s="578"/>
      <c r="I57" s="12">
        <f t="shared" si="17"/>
        <v>1</v>
      </c>
      <c r="J57" s="578"/>
      <c r="K57" s="12">
        <f t="shared" si="18"/>
        <v>1</v>
      </c>
      <c r="L57" s="578"/>
      <c r="M57" s="12">
        <f t="shared" si="19"/>
        <v>1</v>
      </c>
      <c r="N57" s="578"/>
      <c r="O57" s="12">
        <f t="shared" si="20"/>
        <v>1</v>
      </c>
      <c r="P57" s="578"/>
      <c r="Q57" s="12">
        <f t="shared" si="21"/>
        <v>1</v>
      </c>
      <c r="R57" s="12">
        <f t="shared" si="26"/>
        <v>0</v>
      </c>
      <c r="S57" s="246">
        <f t="shared" si="27"/>
        <v>0</v>
      </c>
      <c r="T57" s="821">
        <f t="shared" si="28"/>
        <v>0</v>
      </c>
      <c r="U57" s="2689">
        <f t="shared" si="22"/>
        <v>0</v>
      </c>
      <c r="V57" s="2689">
        <f t="shared" si="23"/>
        <v>0</v>
      </c>
      <c r="W57" s="909"/>
      <c r="X57" s="2689">
        <f t="shared" si="24"/>
        <v>0</v>
      </c>
      <c r="Y57" s="2689">
        <f t="shared" si="25"/>
        <v>0</v>
      </c>
      <c r="Z57" s="909"/>
    </row>
    <row r="58" spans="1:26">
      <c r="A58" s="31"/>
      <c r="B58" s="19"/>
      <c r="C58" s="12">
        <f t="shared" si="14"/>
        <v>1</v>
      </c>
      <c r="D58" s="578"/>
      <c r="E58" s="12">
        <f t="shared" si="15"/>
        <v>1</v>
      </c>
      <c r="F58" s="578"/>
      <c r="G58" s="12">
        <f t="shared" si="16"/>
        <v>1</v>
      </c>
      <c r="H58" s="578"/>
      <c r="I58" s="12">
        <f t="shared" si="17"/>
        <v>1</v>
      </c>
      <c r="J58" s="578"/>
      <c r="K58" s="12">
        <f t="shared" si="18"/>
        <v>1</v>
      </c>
      <c r="L58" s="578"/>
      <c r="M58" s="12">
        <f t="shared" si="19"/>
        <v>1</v>
      </c>
      <c r="N58" s="578"/>
      <c r="O58" s="12">
        <f t="shared" si="20"/>
        <v>1</v>
      </c>
      <c r="P58" s="578"/>
      <c r="Q58" s="12">
        <f t="shared" si="21"/>
        <v>1</v>
      </c>
      <c r="R58" s="12">
        <f t="shared" si="26"/>
        <v>0</v>
      </c>
      <c r="S58" s="246">
        <f t="shared" si="27"/>
        <v>0</v>
      </c>
      <c r="T58" s="821">
        <f t="shared" si="28"/>
        <v>0</v>
      </c>
      <c r="U58" s="2689">
        <f t="shared" si="22"/>
        <v>0</v>
      </c>
      <c r="V58" s="2689">
        <f t="shared" si="23"/>
        <v>0</v>
      </c>
      <c r="W58" s="909"/>
      <c r="X58" s="2689">
        <f t="shared" si="24"/>
        <v>0</v>
      </c>
      <c r="Y58" s="2689">
        <f t="shared" si="25"/>
        <v>0</v>
      </c>
      <c r="Z58" s="909"/>
    </row>
    <row r="59" spans="1:26">
      <c r="A59" s="31"/>
      <c r="B59" s="19"/>
      <c r="C59" s="12">
        <f t="shared" si="14"/>
        <v>1</v>
      </c>
      <c r="D59" s="578"/>
      <c r="E59" s="12">
        <f t="shared" si="15"/>
        <v>1</v>
      </c>
      <c r="F59" s="578"/>
      <c r="G59" s="12">
        <f t="shared" si="16"/>
        <v>1</v>
      </c>
      <c r="H59" s="578"/>
      <c r="I59" s="12">
        <f t="shared" si="17"/>
        <v>1</v>
      </c>
      <c r="J59" s="578"/>
      <c r="K59" s="12">
        <f t="shared" si="18"/>
        <v>1</v>
      </c>
      <c r="L59" s="578"/>
      <c r="M59" s="12">
        <f t="shared" si="19"/>
        <v>1</v>
      </c>
      <c r="N59" s="578"/>
      <c r="O59" s="12">
        <f t="shared" si="20"/>
        <v>1</v>
      </c>
      <c r="P59" s="578"/>
      <c r="Q59" s="12">
        <f t="shared" si="21"/>
        <v>1</v>
      </c>
      <c r="R59" s="12">
        <f t="shared" si="26"/>
        <v>0</v>
      </c>
      <c r="S59" s="246">
        <f t="shared" si="27"/>
        <v>0</v>
      </c>
      <c r="T59" s="821">
        <f t="shared" si="28"/>
        <v>0</v>
      </c>
      <c r="U59" s="2689">
        <f t="shared" si="22"/>
        <v>0</v>
      </c>
      <c r="V59" s="2689">
        <f t="shared" si="23"/>
        <v>0</v>
      </c>
      <c r="W59" s="909"/>
      <c r="X59" s="2689">
        <f t="shared" si="24"/>
        <v>0</v>
      </c>
      <c r="Y59" s="2689">
        <f t="shared" si="25"/>
        <v>0</v>
      </c>
      <c r="Z59" s="909"/>
    </row>
    <row r="60" spans="1:26">
      <c r="A60" s="31"/>
      <c r="B60" s="19"/>
      <c r="C60" s="12">
        <f t="shared" si="14"/>
        <v>1</v>
      </c>
      <c r="D60" s="578"/>
      <c r="E60" s="12">
        <f t="shared" si="15"/>
        <v>1</v>
      </c>
      <c r="F60" s="578"/>
      <c r="G60" s="12">
        <f t="shared" si="16"/>
        <v>1</v>
      </c>
      <c r="H60" s="578"/>
      <c r="I60" s="12">
        <f t="shared" si="17"/>
        <v>1</v>
      </c>
      <c r="J60" s="578"/>
      <c r="K60" s="12">
        <f t="shared" si="18"/>
        <v>1</v>
      </c>
      <c r="L60" s="578"/>
      <c r="M60" s="12">
        <f t="shared" si="19"/>
        <v>1</v>
      </c>
      <c r="N60" s="578"/>
      <c r="O60" s="12">
        <f t="shared" si="20"/>
        <v>1</v>
      </c>
      <c r="P60" s="578"/>
      <c r="Q60" s="12">
        <f t="shared" si="21"/>
        <v>1</v>
      </c>
      <c r="R60" s="12">
        <f t="shared" si="26"/>
        <v>0</v>
      </c>
      <c r="S60" s="246">
        <f t="shared" si="27"/>
        <v>0</v>
      </c>
      <c r="T60" s="821">
        <f t="shared" si="28"/>
        <v>0</v>
      </c>
      <c r="U60" s="2689">
        <f t="shared" si="22"/>
        <v>0</v>
      </c>
      <c r="V60" s="2689">
        <f t="shared" si="23"/>
        <v>0</v>
      </c>
      <c r="W60" s="909"/>
      <c r="X60" s="2689">
        <f t="shared" si="24"/>
        <v>0</v>
      </c>
      <c r="Y60" s="2689">
        <f t="shared" si="25"/>
        <v>0</v>
      </c>
      <c r="Z60" s="909"/>
    </row>
    <row r="61" spans="1:26">
      <c r="A61" s="31"/>
      <c r="B61" s="19"/>
      <c r="C61" s="12">
        <f t="shared" si="14"/>
        <v>1</v>
      </c>
      <c r="D61" s="578"/>
      <c r="E61" s="12">
        <f t="shared" si="15"/>
        <v>1</v>
      </c>
      <c r="F61" s="578"/>
      <c r="G61" s="12">
        <f t="shared" si="16"/>
        <v>1</v>
      </c>
      <c r="H61" s="578"/>
      <c r="I61" s="12">
        <f t="shared" si="17"/>
        <v>1</v>
      </c>
      <c r="J61" s="578"/>
      <c r="K61" s="12">
        <f t="shared" si="18"/>
        <v>1</v>
      </c>
      <c r="L61" s="578"/>
      <c r="M61" s="12">
        <f t="shared" si="19"/>
        <v>1</v>
      </c>
      <c r="N61" s="578"/>
      <c r="O61" s="12">
        <f t="shared" si="20"/>
        <v>1</v>
      </c>
      <c r="P61" s="578"/>
      <c r="Q61" s="12">
        <f t="shared" si="21"/>
        <v>1</v>
      </c>
      <c r="R61" s="12">
        <f t="shared" si="26"/>
        <v>0</v>
      </c>
      <c r="S61" s="246">
        <f t="shared" si="27"/>
        <v>0</v>
      </c>
      <c r="T61" s="821">
        <f t="shared" si="28"/>
        <v>0</v>
      </c>
      <c r="U61" s="2689">
        <f t="shared" si="22"/>
        <v>0</v>
      </c>
      <c r="V61" s="2689">
        <f t="shared" si="23"/>
        <v>0</v>
      </c>
      <c r="W61" s="909"/>
      <c r="X61" s="2689">
        <f t="shared" si="24"/>
        <v>0</v>
      </c>
      <c r="Y61" s="2689">
        <f t="shared" si="25"/>
        <v>0</v>
      </c>
      <c r="Z61" s="909"/>
    </row>
    <row r="62" spans="1:26">
      <c r="A62" s="31"/>
      <c r="B62" s="19"/>
      <c r="C62" s="12">
        <f t="shared" si="14"/>
        <v>1</v>
      </c>
      <c r="D62" s="578"/>
      <c r="E62" s="12">
        <f t="shared" si="15"/>
        <v>1</v>
      </c>
      <c r="F62" s="578"/>
      <c r="G62" s="12">
        <f t="shared" si="16"/>
        <v>1</v>
      </c>
      <c r="H62" s="578"/>
      <c r="I62" s="12">
        <f t="shared" si="17"/>
        <v>1</v>
      </c>
      <c r="J62" s="578"/>
      <c r="K62" s="12">
        <f t="shared" si="18"/>
        <v>1</v>
      </c>
      <c r="L62" s="578"/>
      <c r="M62" s="12">
        <f t="shared" si="19"/>
        <v>1</v>
      </c>
      <c r="N62" s="578"/>
      <c r="O62" s="12">
        <f t="shared" si="20"/>
        <v>1</v>
      </c>
      <c r="P62" s="578"/>
      <c r="Q62" s="12">
        <f t="shared" si="21"/>
        <v>1</v>
      </c>
      <c r="R62" s="12">
        <f t="shared" si="26"/>
        <v>0</v>
      </c>
      <c r="S62" s="246">
        <f t="shared" si="27"/>
        <v>0</v>
      </c>
      <c r="T62" s="821">
        <f t="shared" si="28"/>
        <v>0</v>
      </c>
      <c r="U62" s="2689">
        <f t="shared" si="22"/>
        <v>0</v>
      </c>
      <c r="V62" s="2689">
        <f t="shared" si="23"/>
        <v>0</v>
      </c>
      <c r="W62" s="909"/>
      <c r="X62" s="2689">
        <f t="shared" si="24"/>
        <v>0</v>
      </c>
      <c r="Y62" s="2689">
        <f t="shared" si="25"/>
        <v>0</v>
      </c>
      <c r="Z62" s="909"/>
    </row>
    <row r="63" spans="1:26">
      <c r="A63" s="31"/>
      <c r="B63" s="19"/>
      <c r="C63" s="12">
        <f t="shared" si="14"/>
        <v>1</v>
      </c>
      <c r="D63" s="578"/>
      <c r="E63" s="12">
        <f t="shared" si="15"/>
        <v>1</v>
      </c>
      <c r="F63" s="578"/>
      <c r="G63" s="12">
        <f t="shared" si="16"/>
        <v>1</v>
      </c>
      <c r="H63" s="578"/>
      <c r="I63" s="12">
        <f t="shared" si="17"/>
        <v>1</v>
      </c>
      <c r="J63" s="578"/>
      <c r="K63" s="12">
        <f t="shared" si="18"/>
        <v>1</v>
      </c>
      <c r="L63" s="578"/>
      <c r="M63" s="12">
        <f t="shared" si="19"/>
        <v>1</v>
      </c>
      <c r="N63" s="578"/>
      <c r="O63" s="12">
        <f t="shared" si="20"/>
        <v>1</v>
      </c>
      <c r="P63" s="578"/>
      <c r="Q63" s="12">
        <f t="shared" si="21"/>
        <v>1</v>
      </c>
      <c r="R63" s="12">
        <f t="shared" si="26"/>
        <v>0</v>
      </c>
      <c r="S63" s="246">
        <f t="shared" si="27"/>
        <v>0</v>
      </c>
      <c r="T63" s="821">
        <f t="shared" si="28"/>
        <v>0</v>
      </c>
      <c r="U63" s="2689">
        <f t="shared" si="22"/>
        <v>0</v>
      </c>
      <c r="V63" s="2689">
        <f t="shared" si="23"/>
        <v>0</v>
      </c>
      <c r="W63" s="909"/>
      <c r="X63" s="2689">
        <f t="shared" si="24"/>
        <v>0</v>
      </c>
      <c r="Y63" s="2689">
        <f t="shared" si="25"/>
        <v>0</v>
      </c>
      <c r="Z63" s="909"/>
    </row>
    <row r="64" spans="1:26">
      <c r="A64" s="31"/>
      <c r="B64" s="19"/>
      <c r="C64" s="12">
        <f t="shared" si="14"/>
        <v>1</v>
      </c>
      <c r="D64" s="578"/>
      <c r="E64" s="12">
        <f t="shared" si="15"/>
        <v>1</v>
      </c>
      <c r="F64" s="578"/>
      <c r="G64" s="12">
        <f t="shared" si="16"/>
        <v>1</v>
      </c>
      <c r="H64" s="578"/>
      <c r="I64" s="12">
        <f t="shared" si="17"/>
        <v>1</v>
      </c>
      <c r="J64" s="578"/>
      <c r="K64" s="12">
        <f t="shared" si="18"/>
        <v>1</v>
      </c>
      <c r="L64" s="578"/>
      <c r="M64" s="12">
        <f t="shared" si="19"/>
        <v>1</v>
      </c>
      <c r="N64" s="578"/>
      <c r="O64" s="12">
        <f t="shared" si="20"/>
        <v>1</v>
      </c>
      <c r="P64" s="578"/>
      <c r="Q64" s="12">
        <f t="shared" si="21"/>
        <v>1</v>
      </c>
      <c r="R64" s="12">
        <f t="shared" si="26"/>
        <v>0</v>
      </c>
      <c r="S64" s="246">
        <f t="shared" si="27"/>
        <v>0</v>
      </c>
      <c r="T64" s="821">
        <f t="shared" si="28"/>
        <v>0</v>
      </c>
      <c r="U64" s="2689">
        <f t="shared" si="22"/>
        <v>0</v>
      </c>
      <c r="V64" s="2689">
        <f t="shared" si="23"/>
        <v>0</v>
      </c>
      <c r="W64" s="909"/>
      <c r="X64" s="2689">
        <f t="shared" si="24"/>
        <v>0</v>
      </c>
      <c r="Y64" s="2689">
        <f t="shared" si="25"/>
        <v>0</v>
      </c>
      <c r="Z64" s="909"/>
    </row>
    <row r="65" spans="1:26">
      <c r="A65" s="31"/>
      <c r="B65" s="19"/>
      <c r="C65" s="12">
        <f t="shared" si="14"/>
        <v>1</v>
      </c>
      <c r="D65" s="578"/>
      <c r="E65" s="12">
        <f t="shared" si="15"/>
        <v>1</v>
      </c>
      <c r="F65" s="578"/>
      <c r="G65" s="12">
        <f t="shared" si="16"/>
        <v>1</v>
      </c>
      <c r="H65" s="578"/>
      <c r="I65" s="12">
        <f t="shared" si="17"/>
        <v>1</v>
      </c>
      <c r="J65" s="578"/>
      <c r="K65" s="12">
        <f t="shared" si="18"/>
        <v>1</v>
      </c>
      <c r="L65" s="578"/>
      <c r="M65" s="12">
        <f t="shared" si="19"/>
        <v>1</v>
      </c>
      <c r="N65" s="578"/>
      <c r="O65" s="12">
        <f t="shared" si="20"/>
        <v>1</v>
      </c>
      <c r="P65" s="578"/>
      <c r="Q65" s="12">
        <f t="shared" si="21"/>
        <v>1</v>
      </c>
      <c r="R65" s="12">
        <f t="shared" si="26"/>
        <v>0</v>
      </c>
      <c r="S65" s="246">
        <f t="shared" si="27"/>
        <v>0</v>
      </c>
      <c r="T65" s="821">
        <f t="shared" si="28"/>
        <v>0</v>
      </c>
      <c r="U65" s="2689">
        <f t="shared" si="22"/>
        <v>0</v>
      </c>
      <c r="V65" s="2689">
        <f t="shared" si="23"/>
        <v>0</v>
      </c>
      <c r="W65" s="909"/>
      <c r="X65" s="2689">
        <f t="shared" si="24"/>
        <v>0</v>
      </c>
      <c r="Y65" s="2689">
        <f t="shared" si="25"/>
        <v>0</v>
      </c>
      <c r="Z65" s="909"/>
    </row>
    <row r="66" spans="1:26">
      <c r="A66" s="31"/>
      <c r="B66" s="19"/>
      <c r="C66" s="12">
        <f t="shared" si="14"/>
        <v>1</v>
      </c>
      <c r="D66" s="578"/>
      <c r="E66" s="12">
        <f t="shared" si="15"/>
        <v>1</v>
      </c>
      <c r="F66" s="578"/>
      <c r="G66" s="12">
        <f t="shared" si="16"/>
        <v>1</v>
      </c>
      <c r="H66" s="578"/>
      <c r="I66" s="12">
        <f t="shared" si="17"/>
        <v>1</v>
      </c>
      <c r="J66" s="578"/>
      <c r="K66" s="12">
        <f t="shared" si="18"/>
        <v>1</v>
      </c>
      <c r="L66" s="578"/>
      <c r="M66" s="12">
        <f t="shared" si="19"/>
        <v>1</v>
      </c>
      <c r="N66" s="578"/>
      <c r="O66" s="12">
        <f t="shared" si="20"/>
        <v>1</v>
      </c>
      <c r="P66" s="578"/>
      <c r="Q66" s="12">
        <f t="shared" si="21"/>
        <v>1</v>
      </c>
      <c r="R66" s="12">
        <f t="shared" si="26"/>
        <v>0</v>
      </c>
      <c r="S66" s="246">
        <f t="shared" si="27"/>
        <v>0</v>
      </c>
      <c r="T66" s="821">
        <f t="shared" si="28"/>
        <v>0</v>
      </c>
      <c r="U66" s="2689">
        <f t="shared" si="22"/>
        <v>0</v>
      </c>
      <c r="V66" s="2689">
        <f t="shared" si="23"/>
        <v>0</v>
      </c>
      <c r="W66" s="909"/>
      <c r="X66" s="2689">
        <f t="shared" si="24"/>
        <v>0</v>
      </c>
      <c r="Y66" s="2689">
        <f t="shared" si="25"/>
        <v>0</v>
      </c>
      <c r="Z66" s="909"/>
    </row>
    <row r="67" spans="1:26">
      <c r="A67" s="31"/>
      <c r="B67" s="19"/>
      <c r="C67" s="12">
        <f t="shared" si="14"/>
        <v>1</v>
      </c>
      <c r="D67" s="578"/>
      <c r="E67" s="12">
        <f t="shared" si="15"/>
        <v>1</v>
      </c>
      <c r="F67" s="578"/>
      <c r="G67" s="12">
        <f t="shared" si="16"/>
        <v>1</v>
      </c>
      <c r="H67" s="578"/>
      <c r="I67" s="12">
        <f t="shared" si="17"/>
        <v>1</v>
      </c>
      <c r="J67" s="578"/>
      <c r="K67" s="12">
        <f t="shared" si="18"/>
        <v>1</v>
      </c>
      <c r="L67" s="578"/>
      <c r="M67" s="12">
        <f t="shared" si="19"/>
        <v>1</v>
      </c>
      <c r="N67" s="578"/>
      <c r="O67" s="12">
        <f t="shared" si="20"/>
        <v>1</v>
      </c>
      <c r="P67" s="578"/>
      <c r="Q67" s="12">
        <f t="shared" si="21"/>
        <v>1</v>
      </c>
      <c r="R67" s="12">
        <f t="shared" si="26"/>
        <v>0</v>
      </c>
      <c r="S67" s="246">
        <f t="shared" si="27"/>
        <v>0</v>
      </c>
      <c r="T67" s="821">
        <f t="shared" si="28"/>
        <v>0</v>
      </c>
      <c r="U67" s="2689">
        <f t="shared" si="22"/>
        <v>0</v>
      </c>
      <c r="V67" s="2689">
        <f t="shared" si="23"/>
        <v>0</v>
      </c>
      <c r="W67" s="909"/>
      <c r="X67" s="2689">
        <f t="shared" si="24"/>
        <v>0</v>
      </c>
      <c r="Y67" s="2689">
        <f t="shared" si="25"/>
        <v>0</v>
      </c>
      <c r="Z67" s="909"/>
    </row>
    <row r="68" spans="1:26">
      <c r="A68" s="31"/>
      <c r="B68" s="19"/>
      <c r="C68" s="12">
        <f t="shared" si="14"/>
        <v>1</v>
      </c>
      <c r="D68" s="578"/>
      <c r="E68" s="12">
        <f t="shared" si="15"/>
        <v>1</v>
      </c>
      <c r="F68" s="578"/>
      <c r="G68" s="12">
        <f t="shared" si="16"/>
        <v>1</v>
      </c>
      <c r="H68" s="578"/>
      <c r="I68" s="12">
        <f t="shared" si="17"/>
        <v>1</v>
      </c>
      <c r="J68" s="578"/>
      <c r="K68" s="12">
        <f t="shared" si="18"/>
        <v>1</v>
      </c>
      <c r="L68" s="578"/>
      <c r="M68" s="12">
        <f t="shared" si="19"/>
        <v>1</v>
      </c>
      <c r="N68" s="578"/>
      <c r="O68" s="12">
        <f t="shared" si="20"/>
        <v>1</v>
      </c>
      <c r="P68" s="578"/>
      <c r="Q68" s="12">
        <f t="shared" si="21"/>
        <v>1</v>
      </c>
      <c r="R68" s="12">
        <f t="shared" si="26"/>
        <v>0</v>
      </c>
      <c r="S68" s="246">
        <f t="shared" si="27"/>
        <v>0</v>
      </c>
      <c r="T68" s="821">
        <f t="shared" si="28"/>
        <v>0</v>
      </c>
      <c r="U68" s="2689">
        <f t="shared" si="22"/>
        <v>0</v>
      </c>
      <c r="V68" s="2689">
        <f t="shared" si="23"/>
        <v>0</v>
      </c>
      <c r="W68" s="909"/>
      <c r="X68" s="2689">
        <f t="shared" si="24"/>
        <v>0</v>
      </c>
      <c r="Y68" s="2689">
        <f t="shared" si="25"/>
        <v>0</v>
      </c>
      <c r="Z68" s="909"/>
    </row>
    <row r="69" spans="1:26">
      <c r="A69" s="31"/>
      <c r="B69" s="19"/>
      <c r="C69" s="12">
        <f t="shared" si="14"/>
        <v>1</v>
      </c>
      <c r="D69" s="578"/>
      <c r="E69" s="12">
        <f t="shared" si="15"/>
        <v>1</v>
      </c>
      <c r="F69" s="578"/>
      <c r="G69" s="12">
        <f t="shared" si="16"/>
        <v>1</v>
      </c>
      <c r="H69" s="578"/>
      <c r="I69" s="12">
        <f t="shared" si="17"/>
        <v>1</v>
      </c>
      <c r="J69" s="578"/>
      <c r="K69" s="12">
        <f t="shared" si="18"/>
        <v>1</v>
      </c>
      <c r="L69" s="578"/>
      <c r="M69" s="12">
        <f t="shared" si="19"/>
        <v>1</v>
      </c>
      <c r="N69" s="578"/>
      <c r="O69" s="12">
        <f t="shared" si="20"/>
        <v>1</v>
      </c>
      <c r="P69" s="578"/>
      <c r="Q69" s="12">
        <f t="shared" si="21"/>
        <v>1</v>
      </c>
      <c r="R69" s="12">
        <f t="shared" si="26"/>
        <v>0</v>
      </c>
      <c r="S69" s="246">
        <f t="shared" si="27"/>
        <v>0</v>
      </c>
      <c r="T69" s="821">
        <f t="shared" si="28"/>
        <v>0</v>
      </c>
      <c r="U69" s="2689">
        <f t="shared" si="22"/>
        <v>0</v>
      </c>
      <c r="V69" s="2689">
        <f t="shared" si="23"/>
        <v>0</v>
      </c>
      <c r="W69" s="909"/>
      <c r="X69" s="2689">
        <f t="shared" si="24"/>
        <v>0</v>
      </c>
      <c r="Y69" s="2689">
        <f t="shared" si="25"/>
        <v>0</v>
      </c>
      <c r="Z69" s="909"/>
    </row>
    <row r="70" spans="1:26">
      <c r="A70" s="31"/>
      <c r="B70" s="19"/>
      <c r="C70" s="12">
        <f t="shared" si="14"/>
        <v>1</v>
      </c>
      <c r="D70" s="578"/>
      <c r="E70" s="12">
        <f t="shared" si="15"/>
        <v>1</v>
      </c>
      <c r="F70" s="578"/>
      <c r="G70" s="12">
        <f t="shared" si="16"/>
        <v>1</v>
      </c>
      <c r="H70" s="578"/>
      <c r="I70" s="12">
        <f t="shared" si="17"/>
        <v>1</v>
      </c>
      <c r="J70" s="578"/>
      <c r="K70" s="12">
        <f t="shared" si="18"/>
        <v>1</v>
      </c>
      <c r="L70" s="578"/>
      <c r="M70" s="12">
        <f t="shared" si="19"/>
        <v>1</v>
      </c>
      <c r="N70" s="578"/>
      <c r="O70" s="12">
        <f t="shared" si="20"/>
        <v>1</v>
      </c>
      <c r="P70" s="578"/>
      <c r="Q70" s="12">
        <f t="shared" si="21"/>
        <v>1</v>
      </c>
      <c r="R70" s="12">
        <f t="shared" si="26"/>
        <v>0</v>
      </c>
      <c r="S70" s="246">
        <f t="shared" si="27"/>
        <v>0</v>
      </c>
      <c r="T70" s="821">
        <f t="shared" si="28"/>
        <v>0</v>
      </c>
      <c r="U70" s="2689">
        <f t="shared" si="22"/>
        <v>0</v>
      </c>
      <c r="V70" s="2689">
        <f t="shared" si="23"/>
        <v>0</v>
      </c>
      <c r="W70" s="909"/>
      <c r="X70" s="2689">
        <f t="shared" si="24"/>
        <v>0</v>
      </c>
      <c r="Y70" s="2689">
        <f t="shared" si="25"/>
        <v>0</v>
      </c>
      <c r="Z70" s="909"/>
    </row>
    <row r="71" spans="1:26">
      <c r="A71" s="31"/>
      <c r="B71" s="19"/>
      <c r="C71" s="12">
        <f t="shared" si="14"/>
        <v>1</v>
      </c>
      <c r="D71" s="578"/>
      <c r="E71" s="12">
        <f t="shared" si="15"/>
        <v>1</v>
      </c>
      <c r="F71" s="578"/>
      <c r="G71" s="12">
        <f t="shared" si="16"/>
        <v>1</v>
      </c>
      <c r="H71" s="578"/>
      <c r="I71" s="12">
        <f t="shared" si="17"/>
        <v>1</v>
      </c>
      <c r="J71" s="578"/>
      <c r="K71" s="12">
        <f t="shared" si="18"/>
        <v>1</v>
      </c>
      <c r="L71" s="578"/>
      <c r="M71" s="12">
        <f t="shared" si="19"/>
        <v>1</v>
      </c>
      <c r="N71" s="578"/>
      <c r="O71" s="12">
        <f t="shared" si="20"/>
        <v>1</v>
      </c>
      <c r="P71" s="578"/>
      <c r="Q71" s="12">
        <f t="shared" si="21"/>
        <v>1</v>
      </c>
      <c r="R71" s="12">
        <f t="shared" si="26"/>
        <v>0</v>
      </c>
      <c r="S71" s="246">
        <f t="shared" si="27"/>
        <v>0</v>
      </c>
      <c r="T71" s="821">
        <f t="shared" si="28"/>
        <v>0</v>
      </c>
      <c r="U71" s="2689">
        <f t="shared" si="22"/>
        <v>0</v>
      </c>
      <c r="V71" s="2689">
        <f t="shared" si="23"/>
        <v>0</v>
      </c>
      <c r="W71" s="909"/>
      <c r="X71" s="2689">
        <f t="shared" si="24"/>
        <v>0</v>
      </c>
      <c r="Y71" s="2689">
        <f t="shared" si="25"/>
        <v>0</v>
      </c>
      <c r="Z71" s="909"/>
    </row>
    <row r="72" spans="1:26">
      <c r="A72" s="31"/>
      <c r="B72" s="19"/>
      <c r="C72" s="12">
        <f t="shared" si="14"/>
        <v>1</v>
      </c>
      <c r="D72" s="578"/>
      <c r="E72" s="12">
        <f t="shared" si="15"/>
        <v>1</v>
      </c>
      <c r="F72" s="578"/>
      <c r="G72" s="12">
        <f t="shared" si="16"/>
        <v>1</v>
      </c>
      <c r="H72" s="578"/>
      <c r="I72" s="12">
        <f t="shared" si="17"/>
        <v>1</v>
      </c>
      <c r="J72" s="578"/>
      <c r="K72" s="12">
        <f t="shared" si="18"/>
        <v>1</v>
      </c>
      <c r="L72" s="578"/>
      <c r="M72" s="12">
        <f t="shared" si="19"/>
        <v>1</v>
      </c>
      <c r="N72" s="578"/>
      <c r="O72" s="12">
        <f t="shared" si="20"/>
        <v>1</v>
      </c>
      <c r="P72" s="578"/>
      <c r="Q72" s="12">
        <f t="shared" si="21"/>
        <v>1</v>
      </c>
      <c r="R72" s="12">
        <f t="shared" si="26"/>
        <v>0</v>
      </c>
      <c r="S72" s="246">
        <f t="shared" si="27"/>
        <v>0</v>
      </c>
      <c r="T72" s="821">
        <f t="shared" si="28"/>
        <v>0</v>
      </c>
      <c r="U72" s="2689">
        <f t="shared" si="22"/>
        <v>0</v>
      </c>
      <c r="V72" s="2689">
        <f t="shared" si="23"/>
        <v>0</v>
      </c>
      <c r="W72" s="909"/>
      <c r="X72" s="2689">
        <f t="shared" si="24"/>
        <v>0</v>
      </c>
      <c r="Y72" s="2689">
        <f t="shared" si="25"/>
        <v>0</v>
      </c>
      <c r="Z72" s="909"/>
    </row>
    <row r="73" spans="1:26">
      <c r="A73" s="31"/>
      <c r="B73" s="19"/>
      <c r="C73" s="12">
        <f t="shared" si="14"/>
        <v>1</v>
      </c>
      <c r="D73" s="578"/>
      <c r="E73" s="12">
        <f t="shared" si="15"/>
        <v>1</v>
      </c>
      <c r="F73" s="578"/>
      <c r="G73" s="12">
        <f t="shared" si="16"/>
        <v>1</v>
      </c>
      <c r="H73" s="578"/>
      <c r="I73" s="12">
        <f t="shared" si="17"/>
        <v>1</v>
      </c>
      <c r="J73" s="578"/>
      <c r="K73" s="12">
        <f t="shared" si="18"/>
        <v>1</v>
      </c>
      <c r="L73" s="578"/>
      <c r="M73" s="12">
        <f t="shared" si="19"/>
        <v>1</v>
      </c>
      <c r="N73" s="578"/>
      <c r="O73" s="12">
        <f t="shared" si="20"/>
        <v>1</v>
      </c>
      <c r="P73" s="578"/>
      <c r="Q73" s="12">
        <f t="shared" si="21"/>
        <v>1</v>
      </c>
      <c r="R73" s="12">
        <f t="shared" si="26"/>
        <v>0</v>
      </c>
      <c r="S73" s="246">
        <f t="shared" si="27"/>
        <v>0</v>
      </c>
      <c r="T73" s="821">
        <f t="shared" si="28"/>
        <v>0</v>
      </c>
      <c r="U73" s="2689">
        <f t="shared" si="22"/>
        <v>0</v>
      </c>
      <c r="V73" s="2689">
        <f t="shared" si="23"/>
        <v>0</v>
      </c>
      <c r="W73" s="909"/>
      <c r="X73" s="2689">
        <f t="shared" si="24"/>
        <v>0</v>
      </c>
      <c r="Y73" s="2689">
        <f t="shared" si="25"/>
        <v>0</v>
      </c>
      <c r="Z73" s="909"/>
    </row>
    <row r="74" spans="1:26">
      <c r="A74" s="31"/>
      <c r="B74" s="19"/>
      <c r="C74" s="12">
        <f t="shared" si="14"/>
        <v>1</v>
      </c>
      <c r="D74" s="578"/>
      <c r="E74" s="12">
        <f t="shared" si="15"/>
        <v>1</v>
      </c>
      <c r="F74" s="578"/>
      <c r="G74" s="12">
        <f t="shared" si="16"/>
        <v>1</v>
      </c>
      <c r="H74" s="578"/>
      <c r="I74" s="12">
        <f t="shared" si="17"/>
        <v>1</v>
      </c>
      <c r="J74" s="578"/>
      <c r="K74" s="12">
        <f t="shared" si="18"/>
        <v>1</v>
      </c>
      <c r="L74" s="578"/>
      <c r="M74" s="12">
        <f t="shared" si="19"/>
        <v>1</v>
      </c>
      <c r="N74" s="578"/>
      <c r="O74" s="12">
        <f t="shared" si="20"/>
        <v>1</v>
      </c>
      <c r="P74" s="578"/>
      <c r="Q74" s="12">
        <f t="shared" si="21"/>
        <v>1</v>
      </c>
      <c r="R74" s="12">
        <f t="shared" si="26"/>
        <v>0</v>
      </c>
      <c r="S74" s="246">
        <f t="shared" si="27"/>
        <v>0</v>
      </c>
      <c r="T74" s="821">
        <f t="shared" si="28"/>
        <v>0</v>
      </c>
      <c r="U74" s="2689">
        <f t="shared" si="22"/>
        <v>0</v>
      </c>
      <c r="V74" s="2689">
        <f t="shared" si="23"/>
        <v>0</v>
      </c>
      <c r="W74" s="909"/>
      <c r="X74" s="2689">
        <f t="shared" si="24"/>
        <v>0</v>
      </c>
      <c r="Y74" s="2689">
        <f t="shared" si="25"/>
        <v>0</v>
      </c>
      <c r="Z74" s="909"/>
    </row>
    <row r="75" spans="1:26">
      <c r="A75" s="31"/>
      <c r="B75" s="19"/>
      <c r="C75" s="12">
        <f t="shared" si="14"/>
        <v>1</v>
      </c>
      <c r="D75" s="578"/>
      <c r="E75" s="12">
        <f t="shared" si="15"/>
        <v>1</v>
      </c>
      <c r="F75" s="578"/>
      <c r="G75" s="12">
        <f t="shared" si="16"/>
        <v>1</v>
      </c>
      <c r="H75" s="578"/>
      <c r="I75" s="12">
        <f t="shared" si="17"/>
        <v>1</v>
      </c>
      <c r="J75" s="578"/>
      <c r="K75" s="12">
        <f t="shared" si="18"/>
        <v>1</v>
      </c>
      <c r="L75" s="578"/>
      <c r="M75" s="12">
        <f t="shared" si="19"/>
        <v>1</v>
      </c>
      <c r="N75" s="578"/>
      <c r="O75" s="12">
        <f t="shared" si="20"/>
        <v>1</v>
      </c>
      <c r="P75" s="578"/>
      <c r="Q75" s="12">
        <f t="shared" si="21"/>
        <v>1</v>
      </c>
      <c r="R75" s="12">
        <f t="shared" si="26"/>
        <v>0</v>
      </c>
      <c r="S75" s="246">
        <f t="shared" si="27"/>
        <v>0</v>
      </c>
      <c r="T75" s="821">
        <f t="shared" si="28"/>
        <v>0</v>
      </c>
      <c r="U75" s="2689">
        <f t="shared" si="22"/>
        <v>0</v>
      </c>
      <c r="V75" s="2689">
        <f t="shared" si="23"/>
        <v>0</v>
      </c>
      <c r="W75" s="909"/>
      <c r="X75" s="2689">
        <f t="shared" si="24"/>
        <v>0</v>
      </c>
      <c r="Y75" s="2689">
        <f t="shared" si="25"/>
        <v>0</v>
      </c>
      <c r="Z75" s="909"/>
    </row>
    <row r="76" spans="1:26">
      <c r="A76" s="31"/>
      <c r="B76" s="19"/>
      <c r="C76" s="12">
        <f t="shared" si="14"/>
        <v>1</v>
      </c>
      <c r="D76" s="578"/>
      <c r="E76" s="12">
        <f t="shared" si="15"/>
        <v>1</v>
      </c>
      <c r="F76" s="578"/>
      <c r="G76" s="12">
        <f t="shared" si="16"/>
        <v>1</v>
      </c>
      <c r="H76" s="578"/>
      <c r="I76" s="12">
        <f t="shared" si="17"/>
        <v>1</v>
      </c>
      <c r="J76" s="578"/>
      <c r="K76" s="12">
        <f t="shared" si="18"/>
        <v>1</v>
      </c>
      <c r="L76" s="578"/>
      <c r="M76" s="12">
        <f t="shared" si="19"/>
        <v>1</v>
      </c>
      <c r="N76" s="578"/>
      <c r="O76" s="12">
        <f t="shared" si="20"/>
        <v>1</v>
      </c>
      <c r="P76" s="578"/>
      <c r="Q76" s="12">
        <f t="shared" si="21"/>
        <v>1</v>
      </c>
      <c r="R76" s="12">
        <f t="shared" si="26"/>
        <v>0</v>
      </c>
      <c r="S76" s="246">
        <f t="shared" si="27"/>
        <v>0</v>
      </c>
      <c r="T76" s="821">
        <f t="shared" si="28"/>
        <v>0</v>
      </c>
      <c r="U76" s="2689">
        <f t="shared" si="22"/>
        <v>0</v>
      </c>
      <c r="V76" s="2689">
        <f t="shared" si="23"/>
        <v>0</v>
      </c>
      <c r="W76" s="909"/>
      <c r="X76" s="2689">
        <f t="shared" si="24"/>
        <v>0</v>
      </c>
      <c r="Y76" s="2689">
        <f t="shared" si="25"/>
        <v>0</v>
      </c>
      <c r="Z76" s="909"/>
    </row>
    <row r="77" spans="1:26">
      <c r="A77" s="31"/>
      <c r="B77" s="19"/>
      <c r="C77" s="12">
        <f t="shared" si="14"/>
        <v>1</v>
      </c>
      <c r="D77" s="578"/>
      <c r="E77" s="12">
        <f t="shared" si="15"/>
        <v>1</v>
      </c>
      <c r="F77" s="578"/>
      <c r="G77" s="12">
        <f t="shared" si="16"/>
        <v>1</v>
      </c>
      <c r="H77" s="578"/>
      <c r="I77" s="12">
        <f t="shared" si="17"/>
        <v>1</v>
      </c>
      <c r="J77" s="578"/>
      <c r="K77" s="12">
        <f t="shared" si="18"/>
        <v>1</v>
      </c>
      <c r="L77" s="578"/>
      <c r="M77" s="12">
        <f t="shared" si="19"/>
        <v>1</v>
      </c>
      <c r="N77" s="578"/>
      <c r="O77" s="12">
        <f t="shared" si="20"/>
        <v>1</v>
      </c>
      <c r="P77" s="578"/>
      <c r="Q77" s="12">
        <f t="shared" si="21"/>
        <v>1</v>
      </c>
      <c r="R77" s="12">
        <f t="shared" si="26"/>
        <v>0</v>
      </c>
      <c r="S77" s="246">
        <f t="shared" si="27"/>
        <v>0</v>
      </c>
      <c r="T77" s="821">
        <f t="shared" si="28"/>
        <v>0</v>
      </c>
      <c r="U77" s="2689">
        <f t="shared" si="22"/>
        <v>0</v>
      </c>
      <c r="V77" s="2689">
        <f t="shared" si="23"/>
        <v>0</v>
      </c>
      <c r="W77" s="909"/>
      <c r="X77" s="2689">
        <f t="shared" si="24"/>
        <v>0</v>
      </c>
      <c r="Y77" s="2689">
        <f t="shared" si="25"/>
        <v>0</v>
      </c>
      <c r="Z77" s="909"/>
    </row>
    <row r="78" spans="1:26">
      <c r="A78" s="31"/>
      <c r="B78" s="19"/>
      <c r="C78" s="12">
        <f t="shared" si="14"/>
        <v>1</v>
      </c>
      <c r="D78" s="578"/>
      <c r="E78" s="12">
        <f t="shared" si="15"/>
        <v>1</v>
      </c>
      <c r="F78" s="578"/>
      <c r="G78" s="12">
        <f t="shared" si="16"/>
        <v>1</v>
      </c>
      <c r="H78" s="578"/>
      <c r="I78" s="12">
        <f t="shared" si="17"/>
        <v>1</v>
      </c>
      <c r="J78" s="578"/>
      <c r="K78" s="12">
        <f t="shared" si="18"/>
        <v>1</v>
      </c>
      <c r="L78" s="578"/>
      <c r="M78" s="12">
        <f t="shared" si="19"/>
        <v>1</v>
      </c>
      <c r="N78" s="578"/>
      <c r="O78" s="12">
        <f t="shared" si="20"/>
        <v>1</v>
      </c>
      <c r="P78" s="578"/>
      <c r="Q78" s="12">
        <f t="shared" si="21"/>
        <v>1</v>
      </c>
      <c r="R78" s="12">
        <f t="shared" si="26"/>
        <v>0</v>
      </c>
      <c r="S78" s="246">
        <f t="shared" si="27"/>
        <v>0</v>
      </c>
      <c r="T78" s="821">
        <f t="shared" si="28"/>
        <v>0</v>
      </c>
      <c r="U78" s="2689">
        <f t="shared" si="22"/>
        <v>0</v>
      </c>
      <c r="V78" s="2689">
        <f t="shared" si="23"/>
        <v>0</v>
      </c>
      <c r="W78" s="909"/>
      <c r="X78" s="2689">
        <f t="shared" si="24"/>
        <v>0</v>
      </c>
      <c r="Y78" s="2689">
        <f t="shared" si="25"/>
        <v>0</v>
      </c>
      <c r="Z78" s="909"/>
    </row>
    <row r="79" spans="1:26">
      <c r="A79" s="31"/>
      <c r="B79" s="19"/>
      <c r="C79" s="12">
        <f t="shared" si="14"/>
        <v>1</v>
      </c>
      <c r="D79" s="578"/>
      <c r="E79" s="12">
        <f t="shared" si="15"/>
        <v>1</v>
      </c>
      <c r="F79" s="578"/>
      <c r="G79" s="12">
        <f t="shared" si="16"/>
        <v>1</v>
      </c>
      <c r="H79" s="578"/>
      <c r="I79" s="12">
        <f t="shared" si="17"/>
        <v>1</v>
      </c>
      <c r="J79" s="578"/>
      <c r="K79" s="12">
        <f t="shared" si="18"/>
        <v>1</v>
      </c>
      <c r="L79" s="578"/>
      <c r="M79" s="12">
        <f t="shared" si="19"/>
        <v>1</v>
      </c>
      <c r="N79" s="578"/>
      <c r="O79" s="12">
        <f t="shared" si="20"/>
        <v>1</v>
      </c>
      <c r="P79" s="578"/>
      <c r="Q79" s="12">
        <f t="shared" si="21"/>
        <v>1</v>
      </c>
      <c r="R79" s="12">
        <f t="shared" si="26"/>
        <v>0</v>
      </c>
      <c r="S79" s="246">
        <f t="shared" si="27"/>
        <v>0</v>
      </c>
      <c r="T79" s="821">
        <f t="shared" si="28"/>
        <v>0</v>
      </c>
      <c r="U79" s="2689">
        <f t="shared" si="22"/>
        <v>0</v>
      </c>
      <c r="V79" s="2689">
        <f t="shared" si="23"/>
        <v>0</v>
      </c>
      <c r="W79" s="909"/>
      <c r="X79" s="2689">
        <f t="shared" si="24"/>
        <v>0</v>
      </c>
      <c r="Y79" s="2689">
        <f t="shared" si="25"/>
        <v>0</v>
      </c>
      <c r="Z79" s="909"/>
    </row>
    <row r="80" spans="1:26">
      <c r="A80" s="31"/>
      <c r="B80" s="19"/>
      <c r="C80" s="12">
        <f t="shared" si="14"/>
        <v>1</v>
      </c>
      <c r="D80" s="578"/>
      <c r="E80" s="12">
        <f t="shared" si="15"/>
        <v>1</v>
      </c>
      <c r="F80" s="578"/>
      <c r="G80" s="12">
        <f t="shared" si="16"/>
        <v>1</v>
      </c>
      <c r="H80" s="578"/>
      <c r="I80" s="12">
        <f t="shared" si="17"/>
        <v>1</v>
      </c>
      <c r="J80" s="578"/>
      <c r="K80" s="12">
        <f t="shared" si="18"/>
        <v>1</v>
      </c>
      <c r="L80" s="578"/>
      <c r="M80" s="12">
        <f t="shared" si="19"/>
        <v>1</v>
      </c>
      <c r="N80" s="578"/>
      <c r="O80" s="12">
        <f t="shared" si="20"/>
        <v>1</v>
      </c>
      <c r="P80" s="578"/>
      <c r="Q80" s="12">
        <f t="shared" si="21"/>
        <v>1</v>
      </c>
      <c r="R80" s="12">
        <f t="shared" si="26"/>
        <v>0</v>
      </c>
      <c r="S80" s="246">
        <f t="shared" si="27"/>
        <v>0</v>
      </c>
      <c r="T80" s="821">
        <f t="shared" si="28"/>
        <v>0</v>
      </c>
      <c r="U80" s="2689">
        <f t="shared" si="22"/>
        <v>0</v>
      </c>
      <c r="V80" s="2689">
        <f t="shared" si="23"/>
        <v>0</v>
      </c>
      <c r="W80" s="909"/>
      <c r="X80" s="2689">
        <f t="shared" si="24"/>
        <v>0</v>
      </c>
      <c r="Y80" s="2689">
        <f t="shared" si="25"/>
        <v>0</v>
      </c>
      <c r="Z80" s="909"/>
    </row>
    <row r="81" spans="1:26">
      <c r="A81" s="31"/>
      <c r="B81" s="19"/>
      <c r="C81" s="12">
        <f t="shared" si="14"/>
        <v>1</v>
      </c>
      <c r="D81" s="578"/>
      <c r="E81" s="12">
        <f t="shared" si="15"/>
        <v>1</v>
      </c>
      <c r="F81" s="578"/>
      <c r="G81" s="12">
        <f t="shared" si="16"/>
        <v>1</v>
      </c>
      <c r="H81" s="578"/>
      <c r="I81" s="12">
        <f t="shared" si="17"/>
        <v>1</v>
      </c>
      <c r="J81" s="578"/>
      <c r="K81" s="12">
        <f t="shared" si="18"/>
        <v>1</v>
      </c>
      <c r="L81" s="578"/>
      <c r="M81" s="12">
        <f t="shared" si="19"/>
        <v>1</v>
      </c>
      <c r="N81" s="578"/>
      <c r="O81" s="12">
        <f t="shared" si="20"/>
        <v>1</v>
      </c>
      <c r="P81" s="578"/>
      <c r="Q81" s="12">
        <f t="shared" si="21"/>
        <v>1</v>
      </c>
      <c r="R81" s="12">
        <f t="shared" si="26"/>
        <v>0</v>
      </c>
      <c r="S81" s="246">
        <f t="shared" si="27"/>
        <v>0</v>
      </c>
      <c r="T81" s="821">
        <f t="shared" si="28"/>
        <v>0</v>
      </c>
      <c r="U81" s="2689">
        <f t="shared" si="22"/>
        <v>0</v>
      </c>
      <c r="V81" s="2689">
        <f t="shared" si="23"/>
        <v>0</v>
      </c>
      <c r="W81" s="909"/>
      <c r="X81" s="2689">
        <f t="shared" si="24"/>
        <v>0</v>
      </c>
      <c r="Y81" s="2689">
        <f t="shared" si="25"/>
        <v>0</v>
      </c>
      <c r="Z81" s="909"/>
    </row>
    <row r="82" spans="1:26">
      <c r="A82" s="31"/>
      <c r="B82" s="19"/>
      <c r="C82" s="12">
        <f t="shared" si="14"/>
        <v>1</v>
      </c>
      <c r="D82" s="578"/>
      <c r="E82" s="12">
        <f t="shared" si="15"/>
        <v>1</v>
      </c>
      <c r="F82" s="578"/>
      <c r="G82" s="12">
        <f t="shared" si="16"/>
        <v>1</v>
      </c>
      <c r="H82" s="578"/>
      <c r="I82" s="12">
        <f t="shared" si="17"/>
        <v>1</v>
      </c>
      <c r="J82" s="578"/>
      <c r="K82" s="12">
        <f t="shared" si="18"/>
        <v>1</v>
      </c>
      <c r="L82" s="578"/>
      <c r="M82" s="12">
        <f t="shared" si="19"/>
        <v>1</v>
      </c>
      <c r="N82" s="578"/>
      <c r="O82" s="12">
        <f t="shared" si="20"/>
        <v>1</v>
      </c>
      <c r="P82" s="578"/>
      <c r="Q82" s="12">
        <f t="shared" si="21"/>
        <v>1</v>
      </c>
      <c r="R82" s="12">
        <f t="shared" si="26"/>
        <v>0</v>
      </c>
      <c r="S82" s="246">
        <f t="shared" si="27"/>
        <v>0</v>
      </c>
      <c r="T82" s="821">
        <f t="shared" si="28"/>
        <v>0</v>
      </c>
      <c r="U82" s="2689">
        <f t="shared" si="22"/>
        <v>0</v>
      </c>
      <c r="V82" s="2689">
        <f t="shared" si="23"/>
        <v>0</v>
      </c>
      <c r="W82" s="909"/>
      <c r="X82" s="2689">
        <f t="shared" si="24"/>
        <v>0</v>
      </c>
      <c r="Y82" s="2689">
        <f t="shared" si="25"/>
        <v>0</v>
      </c>
      <c r="Z82" s="909"/>
    </row>
    <row r="83" spans="1:26">
      <c r="A83" s="31"/>
      <c r="B83" s="19"/>
      <c r="C83" s="12">
        <f t="shared" si="14"/>
        <v>1</v>
      </c>
      <c r="D83" s="578"/>
      <c r="E83" s="12">
        <f t="shared" si="15"/>
        <v>1</v>
      </c>
      <c r="F83" s="578"/>
      <c r="G83" s="12">
        <f t="shared" si="16"/>
        <v>1</v>
      </c>
      <c r="H83" s="578"/>
      <c r="I83" s="12">
        <f t="shared" si="17"/>
        <v>1</v>
      </c>
      <c r="J83" s="578"/>
      <c r="K83" s="12">
        <f t="shared" si="18"/>
        <v>1</v>
      </c>
      <c r="L83" s="578"/>
      <c r="M83" s="12">
        <f t="shared" si="19"/>
        <v>1</v>
      </c>
      <c r="N83" s="578"/>
      <c r="O83" s="12">
        <f t="shared" si="20"/>
        <v>1</v>
      </c>
      <c r="P83" s="578"/>
      <c r="Q83" s="12">
        <f t="shared" si="21"/>
        <v>1</v>
      </c>
      <c r="R83" s="12">
        <f t="shared" si="26"/>
        <v>0</v>
      </c>
      <c r="S83" s="246">
        <f t="shared" si="27"/>
        <v>0</v>
      </c>
      <c r="T83" s="821">
        <f t="shared" si="28"/>
        <v>0</v>
      </c>
      <c r="U83" s="2689">
        <f t="shared" si="22"/>
        <v>0</v>
      </c>
      <c r="V83" s="2689">
        <f t="shared" si="23"/>
        <v>0</v>
      </c>
      <c r="W83" s="909"/>
      <c r="X83" s="2689">
        <f t="shared" si="24"/>
        <v>0</v>
      </c>
      <c r="Y83" s="2689">
        <f t="shared" si="25"/>
        <v>0</v>
      </c>
      <c r="Z83" s="909"/>
    </row>
    <row r="84" spans="1:26">
      <c r="A84" s="31"/>
      <c r="B84" s="19"/>
      <c r="C84" s="12">
        <f t="shared" si="14"/>
        <v>1</v>
      </c>
      <c r="D84" s="578"/>
      <c r="E84" s="12">
        <f t="shared" si="15"/>
        <v>1</v>
      </c>
      <c r="F84" s="578"/>
      <c r="G84" s="12">
        <f t="shared" si="16"/>
        <v>1</v>
      </c>
      <c r="H84" s="578"/>
      <c r="I84" s="12">
        <f t="shared" si="17"/>
        <v>1</v>
      </c>
      <c r="J84" s="578"/>
      <c r="K84" s="12">
        <f t="shared" si="18"/>
        <v>1</v>
      </c>
      <c r="L84" s="578"/>
      <c r="M84" s="12">
        <f t="shared" si="19"/>
        <v>1</v>
      </c>
      <c r="N84" s="578"/>
      <c r="O84" s="12">
        <f t="shared" si="20"/>
        <v>1</v>
      </c>
      <c r="P84" s="578"/>
      <c r="Q84" s="12">
        <f t="shared" si="21"/>
        <v>1</v>
      </c>
      <c r="R84" s="12">
        <f t="shared" si="26"/>
        <v>0</v>
      </c>
      <c r="S84" s="246">
        <f t="shared" si="27"/>
        <v>0</v>
      </c>
      <c r="T84" s="821">
        <f t="shared" si="28"/>
        <v>0</v>
      </c>
      <c r="U84" s="2689">
        <f t="shared" si="22"/>
        <v>0</v>
      </c>
      <c r="V84" s="2689">
        <f t="shared" si="23"/>
        <v>0</v>
      </c>
      <c r="W84" s="909"/>
      <c r="X84" s="2689">
        <f t="shared" si="24"/>
        <v>0</v>
      </c>
      <c r="Y84" s="2689">
        <f t="shared" si="25"/>
        <v>0</v>
      </c>
      <c r="Z84" s="909"/>
    </row>
    <row r="85" spans="1:26">
      <c r="A85" s="31"/>
      <c r="B85" s="19"/>
      <c r="C85" s="12">
        <f t="shared" si="14"/>
        <v>1</v>
      </c>
      <c r="D85" s="578"/>
      <c r="E85" s="12">
        <f t="shared" si="15"/>
        <v>1</v>
      </c>
      <c r="F85" s="578"/>
      <c r="G85" s="12">
        <f t="shared" si="16"/>
        <v>1</v>
      </c>
      <c r="H85" s="578"/>
      <c r="I85" s="12">
        <f t="shared" si="17"/>
        <v>1</v>
      </c>
      <c r="J85" s="578"/>
      <c r="K85" s="12">
        <f t="shared" si="18"/>
        <v>1</v>
      </c>
      <c r="L85" s="578"/>
      <c r="M85" s="12">
        <f t="shared" si="19"/>
        <v>1</v>
      </c>
      <c r="N85" s="578"/>
      <c r="O85" s="12">
        <f t="shared" si="20"/>
        <v>1</v>
      </c>
      <c r="P85" s="578"/>
      <c r="Q85" s="12">
        <f t="shared" si="21"/>
        <v>1</v>
      </c>
      <c r="R85" s="12">
        <f t="shared" si="26"/>
        <v>0</v>
      </c>
      <c r="S85" s="246">
        <f t="shared" si="27"/>
        <v>0</v>
      </c>
      <c r="T85" s="821">
        <f t="shared" si="28"/>
        <v>0</v>
      </c>
      <c r="U85" s="2689">
        <f t="shared" si="22"/>
        <v>0</v>
      </c>
      <c r="V85" s="2689">
        <f t="shared" si="23"/>
        <v>0</v>
      </c>
      <c r="W85" s="909"/>
      <c r="X85" s="2689">
        <f t="shared" si="24"/>
        <v>0</v>
      </c>
      <c r="Y85" s="2689">
        <f t="shared" si="25"/>
        <v>0</v>
      </c>
      <c r="Z85" s="909"/>
    </row>
    <row r="86" spans="1:26">
      <c r="A86" s="31"/>
      <c r="B86" s="19"/>
      <c r="C86" s="12">
        <f t="shared" si="14"/>
        <v>1</v>
      </c>
      <c r="D86" s="578"/>
      <c r="E86" s="12">
        <f t="shared" si="15"/>
        <v>1</v>
      </c>
      <c r="F86" s="578"/>
      <c r="G86" s="12">
        <f t="shared" si="16"/>
        <v>1</v>
      </c>
      <c r="H86" s="578"/>
      <c r="I86" s="12">
        <f t="shared" si="17"/>
        <v>1</v>
      </c>
      <c r="J86" s="578"/>
      <c r="K86" s="12">
        <f t="shared" si="18"/>
        <v>1</v>
      </c>
      <c r="L86" s="578"/>
      <c r="M86" s="12">
        <f t="shared" si="19"/>
        <v>1</v>
      </c>
      <c r="N86" s="578"/>
      <c r="O86" s="12">
        <f t="shared" si="20"/>
        <v>1</v>
      </c>
      <c r="P86" s="578"/>
      <c r="Q86" s="12">
        <f t="shared" si="21"/>
        <v>1</v>
      </c>
      <c r="R86" s="12">
        <f t="shared" si="26"/>
        <v>0</v>
      </c>
      <c r="S86" s="246">
        <f t="shared" si="27"/>
        <v>0</v>
      </c>
      <c r="T86" s="821">
        <f t="shared" si="28"/>
        <v>0</v>
      </c>
      <c r="U86" s="2689">
        <f t="shared" si="22"/>
        <v>0</v>
      </c>
      <c r="V86" s="2689">
        <f t="shared" si="23"/>
        <v>0</v>
      </c>
      <c r="W86" s="909"/>
      <c r="X86" s="2689">
        <f t="shared" si="24"/>
        <v>0</v>
      </c>
      <c r="Y86" s="2689">
        <f t="shared" si="25"/>
        <v>0</v>
      </c>
      <c r="Z86" s="909"/>
    </row>
    <row r="87" spans="1:26">
      <c r="A87" s="31"/>
      <c r="B87" s="19"/>
      <c r="C87" s="12">
        <f t="shared" si="14"/>
        <v>1</v>
      </c>
      <c r="D87" s="578"/>
      <c r="E87" s="12">
        <f t="shared" si="15"/>
        <v>1</v>
      </c>
      <c r="F87" s="578"/>
      <c r="G87" s="12">
        <f t="shared" si="16"/>
        <v>1</v>
      </c>
      <c r="H87" s="578"/>
      <c r="I87" s="12">
        <f t="shared" si="17"/>
        <v>1</v>
      </c>
      <c r="J87" s="578"/>
      <c r="K87" s="12">
        <f t="shared" si="18"/>
        <v>1</v>
      </c>
      <c r="L87" s="578"/>
      <c r="M87" s="12">
        <f t="shared" si="19"/>
        <v>1</v>
      </c>
      <c r="N87" s="578"/>
      <c r="O87" s="12">
        <f t="shared" si="20"/>
        <v>1</v>
      </c>
      <c r="P87" s="578"/>
      <c r="Q87" s="12">
        <f t="shared" si="21"/>
        <v>1</v>
      </c>
      <c r="R87" s="12">
        <f t="shared" si="26"/>
        <v>0</v>
      </c>
      <c r="S87" s="246">
        <f t="shared" si="27"/>
        <v>0</v>
      </c>
      <c r="T87" s="821">
        <f t="shared" si="28"/>
        <v>0</v>
      </c>
      <c r="U87" s="2689">
        <f t="shared" si="22"/>
        <v>0</v>
      </c>
      <c r="V87" s="2689">
        <f t="shared" si="23"/>
        <v>0</v>
      </c>
      <c r="W87" s="909"/>
      <c r="X87" s="2689">
        <f t="shared" si="24"/>
        <v>0</v>
      </c>
      <c r="Y87" s="2689">
        <f t="shared" si="25"/>
        <v>0</v>
      </c>
      <c r="Z87" s="909"/>
    </row>
    <row r="88" spans="1:26">
      <c r="A88" s="31"/>
      <c r="B88" s="19"/>
      <c r="C88" s="12">
        <f t="shared" si="14"/>
        <v>1</v>
      </c>
      <c r="D88" s="578"/>
      <c r="E88" s="12">
        <f t="shared" si="15"/>
        <v>1</v>
      </c>
      <c r="F88" s="578"/>
      <c r="G88" s="12">
        <f t="shared" si="16"/>
        <v>1</v>
      </c>
      <c r="H88" s="578"/>
      <c r="I88" s="12">
        <f t="shared" si="17"/>
        <v>1</v>
      </c>
      <c r="J88" s="578"/>
      <c r="K88" s="12">
        <f t="shared" si="18"/>
        <v>1</v>
      </c>
      <c r="L88" s="578"/>
      <c r="M88" s="12">
        <f t="shared" si="19"/>
        <v>1</v>
      </c>
      <c r="N88" s="578"/>
      <c r="O88" s="12">
        <f t="shared" si="20"/>
        <v>1</v>
      </c>
      <c r="P88" s="578"/>
      <c r="Q88" s="12">
        <f t="shared" si="21"/>
        <v>1</v>
      </c>
      <c r="R88" s="12">
        <f t="shared" si="26"/>
        <v>0</v>
      </c>
      <c r="S88" s="246">
        <f t="shared" si="27"/>
        <v>0</v>
      </c>
      <c r="T88" s="821">
        <f t="shared" si="28"/>
        <v>0</v>
      </c>
      <c r="U88" s="2689">
        <f t="shared" si="22"/>
        <v>0</v>
      </c>
      <c r="V88" s="2689">
        <f t="shared" si="23"/>
        <v>0</v>
      </c>
      <c r="W88" s="909"/>
      <c r="X88" s="2689">
        <f t="shared" si="24"/>
        <v>0</v>
      </c>
      <c r="Y88" s="2689">
        <f t="shared" si="25"/>
        <v>0</v>
      </c>
      <c r="Z88" s="909"/>
    </row>
    <row r="89" spans="1:26">
      <c r="A89" s="31"/>
      <c r="B89" s="19"/>
      <c r="C89" s="12">
        <f t="shared" si="14"/>
        <v>1</v>
      </c>
      <c r="D89" s="578"/>
      <c r="E89" s="12">
        <f t="shared" si="15"/>
        <v>1</v>
      </c>
      <c r="F89" s="578"/>
      <c r="G89" s="12">
        <f t="shared" si="16"/>
        <v>1</v>
      </c>
      <c r="H89" s="578"/>
      <c r="I89" s="12">
        <f t="shared" si="17"/>
        <v>1</v>
      </c>
      <c r="J89" s="578"/>
      <c r="K89" s="12">
        <f t="shared" si="18"/>
        <v>1</v>
      </c>
      <c r="L89" s="578"/>
      <c r="M89" s="12">
        <f t="shared" si="19"/>
        <v>1</v>
      </c>
      <c r="N89" s="578"/>
      <c r="O89" s="12">
        <f t="shared" si="20"/>
        <v>1</v>
      </c>
      <c r="P89" s="578"/>
      <c r="Q89" s="12">
        <f t="shared" si="21"/>
        <v>1</v>
      </c>
      <c r="R89" s="12">
        <f t="shared" si="26"/>
        <v>0</v>
      </c>
      <c r="S89" s="246">
        <f t="shared" si="27"/>
        <v>0</v>
      </c>
      <c r="T89" s="821">
        <f t="shared" si="28"/>
        <v>0</v>
      </c>
      <c r="U89" s="2689">
        <f t="shared" si="22"/>
        <v>0</v>
      </c>
      <c r="V89" s="2689">
        <f t="shared" si="23"/>
        <v>0</v>
      </c>
      <c r="W89" s="909"/>
      <c r="X89" s="2689">
        <f t="shared" si="24"/>
        <v>0</v>
      </c>
      <c r="Y89" s="2689">
        <f t="shared" si="25"/>
        <v>0</v>
      </c>
      <c r="Z89" s="909"/>
    </row>
    <row r="90" spans="1:26">
      <c r="A90" s="31"/>
      <c r="B90" s="19"/>
      <c r="C90" s="12">
        <f t="shared" si="14"/>
        <v>1</v>
      </c>
      <c r="D90" s="578"/>
      <c r="E90" s="12">
        <f t="shared" si="15"/>
        <v>1</v>
      </c>
      <c r="F90" s="578"/>
      <c r="G90" s="12">
        <f t="shared" si="16"/>
        <v>1</v>
      </c>
      <c r="H90" s="578"/>
      <c r="I90" s="12">
        <f t="shared" si="17"/>
        <v>1</v>
      </c>
      <c r="J90" s="578"/>
      <c r="K90" s="12">
        <f t="shared" si="18"/>
        <v>1</v>
      </c>
      <c r="L90" s="578"/>
      <c r="M90" s="12">
        <f t="shared" si="19"/>
        <v>1</v>
      </c>
      <c r="N90" s="578"/>
      <c r="O90" s="12">
        <f t="shared" si="20"/>
        <v>1</v>
      </c>
      <c r="P90" s="578"/>
      <c r="Q90" s="12">
        <f t="shared" si="21"/>
        <v>1</v>
      </c>
      <c r="R90" s="12">
        <f t="shared" si="26"/>
        <v>0</v>
      </c>
      <c r="S90" s="246">
        <f t="shared" si="27"/>
        <v>0</v>
      </c>
      <c r="T90" s="821">
        <f t="shared" si="28"/>
        <v>0</v>
      </c>
      <c r="U90" s="2689">
        <f t="shared" si="22"/>
        <v>0</v>
      </c>
      <c r="V90" s="2689">
        <f t="shared" si="23"/>
        <v>0</v>
      </c>
      <c r="W90" s="909"/>
      <c r="X90" s="2689">
        <f t="shared" si="24"/>
        <v>0</v>
      </c>
      <c r="Y90" s="2689">
        <f t="shared" si="25"/>
        <v>0</v>
      </c>
      <c r="Z90" s="909"/>
    </row>
    <row r="91" spans="1:26">
      <c r="A91" s="31"/>
      <c r="B91" s="19"/>
      <c r="C91" s="12">
        <f t="shared" si="14"/>
        <v>1</v>
      </c>
      <c r="D91" s="578"/>
      <c r="E91" s="12">
        <f t="shared" si="15"/>
        <v>1</v>
      </c>
      <c r="F91" s="578"/>
      <c r="G91" s="12">
        <f t="shared" si="16"/>
        <v>1</v>
      </c>
      <c r="H91" s="578"/>
      <c r="I91" s="12">
        <f t="shared" si="17"/>
        <v>1</v>
      </c>
      <c r="J91" s="578"/>
      <c r="K91" s="12">
        <f t="shared" si="18"/>
        <v>1</v>
      </c>
      <c r="L91" s="578"/>
      <c r="M91" s="12">
        <f t="shared" si="19"/>
        <v>1</v>
      </c>
      <c r="N91" s="578"/>
      <c r="O91" s="12">
        <f t="shared" si="20"/>
        <v>1</v>
      </c>
      <c r="P91" s="578"/>
      <c r="Q91" s="12">
        <f t="shared" si="21"/>
        <v>1</v>
      </c>
      <c r="R91" s="12">
        <f t="shared" si="26"/>
        <v>0</v>
      </c>
      <c r="S91" s="246">
        <f t="shared" si="27"/>
        <v>0</v>
      </c>
      <c r="T91" s="821">
        <f t="shared" si="28"/>
        <v>0</v>
      </c>
      <c r="U91" s="2689">
        <f t="shared" si="22"/>
        <v>0</v>
      </c>
      <c r="V91" s="2689">
        <f t="shared" si="23"/>
        <v>0</v>
      </c>
      <c r="W91" s="909"/>
      <c r="X91" s="2689">
        <f t="shared" si="24"/>
        <v>0</v>
      </c>
      <c r="Y91" s="2689">
        <f t="shared" si="25"/>
        <v>0</v>
      </c>
      <c r="Z91" s="909"/>
    </row>
    <row r="92" spans="1:26">
      <c r="A92" s="31"/>
      <c r="B92" s="19"/>
      <c r="C92" s="12">
        <f t="shared" ref="C92:C155" si="29">IF(B92="",1,(LOOKUP(B92,$6:$6,$7:$7)-LOOKUP($B$27,$6:$6,$7:$7)+100)/100)</f>
        <v>1</v>
      </c>
      <c r="D92" s="578"/>
      <c r="E92" s="12">
        <f t="shared" ref="E92:E155" si="30">(SUMIF($8:$8,D92,$9:$9)-SUMIF($8:$8,$D$27,$9:$9)+100)/100</f>
        <v>1</v>
      </c>
      <c r="F92" s="578"/>
      <c r="G92" s="12">
        <f t="shared" ref="G92:G155" si="31">(SUMIF($10:$10,F92,$11:$11)-SUMIF($10:$10,$F$27,$11:$11)+100)/100</f>
        <v>1</v>
      </c>
      <c r="H92" s="578"/>
      <c r="I92" s="12">
        <f t="shared" ref="I92:I155" si="32">(SUMIF($12:$12,H92,$13:$13)-SUMIF($12:$12,$H$27,$13:$13)+100)/100</f>
        <v>1</v>
      </c>
      <c r="J92" s="578"/>
      <c r="K92" s="12">
        <f t="shared" ref="K92:K155" si="33">(SUMIF($14:$14,J92,$15:$15)-SUMIF($14:$14,$J$27,$15:$15)+100)/100</f>
        <v>1</v>
      </c>
      <c r="L92" s="578"/>
      <c r="M92" s="12">
        <f t="shared" ref="M92:M155" si="34">(SUMIF($16:$16,L92,$17:$17)-SUMIF($16:$16,$L$27,$17:$17)+100)/100</f>
        <v>1</v>
      </c>
      <c r="N92" s="578"/>
      <c r="O92" s="12">
        <f t="shared" ref="O92:O155" si="35">(SUMIF($18:$18,N92,$19:$19)-SUMIF($18:$18,$N$27,$19:$19)+100)/100</f>
        <v>1</v>
      </c>
      <c r="P92" s="578"/>
      <c r="Q92" s="12">
        <f t="shared" ref="Q92:Q155" si="36">(SUMIF($20:$20,P92,$21:$21)-SUMIF($20:$20,$P$27,$21:$21)+100)/100</f>
        <v>1</v>
      </c>
      <c r="R92" s="12">
        <f t="shared" si="26"/>
        <v>0</v>
      </c>
      <c r="S92" s="246">
        <f t="shared" si="27"/>
        <v>0</v>
      </c>
      <c r="T92" s="821">
        <f t="shared" si="28"/>
        <v>0</v>
      </c>
      <c r="U92" s="2689">
        <f t="shared" ref="U92:U155" si="37">ROUND(W92*B92,0)</f>
        <v>0</v>
      </c>
      <c r="V92" s="2689">
        <f t="shared" ref="V92:V155" si="38">ROUND(W92*B92/10000,0)</f>
        <v>0</v>
      </c>
      <c r="W92" s="909"/>
      <c r="X92" s="2689">
        <f t="shared" ref="X92:X155" si="39">ROUND(Z92*B92,0)</f>
        <v>0</v>
      </c>
      <c r="Y92" s="2689">
        <f t="shared" ref="Y92:Y155" si="40">ROUND(Z92*B92/10000,0)</f>
        <v>0</v>
      </c>
      <c r="Z92" s="909"/>
    </row>
    <row r="93" spans="1:26">
      <c r="A93" s="31"/>
      <c r="B93" s="19"/>
      <c r="C93" s="12">
        <f t="shared" si="29"/>
        <v>1</v>
      </c>
      <c r="D93" s="578"/>
      <c r="E93" s="12">
        <f t="shared" si="30"/>
        <v>1</v>
      </c>
      <c r="F93" s="578"/>
      <c r="G93" s="12">
        <f t="shared" si="31"/>
        <v>1</v>
      </c>
      <c r="H93" s="578"/>
      <c r="I93" s="12">
        <f t="shared" si="32"/>
        <v>1</v>
      </c>
      <c r="J93" s="578"/>
      <c r="K93" s="12">
        <f t="shared" si="33"/>
        <v>1</v>
      </c>
      <c r="L93" s="578"/>
      <c r="M93" s="12">
        <f t="shared" si="34"/>
        <v>1</v>
      </c>
      <c r="N93" s="578"/>
      <c r="O93" s="12">
        <f t="shared" si="35"/>
        <v>1</v>
      </c>
      <c r="P93" s="578"/>
      <c r="Q93" s="12">
        <f t="shared" si="36"/>
        <v>1</v>
      </c>
      <c r="R93" s="12">
        <f t="shared" ref="R93:R156" si="41">IF(B93="",0,ROUND($R$27*C93*E93*G93*I93*K93*M93*O93*Q93,0))</f>
        <v>0</v>
      </c>
      <c r="S93" s="246">
        <f t="shared" ref="S93:S156" si="42">ROUND(R93*B93,0)</f>
        <v>0</v>
      </c>
      <c r="T93" s="821">
        <f t="shared" ref="T93:T156" si="43">ROUND(R93*B93/10000,0)</f>
        <v>0</v>
      </c>
      <c r="U93" s="2689">
        <f t="shared" si="37"/>
        <v>0</v>
      </c>
      <c r="V93" s="2689">
        <f t="shared" si="38"/>
        <v>0</v>
      </c>
      <c r="W93" s="909"/>
      <c r="X93" s="2689">
        <f t="shared" si="39"/>
        <v>0</v>
      </c>
      <c r="Y93" s="2689">
        <f t="shared" si="40"/>
        <v>0</v>
      </c>
      <c r="Z93" s="909"/>
    </row>
    <row r="94" spans="1:26">
      <c r="A94" s="31"/>
      <c r="B94" s="19"/>
      <c r="C94" s="12">
        <f t="shared" si="29"/>
        <v>1</v>
      </c>
      <c r="D94" s="578"/>
      <c r="E94" s="12">
        <f t="shared" si="30"/>
        <v>1</v>
      </c>
      <c r="F94" s="578"/>
      <c r="G94" s="12">
        <f t="shared" si="31"/>
        <v>1</v>
      </c>
      <c r="H94" s="578"/>
      <c r="I94" s="12">
        <f t="shared" si="32"/>
        <v>1</v>
      </c>
      <c r="J94" s="578"/>
      <c r="K94" s="12">
        <f t="shared" si="33"/>
        <v>1</v>
      </c>
      <c r="L94" s="578"/>
      <c r="M94" s="12">
        <f t="shared" si="34"/>
        <v>1</v>
      </c>
      <c r="N94" s="578"/>
      <c r="O94" s="12">
        <f t="shared" si="35"/>
        <v>1</v>
      </c>
      <c r="P94" s="578"/>
      <c r="Q94" s="12">
        <f t="shared" si="36"/>
        <v>1</v>
      </c>
      <c r="R94" s="12">
        <f t="shared" si="41"/>
        <v>0</v>
      </c>
      <c r="S94" s="246">
        <f t="shared" si="42"/>
        <v>0</v>
      </c>
      <c r="T94" s="821">
        <f t="shared" si="43"/>
        <v>0</v>
      </c>
      <c r="U94" s="2689">
        <f t="shared" si="37"/>
        <v>0</v>
      </c>
      <c r="V94" s="2689">
        <f t="shared" si="38"/>
        <v>0</v>
      </c>
      <c r="W94" s="909"/>
      <c r="X94" s="2689">
        <f t="shared" si="39"/>
        <v>0</v>
      </c>
      <c r="Y94" s="2689">
        <f t="shared" si="40"/>
        <v>0</v>
      </c>
      <c r="Z94" s="909"/>
    </row>
    <row r="95" spans="1:26">
      <c r="A95" s="31"/>
      <c r="B95" s="19"/>
      <c r="C95" s="12">
        <f t="shared" si="29"/>
        <v>1</v>
      </c>
      <c r="D95" s="578"/>
      <c r="E95" s="12">
        <f t="shared" si="30"/>
        <v>1</v>
      </c>
      <c r="F95" s="578"/>
      <c r="G95" s="12">
        <f t="shared" si="31"/>
        <v>1</v>
      </c>
      <c r="H95" s="578"/>
      <c r="I95" s="12">
        <f t="shared" si="32"/>
        <v>1</v>
      </c>
      <c r="J95" s="578"/>
      <c r="K95" s="12">
        <f t="shared" si="33"/>
        <v>1</v>
      </c>
      <c r="L95" s="578"/>
      <c r="M95" s="12">
        <f t="shared" si="34"/>
        <v>1</v>
      </c>
      <c r="N95" s="578"/>
      <c r="O95" s="12">
        <f t="shared" si="35"/>
        <v>1</v>
      </c>
      <c r="P95" s="578"/>
      <c r="Q95" s="12">
        <f t="shared" si="36"/>
        <v>1</v>
      </c>
      <c r="R95" s="12">
        <f t="shared" si="41"/>
        <v>0</v>
      </c>
      <c r="S95" s="246">
        <f t="shared" si="42"/>
        <v>0</v>
      </c>
      <c r="T95" s="821">
        <f t="shared" si="43"/>
        <v>0</v>
      </c>
      <c r="U95" s="2689">
        <f t="shared" si="37"/>
        <v>0</v>
      </c>
      <c r="V95" s="2689">
        <f t="shared" si="38"/>
        <v>0</v>
      </c>
      <c r="W95" s="909"/>
      <c r="X95" s="2689">
        <f t="shared" si="39"/>
        <v>0</v>
      </c>
      <c r="Y95" s="2689">
        <f t="shared" si="40"/>
        <v>0</v>
      </c>
      <c r="Z95" s="909"/>
    </row>
    <row r="96" spans="1:26">
      <c r="A96" s="31"/>
      <c r="B96" s="19"/>
      <c r="C96" s="12">
        <f t="shared" si="29"/>
        <v>1</v>
      </c>
      <c r="D96" s="578"/>
      <c r="E96" s="12">
        <f t="shared" si="30"/>
        <v>1</v>
      </c>
      <c r="F96" s="578"/>
      <c r="G96" s="12">
        <f t="shared" si="31"/>
        <v>1</v>
      </c>
      <c r="H96" s="578"/>
      <c r="I96" s="12">
        <f t="shared" si="32"/>
        <v>1</v>
      </c>
      <c r="J96" s="578"/>
      <c r="K96" s="12">
        <f t="shared" si="33"/>
        <v>1</v>
      </c>
      <c r="L96" s="578"/>
      <c r="M96" s="12">
        <f t="shared" si="34"/>
        <v>1</v>
      </c>
      <c r="N96" s="578"/>
      <c r="O96" s="12">
        <f t="shared" si="35"/>
        <v>1</v>
      </c>
      <c r="P96" s="578"/>
      <c r="Q96" s="12">
        <f t="shared" si="36"/>
        <v>1</v>
      </c>
      <c r="R96" s="12">
        <f t="shared" si="41"/>
        <v>0</v>
      </c>
      <c r="S96" s="246">
        <f t="shared" si="42"/>
        <v>0</v>
      </c>
      <c r="T96" s="821">
        <f t="shared" si="43"/>
        <v>0</v>
      </c>
      <c r="U96" s="2689">
        <f t="shared" si="37"/>
        <v>0</v>
      </c>
      <c r="V96" s="2689">
        <f t="shared" si="38"/>
        <v>0</v>
      </c>
      <c r="W96" s="909"/>
      <c r="X96" s="2689">
        <f t="shared" si="39"/>
        <v>0</v>
      </c>
      <c r="Y96" s="2689">
        <f t="shared" si="40"/>
        <v>0</v>
      </c>
      <c r="Z96" s="909"/>
    </row>
    <row r="97" spans="1:26">
      <c r="A97" s="31"/>
      <c r="B97" s="19"/>
      <c r="C97" s="12">
        <f t="shared" si="29"/>
        <v>1</v>
      </c>
      <c r="D97" s="578"/>
      <c r="E97" s="12">
        <f t="shared" si="30"/>
        <v>1</v>
      </c>
      <c r="F97" s="578"/>
      <c r="G97" s="12">
        <f t="shared" si="31"/>
        <v>1</v>
      </c>
      <c r="H97" s="578"/>
      <c r="I97" s="12">
        <f t="shared" si="32"/>
        <v>1</v>
      </c>
      <c r="J97" s="578"/>
      <c r="K97" s="12">
        <f t="shared" si="33"/>
        <v>1</v>
      </c>
      <c r="L97" s="578"/>
      <c r="M97" s="12">
        <f t="shared" si="34"/>
        <v>1</v>
      </c>
      <c r="N97" s="578"/>
      <c r="O97" s="12">
        <f t="shared" si="35"/>
        <v>1</v>
      </c>
      <c r="P97" s="578"/>
      <c r="Q97" s="12">
        <f t="shared" si="36"/>
        <v>1</v>
      </c>
      <c r="R97" s="12">
        <f t="shared" si="41"/>
        <v>0</v>
      </c>
      <c r="S97" s="246">
        <f t="shared" si="42"/>
        <v>0</v>
      </c>
      <c r="T97" s="821">
        <f t="shared" si="43"/>
        <v>0</v>
      </c>
      <c r="U97" s="2689">
        <f t="shared" si="37"/>
        <v>0</v>
      </c>
      <c r="V97" s="2689">
        <f t="shared" si="38"/>
        <v>0</v>
      </c>
      <c r="W97" s="909"/>
      <c r="X97" s="2689">
        <f t="shared" si="39"/>
        <v>0</v>
      </c>
      <c r="Y97" s="2689">
        <f t="shared" si="40"/>
        <v>0</v>
      </c>
      <c r="Z97" s="909"/>
    </row>
    <row r="98" spans="1:26">
      <c r="A98" s="31"/>
      <c r="B98" s="19"/>
      <c r="C98" s="12">
        <f t="shared" si="29"/>
        <v>1</v>
      </c>
      <c r="D98" s="578"/>
      <c r="E98" s="12">
        <f t="shared" si="30"/>
        <v>1</v>
      </c>
      <c r="F98" s="578"/>
      <c r="G98" s="12">
        <f t="shared" si="31"/>
        <v>1</v>
      </c>
      <c r="H98" s="578"/>
      <c r="I98" s="12">
        <f t="shared" si="32"/>
        <v>1</v>
      </c>
      <c r="J98" s="578"/>
      <c r="K98" s="12">
        <f t="shared" si="33"/>
        <v>1</v>
      </c>
      <c r="L98" s="578"/>
      <c r="M98" s="12">
        <f t="shared" si="34"/>
        <v>1</v>
      </c>
      <c r="N98" s="578"/>
      <c r="O98" s="12">
        <f t="shared" si="35"/>
        <v>1</v>
      </c>
      <c r="P98" s="578"/>
      <c r="Q98" s="12">
        <f t="shared" si="36"/>
        <v>1</v>
      </c>
      <c r="R98" s="12">
        <f t="shared" si="41"/>
        <v>0</v>
      </c>
      <c r="S98" s="246">
        <f t="shared" si="42"/>
        <v>0</v>
      </c>
      <c r="T98" s="821">
        <f t="shared" si="43"/>
        <v>0</v>
      </c>
      <c r="U98" s="2689">
        <f t="shared" si="37"/>
        <v>0</v>
      </c>
      <c r="V98" s="2689">
        <f t="shared" si="38"/>
        <v>0</v>
      </c>
      <c r="W98" s="909"/>
      <c r="X98" s="2689">
        <f t="shared" si="39"/>
        <v>0</v>
      </c>
      <c r="Y98" s="2689">
        <f t="shared" si="40"/>
        <v>0</v>
      </c>
      <c r="Z98" s="909"/>
    </row>
    <row r="99" spans="1:26">
      <c r="A99" s="31"/>
      <c r="B99" s="19"/>
      <c r="C99" s="12">
        <f t="shared" si="29"/>
        <v>1</v>
      </c>
      <c r="D99" s="578"/>
      <c r="E99" s="12">
        <f t="shared" si="30"/>
        <v>1</v>
      </c>
      <c r="F99" s="578"/>
      <c r="G99" s="12">
        <f t="shared" si="31"/>
        <v>1</v>
      </c>
      <c r="H99" s="578"/>
      <c r="I99" s="12">
        <f t="shared" si="32"/>
        <v>1</v>
      </c>
      <c r="J99" s="578"/>
      <c r="K99" s="12">
        <f t="shared" si="33"/>
        <v>1</v>
      </c>
      <c r="L99" s="578"/>
      <c r="M99" s="12">
        <f t="shared" si="34"/>
        <v>1</v>
      </c>
      <c r="N99" s="578"/>
      <c r="O99" s="12">
        <f t="shared" si="35"/>
        <v>1</v>
      </c>
      <c r="P99" s="578"/>
      <c r="Q99" s="12">
        <f t="shared" si="36"/>
        <v>1</v>
      </c>
      <c r="R99" s="12">
        <f t="shared" si="41"/>
        <v>0</v>
      </c>
      <c r="S99" s="246">
        <f t="shared" si="42"/>
        <v>0</v>
      </c>
      <c r="T99" s="821">
        <f t="shared" si="43"/>
        <v>0</v>
      </c>
      <c r="U99" s="2689">
        <f t="shared" si="37"/>
        <v>0</v>
      </c>
      <c r="V99" s="2689">
        <f t="shared" si="38"/>
        <v>0</v>
      </c>
      <c r="W99" s="909"/>
      <c r="X99" s="2689">
        <f t="shared" si="39"/>
        <v>0</v>
      </c>
      <c r="Y99" s="2689">
        <f t="shared" si="40"/>
        <v>0</v>
      </c>
      <c r="Z99" s="909"/>
    </row>
    <row r="100" spans="1:26">
      <c r="A100" s="31"/>
      <c r="B100" s="19"/>
      <c r="C100" s="12">
        <f t="shared" si="29"/>
        <v>1</v>
      </c>
      <c r="D100" s="578"/>
      <c r="E100" s="12">
        <f t="shared" si="30"/>
        <v>1</v>
      </c>
      <c r="F100" s="578"/>
      <c r="G100" s="12">
        <f t="shared" si="31"/>
        <v>1</v>
      </c>
      <c r="H100" s="578"/>
      <c r="I100" s="12">
        <f t="shared" si="32"/>
        <v>1</v>
      </c>
      <c r="J100" s="578"/>
      <c r="K100" s="12">
        <f t="shared" si="33"/>
        <v>1</v>
      </c>
      <c r="L100" s="578"/>
      <c r="M100" s="12">
        <f t="shared" si="34"/>
        <v>1</v>
      </c>
      <c r="N100" s="578"/>
      <c r="O100" s="12">
        <f t="shared" si="35"/>
        <v>1</v>
      </c>
      <c r="P100" s="578"/>
      <c r="Q100" s="12">
        <f t="shared" si="36"/>
        <v>1</v>
      </c>
      <c r="R100" s="12">
        <f t="shared" si="41"/>
        <v>0</v>
      </c>
      <c r="S100" s="246">
        <f t="shared" si="42"/>
        <v>0</v>
      </c>
      <c r="T100" s="821">
        <f t="shared" si="43"/>
        <v>0</v>
      </c>
      <c r="U100" s="2689">
        <f t="shared" si="37"/>
        <v>0</v>
      </c>
      <c r="V100" s="2689">
        <f t="shared" si="38"/>
        <v>0</v>
      </c>
      <c r="W100" s="909"/>
      <c r="X100" s="2689">
        <f t="shared" si="39"/>
        <v>0</v>
      </c>
      <c r="Y100" s="2689">
        <f t="shared" si="40"/>
        <v>0</v>
      </c>
      <c r="Z100" s="909"/>
    </row>
    <row r="101" spans="1:26">
      <c r="A101" s="31"/>
      <c r="B101" s="19"/>
      <c r="C101" s="12">
        <f t="shared" si="29"/>
        <v>1</v>
      </c>
      <c r="D101" s="578"/>
      <c r="E101" s="12">
        <f t="shared" si="30"/>
        <v>1</v>
      </c>
      <c r="F101" s="578"/>
      <c r="G101" s="12">
        <f t="shared" si="31"/>
        <v>1</v>
      </c>
      <c r="H101" s="578"/>
      <c r="I101" s="12">
        <f t="shared" si="32"/>
        <v>1</v>
      </c>
      <c r="J101" s="578"/>
      <c r="K101" s="12">
        <f t="shared" si="33"/>
        <v>1</v>
      </c>
      <c r="L101" s="578"/>
      <c r="M101" s="12">
        <f t="shared" si="34"/>
        <v>1</v>
      </c>
      <c r="N101" s="578"/>
      <c r="O101" s="12">
        <f t="shared" si="35"/>
        <v>1</v>
      </c>
      <c r="P101" s="578"/>
      <c r="Q101" s="12">
        <f t="shared" si="36"/>
        <v>1</v>
      </c>
      <c r="R101" s="12">
        <f t="shared" si="41"/>
        <v>0</v>
      </c>
      <c r="S101" s="246">
        <f t="shared" si="42"/>
        <v>0</v>
      </c>
      <c r="T101" s="821">
        <f t="shared" si="43"/>
        <v>0</v>
      </c>
      <c r="U101" s="2689">
        <f t="shared" si="37"/>
        <v>0</v>
      </c>
      <c r="V101" s="2689">
        <f t="shared" si="38"/>
        <v>0</v>
      </c>
      <c r="W101" s="909"/>
      <c r="X101" s="2689">
        <f t="shared" si="39"/>
        <v>0</v>
      </c>
      <c r="Y101" s="2689">
        <f t="shared" si="40"/>
        <v>0</v>
      </c>
      <c r="Z101" s="909"/>
    </row>
    <row r="102" spans="1:26">
      <c r="A102" s="31"/>
      <c r="B102" s="19"/>
      <c r="C102" s="12">
        <f t="shared" si="29"/>
        <v>1</v>
      </c>
      <c r="D102" s="578"/>
      <c r="E102" s="12">
        <f t="shared" si="30"/>
        <v>1</v>
      </c>
      <c r="F102" s="578"/>
      <c r="G102" s="12">
        <f t="shared" si="31"/>
        <v>1</v>
      </c>
      <c r="H102" s="578"/>
      <c r="I102" s="12">
        <f t="shared" si="32"/>
        <v>1</v>
      </c>
      <c r="J102" s="578"/>
      <c r="K102" s="12">
        <f t="shared" si="33"/>
        <v>1</v>
      </c>
      <c r="L102" s="578"/>
      <c r="M102" s="12">
        <f t="shared" si="34"/>
        <v>1</v>
      </c>
      <c r="N102" s="578"/>
      <c r="O102" s="12">
        <f t="shared" si="35"/>
        <v>1</v>
      </c>
      <c r="P102" s="578"/>
      <c r="Q102" s="12">
        <f t="shared" si="36"/>
        <v>1</v>
      </c>
      <c r="R102" s="12">
        <f t="shared" si="41"/>
        <v>0</v>
      </c>
      <c r="S102" s="246">
        <f t="shared" si="42"/>
        <v>0</v>
      </c>
      <c r="T102" s="821">
        <f t="shared" si="43"/>
        <v>0</v>
      </c>
      <c r="U102" s="2689">
        <f t="shared" si="37"/>
        <v>0</v>
      </c>
      <c r="V102" s="2689">
        <f t="shared" si="38"/>
        <v>0</v>
      </c>
      <c r="W102" s="909"/>
      <c r="X102" s="2689">
        <f t="shared" si="39"/>
        <v>0</v>
      </c>
      <c r="Y102" s="2689">
        <f t="shared" si="40"/>
        <v>0</v>
      </c>
      <c r="Z102" s="909"/>
    </row>
    <row r="103" spans="1:26">
      <c r="A103" s="31"/>
      <c r="B103" s="19"/>
      <c r="C103" s="12">
        <f t="shared" si="29"/>
        <v>1</v>
      </c>
      <c r="D103" s="578"/>
      <c r="E103" s="12">
        <f t="shared" si="30"/>
        <v>1</v>
      </c>
      <c r="F103" s="578"/>
      <c r="G103" s="12">
        <f t="shared" si="31"/>
        <v>1</v>
      </c>
      <c r="H103" s="578"/>
      <c r="I103" s="12">
        <f t="shared" si="32"/>
        <v>1</v>
      </c>
      <c r="J103" s="578"/>
      <c r="K103" s="12">
        <f t="shared" si="33"/>
        <v>1</v>
      </c>
      <c r="L103" s="578"/>
      <c r="M103" s="12">
        <f t="shared" si="34"/>
        <v>1</v>
      </c>
      <c r="N103" s="578"/>
      <c r="O103" s="12">
        <f t="shared" si="35"/>
        <v>1</v>
      </c>
      <c r="P103" s="578"/>
      <c r="Q103" s="12">
        <f t="shared" si="36"/>
        <v>1</v>
      </c>
      <c r="R103" s="12">
        <f t="shared" si="41"/>
        <v>0</v>
      </c>
      <c r="S103" s="246">
        <f t="shared" si="42"/>
        <v>0</v>
      </c>
      <c r="T103" s="821">
        <f t="shared" si="43"/>
        <v>0</v>
      </c>
      <c r="U103" s="2689">
        <f t="shared" si="37"/>
        <v>0</v>
      </c>
      <c r="V103" s="2689">
        <f t="shared" si="38"/>
        <v>0</v>
      </c>
      <c r="W103" s="909"/>
      <c r="X103" s="2689">
        <f t="shared" si="39"/>
        <v>0</v>
      </c>
      <c r="Y103" s="2689">
        <f t="shared" si="40"/>
        <v>0</v>
      </c>
      <c r="Z103" s="909"/>
    </row>
    <row r="104" spans="1:26">
      <c r="A104" s="31"/>
      <c r="B104" s="19"/>
      <c r="C104" s="12">
        <f t="shared" si="29"/>
        <v>1</v>
      </c>
      <c r="D104" s="578"/>
      <c r="E104" s="12">
        <f t="shared" si="30"/>
        <v>1</v>
      </c>
      <c r="F104" s="578"/>
      <c r="G104" s="12">
        <f t="shared" si="31"/>
        <v>1</v>
      </c>
      <c r="H104" s="578"/>
      <c r="I104" s="12">
        <f t="shared" si="32"/>
        <v>1</v>
      </c>
      <c r="J104" s="578"/>
      <c r="K104" s="12">
        <f t="shared" si="33"/>
        <v>1</v>
      </c>
      <c r="L104" s="578"/>
      <c r="M104" s="12">
        <f t="shared" si="34"/>
        <v>1</v>
      </c>
      <c r="N104" s="578"/>
      <c r="O104" s="12">
        <f t="shared" si="35"/>
        <v>1</v>
      </c>
      <c r="P104" s="578"/>
      <c r="Q104" s="12">
        <f t="shared" si="36"/>
        <v>1</v>
      </c>
      <c r="R104" s="12">
        <f t="shared" si="41"/>
        <v>0</v>
      </c>
      <c r="S104" s="246">
        <f t="shared" si="42"/>
        <v>0</v>
      </c>
      <c r="T104" s="821">
        <f t="shared" si="43"/>
        <v>0</v>
      </c>
      <c r="U104" s="2689">
        <f t="shared" si="37"/>
        <v>0</v>
      </c>
      <c r="V104" s="2689">
        <f t="shared" si="38"/>
        <v>0</v>
      </c>
      <c r="W104" s="909"/>
      <c r="X104" s="2689">
        <f t="shared" si="39"/>
        <v>0</v>
      </c>
      <c r="Y104" s="2689">
        <f t="shared" si="40"/>
        <v>0</v>
      </c>
      <c r="Z104" s="909"/>
    </row>
    <row r="105" spans="1:26">
      <c r="A105" s="31"/>
      <c r="B105" s="19"/>
      <c r="C105" s="12">
        <f t="shared" si="29"/>
        <v>1</v>
      </c>
      <c r="D105" s="578"/>
      <c r="E105" s="12">
        <f t="shared" si="30"/>
        <v>1</v>
      </c>
      <c r="F105" s="578"/>
      <c r="G105" s="12">
        <f t="shared" si="31"/>
        <v>1</v>
      </c>
      <c r="H105" s="578"/>
      <c r="I105" s="12">
        <f t="shared" si="32"/>
        <v>1</v>
      </c>
      <c r="J105" s="578"/>
      <c r="K105" s="12">
        <f t="shared" si="33"/>
        <v>1</v>
      </c>
      <c r="L105" s="578"/>
      <c r="M105" s="12">
        <f t="shared" si="34"/>
        <v>1</v>
      </c>
      <c r="N105" s="578"/>
      <c r="O105" s="12">
        <f t="shared" si="35"/>
        <v>1</v>
      </c>
      <c r="P105" s="578"/>
      <c r="Q105" s="12">
        <f t="shared" si="36"/>
        <v>1</v>
      </c>
      <c r="R105" s="12">
        <f t="shared" si="41"/>
        <v>0</v>
      </c>
      <c r="S105" s="246">
        <f t="shared" si="42"/>
        <v>0</v>
      </c>
      <c r="T105" s="821">
        <f t="shared" si="43"/>
        <v>0</v>
      </c>
      <c r="U105" s="2689">
        <f t="shared" si="37"/>
        <v>0</v>
      </c>
      <c r="V105" s="2689">
        <f t="shared" si="38"/>
        <v>0</v>
      </c>
      <c r="W105" s="909"/>
      <c r="X105" s="2689">
        <f t="shared" si="39"/>
        <v>0</v>
      </c>
      <c r="Y105" s="2689">
        <f t="shared" si="40"/>
        <v>0</v>
      </c>
      <c r="Z105" s="909"/>
    </row>
    <row r="106" spans="1:26">
      <c r="A106" s="31"/>
      <c r="B106" s="19"/>
      <c r="C106" s="12">
        <f t="shared" si="29"/>
        <v>1</v>
      </c>
      <c r="D106" s="578"/>
      <c r="E106" s="12">
        <f t="shared" si="30"/>
        <v>1</v>
      </c>
      <c r="F106" s="578"/>
      <c r="G106" s="12">
        <f t="shared" si="31"/>
        <v>1</v>
      </c>
      <c r="H106" s="578"/>
      <c r="I106" s="12">
        <f t="shared" si="32"/>
        <v>1</v>
      </c>
      <c r="J106" s="578"/>
      <c r="K106" s="12">
        <f t="shared" si="33"/>
        <v>1</v>
      </c>
      <c r="L106" s="578"/>
      <c r="M106" s="12">
        <f t="shared" si="34"/>
        <v>1</v>
      </c>
      <c r="N106" s="578"/>
      <c r="O106" s="12">
        <f t="shared" si="35"/>
        <v>1</v>
      </c>
      <c r="P106" s="578"/>
      <c r="Q106" s="12">
        <f t="shared" si="36"/>
        <v>1</v>
      </c>
      <c r="R106" s="12">
        <f t="shared" si="41"/>
        <v>0</v>
      </c>
      <c r="S106" s="246">
        <f t="shared" si="42"/>
        <v>0</v>
      </c>
      <c r="T106" s="821">
        <f t="shared" si="43"/>
        <v>0</v>
      </c>
      <c r="U106" s="2689">
        <f t="shared" si="37"/>
        <v>0</v>
      </c>
      <c r="V106" s="2689">
        <f t="shared" si="38"/>
        <v>0</v>
      </c>
      <c r="W106" s="909"/>
      <c r="X106" s="2689">
        <f t="shared" si="39"/>
        <v>0</v>
      </c>
      <c r="Y106" s="2689">
        <f t="shared" si="40"/>
        <v>0</v>
      </c>
      <c r="Z106" s="909"/>
    </row>
    <row r="107" spans="1:26">
      <c r="A107" s="31"/>
      <c r="B107" s="19"/>
      <c r="C107" s="12">
        <f t="shared" si="29"/>
        <v>1</v>
      </c>
      <c r="D107" s="578"/>
      <c r="E107" s="12">
        <f t="shared" si="30"/>
        <v>1</v>
      </c>
      <c r="F107" s="578"/>
      <c r="G107" s="12">
        <f t="shared" si="31"/>
        <v>1</v>
      </c>
      <c r="H107" s="578"/>
      <c r="I107" s="12">
        <f t="shared" si="32"/>
        <v>1</v>
      </c>
      <c r="J107" s="578"/>
      <c r="K107" s="12">
        <f t="shared" si="33"/>
        <v>1</v>
      </c>
      <c r="L107" s="578"/>
      <c r="M107" s="12">
        <f t="shared" si="34"/>
        <v>1</v>
      </c>
      <c r="N107" s="578"/>
      <c r="O107" s="12">
        <f t="shared" si="35"/>
        <v>1</v>
      </c>
      <c r="P107" s="578"/>
      <c r="Q107" s="12">
        <f t="shared" si="36"/>
        <v>1</v>
      </c>
      <c r="R107" s="12">
        <f t="shared" si="41"/>
        <v>0</v>
      </c>
      <c r="S107" s="246">
        <f t="shared" si="42"/>
        <v>0</v>
      </c>
      <c r="T107" s="821">
        <f t="shared" si="43"/>
        <v>0</v>
      </c>
      <c r="U107" s="2689">
        <f t="shared" si="37"/>
        <v>0</v>
      </c>
      <c r="V107" s="2689">
        <f t="shared" si="38"/>
        <v>0</v>
      </c>
      <c r="W107" s="909"/>
      <c r="X107" s="2689">
        <f t="shared" si="39"/>
        <v>0</v>
      </c>
      <c r="Y107" s="2689">
        <f t="shared" si="40"/>
        <v>0</v>
      </c>
      <c r="Z107" s="909"/>
    </row>
    <row r="108" spans="1:26">
      <c r="A108" s="31"/>
      <c r="B108" s="19"/>
      <c r="C108" s="12">
        <f t="shared" si="29"/>
        <v>1</v>
      </c>
      <c r="D108" s="578"/>
      <c r="E108" s="12">
        <f t="shared" si="30"/>
        <v>1</v>
      </c>
      <c r="F108" s="578"/>
      <c r="G108" s="12">
        <f t="shared" si="31"/>
        <v>1</v>
      </c>
      <c r="H108" s="578"/>
      <c r="I108" s="12">
        <f t="shared" si="32"/>
        <v>1</v>
      </c>
      <c r="J108" s="578"/>
      <c r="K108" s="12">
        <f t="shared" si="33"/>
        <v>1</v>
      </c>
      <c r="L108" s="578"/>
      <c r="M108" s="12">
        <f t="shared" si="34"/>
        <v>1</v>
      </c>
      <c r="N108" s="578"/>
      <c r="O108" s="12">
        <f t="shared" si="35"/>
        <v>1</v>
      </c>
      <c r="P108" s="578"/>
      <c r="Q108" s="12">
        <f t="shared" si="36"/>
        <v>1</v>
      </c>
      <c r="R108" s="12">
        <f t="shared" si="41"/>
        <v>0</v>
      </c>
      <c r="S108" s="246">
        <f t="shared" si="42"/>
        <v>0</v>
      </c>
      <c r="T108" s="821">
        <f t="shared" si="43"/>
        <v>0</v>
      </c>
      <c r="U108" s="2689">
        <f t="shared" si="37"/>
        <v>0</v>
      </c>
      <c r="V108" s="2689">
        <f t="shared" si="38"/>
        <v>0</v>
      </c>
      <c r="W108" s="909"/>
      <c r="X108" s="2689">
        <f t="shared" si="39"/>
        <v>0</v>
      </c>
      <c r="Y108" s="2689">
        <f t="shared" si="40"/>
        <v>0</v>
      </c>
      <c r="Z108" s="909"/>
    </row>
    <row r="109" spans="1:26">
      <c r="A109" s="31"/>
      <c r="B109" s="19"/>
      <c r="C109" s="12">
        <f t="shared" si="29"/>
        <v>1</v>
      </c>
      <c r="D109" s="578"/>
      <c r="E109" s="12">
        <f t="shared" si="30"/>
        <v>1</v>
      </c>
      <c r="F109" s="578"/>
      <c r="G109" s="12">
        <f t="shared" si="31"/>
        <v>1</v>
      </c>
      <c r="H109" s="578"/>
      <c r="I109" s="12">
        <f t="shared" si="32"/>
        <v>1</v>
      </c>
      <c r="J109" s="578"/>
      <c r="K109" s="12">
        <f t="shared" si="33"/>
        <v>1</v>
      </c>
      <c r="L109" s="578"/>
      <c r="M109" s="12">
        <f t="shared" si="34"/>
        <v>1</v>
      </c>
      <c r="N109" s="578"/>
      <c r="O109" s="12">
        <f t="shared" si="35"/>
        <v>1</v>
      </c>
      <c r="P109" s="578"/>
      <c r="Q109" s="12">
        <f t="shared" si="36"/>
        <v>1</v>
      </c>
      <c r="R109" s="12">
        <f t="shared" si="41"/>
        <v>0</v>
      </c>
      <c r="S109" s="246">
        <f t="shared" si="42"/>
        <v>0</v>
      </c>
      <c r="T109" s="821">
        <f t="shared" si="43"/>
        <v>0</v>
      </c>
      <c r="U109" s="2689">
        <f t="shared" si="37"/>
        <v>0</v>
      </c>
      <c r="V109" s="2689">
        <f t="shared" si="38"/>
        <v>0</v>
      </c>
      <c r="W109" s="909"/>
      <c r="X109" s="2689">
        <f t="shared" si="39"/>
        <v>0</v>
      </c>
      <c r="Y109" s="2689">
        <f t="shared" si="40"/>
        <v>0</v>
      </c>
      <c r="Z109" s="909"/>
    </row>
    <row r="110" spans="1:26">
      <c r="A110" s="31"/>
      <c r="B110" s="19"/>
      <c r="C110" s="12">
        <f t="shared" si="29"/>
        <v>1</v>
      </c>
      <c r="D110" s="578"/>
      <c r="E110" s="12">
        <f t="shared" si="30"/>
        <v>1</v>
      </c>
      <c r="F110" s="578"/>
      <c r="G110" s="12">
        <f t="shared" si="31"/>
        <v>1</v>
      </c>
      <c r="H110" s="578"/>
      <c r="I110" s="12">
        <f t="shared" si="32"/>
        <v>1</v>
      </c>
      <c r="J110" s="578"/>
      <c r="K110" s="12">
        <f t="shared" si="33"/>
        <v>1</v>
      </c>
      <c r="L110" s="578"/>
      <c r="M110" s="12">
        <f t="shared" si="34"/>
        <v>1</v>
      </c>
      <c r="N110" s="578"/>
      <c r="O110" s="12">
        <f t="shared" si="35"/>
        <v>1</v>
      </c>
      <c r="P110" s="578"/>
      <c r="Q110" s="12">
        <f t="shared" si="36"/>
        <v>1</v>
      </c>
      <c r="R110" s="12">
        <f t="shared" si="41"/>
        <v>0</v>
      </c>
      <c r="S110" s="246">
        <f t="shared" si="42"/>
        <v>0</v>
      </c>
      <c r="T110" s="821">
        <f t="shared" si="43"/>
        <v>0</v>
      </c>
      <c r="U110" s="2689">
        <f t="shared" si="37"/>
        <v>0</v>
      </c>
      <c r="V110" s="2689">
        <f t="shared" si="38"/>
        <v>0</v>
      </c>
      <c r="W110" s="909"/>
      <c r="X110" s="2689">
        <f t="shared" si="39"/>
        <v>0</v>
      </c>
      <c r="Y110" s="2689">
        <f t="shared" si="40"/>
        <v>0</v>
      </c>
      <c r="Z110" s="909"/>
    </row>
    <row r="111" spans="1:26">
      <c r="A111" s="31"/>
      <c r="B111" s="19"/>
      <c r="C111" s="12">
        <f t="shared" si="29"/>
        <v>1</v>
      </c>
      <c r="D111" s="578"/>
      <c r="E111" s="12">
        <f t="shared" si="30"/>
        <v>1</v>
      </c>
      <c r="F111" s="578"/>
      <c r="G111" s="12">
        <f t="shared" si="31"/>
        <v>1</v>
      </c>
      <c r="H111" s="578"/>
      <c r="I111" s="12">
        <f t="shared" si="32"/>
        <v>1</v>
      </c>
      <c r="J111" s="578"/>
      <c r="K111" s="12">
        <f t="shared" si="33"/>
        <v>1</v>
      </c>
      <c r="L111" s="578"/>
      <c r="M111" s="12">
        <f t="shared" si="34"/>
        <v>1</v>
      </c>
      <c r="N111" s="578"/>
      <c r="O111" s="12">
        <f t="shared" si="35"/>
        <v>1</v>
      </c>
      <c r="P111" s="578"/>
      <c r="Q111" s="12">
        <f t="shared" si="36"/>
        <v>1</v>
      </c>
      <c r="R111" s="12">
        <f t="shared" si="41"/>
        <v>0</v>
      </c>
      <c r="S111" s="246">
        <f t="shared" si="42"/>
        <v>0</v>
      </c>
      <c r="T111" s="821">
        <f t="shared" si="43"/>
        <v>0</v>
      </c>
      <c r="U111" s="2689">
        <f t="shared" si="37"/>
        <v>0</v>
      </c>
      <c r="V111" s="2689">
        <f t="shared" si="38"/>
        <v>0</v>
      </c>
      <c r="W111" s="909"/>
      <c r="X111" s="2689">
        <f t="shared" si="39"/>
        <v>0</v>
      </c>
      <c r="Y111" s="2689">
        <f t="shared" si="40"/>
        <v>0</v>
      </c>
      <c r="Z111" s="909"/>
    </row>
    <row r="112" spans="1:26">
      <c r="A112" s="31"/>
      <c r="B112" s="19"/>
      <c r="C112" s="12">
        <f t="shared" si="29"/>
        <v>1</v>
      </c>
      <c r="D112" s="578"/>
      <c r="E112" s="12">
        <f t="shared" si="30"/>
        <v>1</v>
      </c>
      <c r="F112" s="578"/>
      <c r="G112" s="12">
        <f t="shared" si="31"/>
        <v>1</v>
      </c>
      <c r="H112" s="578"/>
      <c r="I112" s="12">
        <f t="shared" si="32"/>
        <v>1</v>
      </c>
      <c r="J112" s="578"/>
      <c r="K112" s="12">
        <f t="shared" si="33"/>
        <v>1</v>
      </c>
      <c r="L112" s="578"/>
      <c r="M112" s="12">
        <f t="shared" si="34"/>
        <v>1</v>
      </c>
      <c r="N112" s="578"/>
      <c r="O112" s="12">
        <f t="shared" si="35"/>
        <v>1</v>
      </c>
      <c r="P112" s="578"/>
      <c r="Q112" s="12">
        <f t="shared" si="36"/>
        <v>1</v>
      </c>
      <c r="R112" s="12">
        <f t="shared" si="41"/>
        <v>0</v>
      </c>
      <c r="S112" s="246">
        <f t="shared" si="42"/>
        <v>0</v>
      </c>
      <c r="T112" s="821">
        <f t="shared" si="43"/>
        <v>0</v>
      </c>
      <c r="U112" s="2689">
        <f t="shared" si="37"/>
        <v>0</v>
      </c>
      <c r="V112" s="2689">
        <f t="shared" si="38"/>
        <v>0</v>
      </c>
      <c r="W112" s="909"/>
      <c r="X112" s="2689">
        <f t="shared" si="39"/>
        <v>0</v>
      </c>
      <c r="Y112" s="2689">
        <f t="shared" si="40"/>
        <v>0</v>
      </c>
      <c r="Z112" s="909"/>
    </row>
    <row r="113" spans="1:26">
      <c r="A113" s="31"/>
      <c r="B113" s="19"/>
      <c r="C113" s="12">
        <f t="shared" si="29"/>
        <v>1</v>
      </c>
      <c r="D113" s="578"/>
      <c r="E113" s="12">
        <f t="shared" si="30"/>
        <v>1</v>
      </c>
      <c r="F113" s="578"/>
      <c r="G113" s="12">
        <f t="shared" si="31"/>
        <v>1</v>
      </c>
      <c r="H113" s="578"/>
      <c r="I113" s="12">
        <f t="shared" si="32"/>
        <v>1</v>
      </c>
      <c r="J113" s="578"/>
      <c r="K113" s="12">
        <f t="shared" si="33"/>
        <v>1</v>
      </c>
      <c r="L113" s="578"/>
      <c r="M113" s="12">
        <f t="shared" si="34"/>
        <v>1</v>
      </c>
      <c r="N113" s="578"/>
      <c r="O113" s="12">
        <f t="shared" si="35"/>
        <v>1</v>
      </c>
      <c r="P113" s="578"/>
      <c r="Q113" s="12">
        <f t="shared" si="36"/>
        <v>1</v>
      </c>
      <c r="R113" s="12">
        <f t="shared" si="41"/>
        <v>0</v>
      </c>
      <c r="S113" s="246">
        <f t="shared" si="42"/>
        <v>0</v>
      </c>
      <c r="T113" s="821">
        <f t="shared" si="43"/>
        <v>0</v>
      </c>
      <c r="U113" s="2689">
        <f t="shared" si="37"/>
        <v>0</v>
      </c>
      <c r="V113" s="2689">
        <f t="shared" si="38"/>
        <v>0</v>
      </c>
      <c r="W113" s="909"/>
      <c r="X113" s="2689">
        <f t="shared" si="39"/>
        <v>0</v>
      </c>
      <c r="Y113" s="2689">
        <f t="shared" si="40"/>
        <v>0</v>
      </c>
      <c r="Z113" s="909"/>
    </row>
    <row r="114" spans="1:26">
      <c r="A114" s="31"/>
      <c r="B114" s="19"/>
      <c r="C114" s="12">
        <f t="shared" si="29"/>
        <v>1</v>
      </c>
      <c r="D114" s="578"/>
      <c r="E114" s="12">
        <f t="shared" si="30"/>
        <v>1</v>
      </c>
      <c r="F114" s="578"/>
      <c r="G114" s="12">
        <f t="shared" si="31"/>
        <v>1</v>
      </c>
      <c r="H114" s="578"/>
      <c r="I114" s="12">
        <f t="shared" si="32"/>
        <v>1</v>
      </c>
      <c r="J114" s="578"/>
      <c r="K114" s="12">
        <f t="shared" si="33"/>
        <v>1</v>
      </c>
      <c r="L114" s="578"/>
      <c r="M114" s="12">
        <f t="shared" si="34"/>
        <v>1</v>
      </c>
      <c r="N114" s="578"/>
      <c r="O114" s="12">
        <f t="shared" si="35"/>
        <v>1</v>
      </c>
      <c r="P114" s="578"/>
      <c r="Q114" s="12">
        <f t="shared" si="36"/>
        <v>1</v>
      </c>
      <c r="R114" s="12">
        <f t="shared" si="41"/>
        <v>0</v>
      </c>
      <c r="S114" s="246">
        <f t="shared" si="42"/>
        <v>0</v>
      </c>
      <c r="T114" s="821">
        <f t="shared" si="43"/>
        <v>0</v>
      </c>
      <c r="U114" s="2689">
        <f t="shared" si="37"/>
        <v>0</v>
      </c>
      <c r="V114" s="2689">
        <f t="shared" si="38"/>
        <v>0</v>
      </c>
      <c r="W114" s="909"/>
      <c r="X114" s="2689">
        <f t="shared" si="39"/>
        <v>0</v>
      </c>
      <c r="Y114" s="2689">
        <f t="shared" si="40"/>
        <v>0</v>
      </c>
      <c r="Z114" s="909"/>
    </row>
    <row r="115" spans="1:26">
      <c r="A115" s="31"/>
      <c r="B115" s="19"/>
      <c r="C115" s="12">
        <f t="shared" si="29"/>
        <v>1</v>
      </c>
      <c r="D115" s="578"/>
      <c r="E115" s="12">
        <f t="shared" si="30"/>
        <v>1</v>
      </c>
      <c r="F115" s="578"/>
      <c r="G115" s="12">
        <f t="shared" si="31"/>
        <v>1</v>
      </c>
      <c r="H115" s="578"/>
      <c r="I115" s="12">
        <f t="shared" si="32"/>
        <v>1</v>
      </c>
      <c r="J115" s="578"/>
      <c r="K115" s="12">
        <f t="shared" si="33"/>
        <v>1</v>
      </c>
      <c r="L115" s="578"/>
      <c r="M115" s="12">
        <f t="shared" si="34"/>
        <v>1</v>
      </c>
      <c r="N115" s="578"/>
      <c r="O115" s="12">
        <f t="shared" si="35"/>
        <v>1</v>
      </c>
      <c r="P115" s="578"/>
      <c r="Q115" s="12">
        <f t="shared" si="36"/>
        <v>1</v>
      </c>
      <c r="R115" s="12">
        <f t="shared" si="41"/>
        <v>0</v>
      </c>
      <c r="S115" s="246">
        <f t="shared" si="42"/>
        <v>0</v>
      </c>
      <c r="T115" s="821">
        <f t="shared" si="43"/>
        <v>0</v>
      </c>
      <c r="U115" s="2689">
        <f t="shared" si="37"/>
        <v>0</v>
      </c>
      <c r="V115" s="2689">
        <f t="shared" si="38"/>
        <v>0</v>
      </c>
      <c r="W115" s="909"/>
      <c r="X115" s="2689">
        <f t="shared" si="39"/>
        <v>0</v>
      </c>
      <c r="Y115" s="2689">
        <f t="shared" si="40"/>
        <v>0</v>
      </c>
      <c r="Z115" s="909"/>
    </row>
    <row r="116" spans="1:26">
      <c r="A116" s="31"/>
      <c r="B116" s="19"/>
      <c r="C116" s="12">
        <f t="shared" si="29"/>
        <v>1</v>
      </c>
      <c r="D116" s="578"/>
      <c r="E116" s="12">
        <f t="shared" si="30"/>
        <v>1</v>
      </c>
      <c r="F116" s="578"/>
      <c r="G116" s="12">
        <f t="shared" si="31"/>
        <v>1</v>
      </c>
      <c r="H116" s="578"/>
      <c r="I116" s="12">
        <f t="shared" si="32"/>
        <v>1</v>
      </c>
      <c r="J116" s="578"/>
      <c r="K116" s="12">
        <f t="shared" si="33"/>
        <v>1</v>
      </c>
      <c r="L116" s="578"/>
      <c r="M116" s="12">
        <f t="shared" si="34"/>
        <v>1</v>
      </c>
      <c r="N116" s="578"/>
      <c r="O116" s="12">
        <f t="shared" si="35"/>
        <v>1</v>
      </c>
      <c r="P116" s="578"/>
      <c r="Q116" s="12">
        <f t="shared" si="36"/>
        <v>1</v>
      </c>
      <c r="R116" s="12">
        <f t="shared" si="41"/>
        <v>0</v>
      </c>
      <c r="S116" s="246">
        <f t="shared" si="42"/>
        <v>0</v>
      </c>
      <c r="T116" s="821">
        <f t="shared" si="43"/>
        <v>0</v>
      </c>
      <c r="U116" s="2689">
        <f t="shared" si="37"/>
        <v>0</v>
      </c>
      <c r="V116" s="2689">
        <f t="shared" si="38"/>
        <v>0</v>
      </c>
      <c r="W116" s="909"/>
      <c r="X116" s="2689">
        <f t="shared" si="39"/>
        <v>0</v>
      </c>
      <c r="Y116" s="2689">
        <f t="shared" si="40"/>
        <v>0</v>
      </c>
      <c r="Z116" s="909"/>
    </row>
    <row r="117" spans="1:26">
      <c r="A117" s="31"/>
      <c r="B117" s="19"/>
      <c r="C117" s="12">
        <f t="shared" si="29"/>
        <v>1</v>
      </c>
      <c r="D117" s="578"/>
      <c r="E117" s="12">
        <f t="shared" si="30"/>
        <v>1</v>
      </c>
      <c r="F117" s="578"/>
      <c r="G117" s="12">
        <f t="shared" si="31"/>
        <v>1</v>
      </c>
      <c r="H117" s="578"/>
      <c r="I117" s="12">
        <f t="shared" si="32"/>
        <v>1</v>
      </c>
      <c r="J117" s="578"/>
      <c r="K117" s="12">
        <f t="shared" si="33"/>
        <v>1</v>
      </c>
      <c r="L117" s="578"/>
      <c r="M117" s="12">
        <f t="shared" si="34"/>
        <v>1</v>
      </c>
      <c r="N117" s="578"/>
      <c r="O117" s="12">
        <f t="shared" si="35"/>
        <v>1</v>
      </c>
      <c r="P117" s="578"/>
      <c r="Q117" s="12">
        <f t="shared" si="36"/>
        <v>1</v>
      </c>
      <c r="R117" s="12">
        <f t="shared" si="41"/>
        <v>0</v>
      </c>
      <c r="S117" s="246">
        <f t="shared" si="42"/>
        <v>0</v>
      </c>
      <c r="T117" s="821">
        <f t="shared" si="43"/>
        <v>0</v>
      </c>
      <c r="U117" s="2689">
        <f t="shared" si="37"/>
        <v>0</v>
      </c>
      <c r="V117" s="2689">
        <f t="shared" si="38"/>
        <v>0</v>
      </c>
      <c r="W117" s="909"/>
      <c r="X117" s="2689">
        <f t="shared" si="39"/>
        <v>0</v>
      </c>
      <c r="Y117" s="2689">
        <f t="shared" si="40"/>
        <v>0</v>
      </c>
      <c r="Z117" s="909"/>
    </row>
    <row r="118" spans="1:26">
      <c r="A118" s="31"/>
      <c r="B118" s="19"/>
      <c r="C118" s="12">
        <f t="shared" si="29"/>
        <v>1</v>
      </c>
      <c r="D118" s="578"/>
      <c r="E118" s="12">
        <f t="shared" si="30"/>
        <v>1</v>
      </c>
      <c r="F118" s="578"/>
      <c r="G118" s="12">
        <f t="shared" si="31"/>
        <v>1</v>
      </c>
      <c r="H118" s="578"/>
      <c r="I118" s="12">
        <f t="shared" si="32"/>
        <v>1</v>
      </c>
      <c r="J118" s="578"/>
      <c r="K118" s="12">
        <f t="shared" si="33"/>
        <v>1</v>
      </c>
      <c r="L118" s="578"/>
      <c r="M118" s="12">
        <f t="shared" si="34"/>
        <v>1</v>
      </c>
      <c r="N118" s="578"/>
      <c r="O118" s="12">
        <f t="shared" si="35"/>
        <v>1</v>
      </c>
      <c r="P118" s="578"/>
      <c r="Q118" s="12">
        <f t="shared" si="36"/>
        <v>1</v>
      </c>
      <c r="R118" s="12">
        <f t="shared" si="41"/>
        <v>0</v>
      </c>
      <c r="S118" s="246">
        <f t="shared" si="42"/>
        <v>0</v>
      </c>
      <c r="T118" s="821">
        <f t="shared" si="43"/>
        <v>0</v>
      </c>
      <c r="U118" s="2689">
        <f t="shared" si="37"/>
        <v>0</v>
      </c>
      <c r="V118" s="2689">
        <f t="shared" si="38"/>
        <v>0</v>
      </c>
      <c r="W118" s="909"/>
      <c r="X118" s="2689">
        <f t="shared" si="39"/>
        <v>0</v>
      </c>
      <c r="Y118" s="2689">
        <f t="shared" si="40"/>
        <v>0</v>
      </c>
      <c r="Z118" s="909"/>
    </row>
    <row r="119" spans="1:26">
      <c r="A119" s="31"/>
      <c r="B119" s="19"/>
      <c r="C119" s="12">
        <f t="shared" si="29"/>
        <v>1</v>
      </c>
      <c r="D119" s="578"/>
      <c r="E119" s="12">
        <f t="shared" si="30"/>
        <v>1</v>
      </c>
      <c r="F119" s="578"/>
      <c r="G119" s="12">
        <f t="shared" si="31"/>
        <v>1</v>
      </c>
      <c r="H119" s="578"/>
      <c r="I119" s="12">
        <f t="shared" si="32"/>
        <v>1</v>
      </c>
      <c r="J119" s="578"/>
      <c r="K119" s="12">
        <f t="shared" si="33"/>
        <v>1</v>
      </c>
      <c r="L119" s="578"/>
      <c r="M119" s="12">
        <f t="shared" si="34"/>
        <v>1</v>
      </c>
      <c r="N119" s="578"/>
      <c r="O119" s="12">
        <f t="shared" si="35"/>
        <v>1</v>
      </c>
      <c r="P119" s="578"/>
      <c r="Q119" s="12">
        <f t="shared" si="36"/>
        <v>1</v>
      </c>
      <c r="R119" s="12">
        <f t="shared" si="41"/>
        <v>0</v>
      </c>
      <c r="S119" s="246">
        <f t="shared" si="42"/>
        <v>0</v>
      </c>
      <c r="T119" s="821">
        <f t="shared" si="43"/>
        <v>0</v>
      </c>
      <c r="U119" s="2689">
        <f t="shared" si="37"/>
        <v>0</v>
      </c>
      <c r="V119" s="2689">
        <f t="shared" si="38"/>
        <v>0</v>
      </c>
      <c r="W119" s="909"/>
      <c r="X119" s="2689">
        <f t="shared" si="39"/>
        <v>0</v>
      </c>
      <c r="Y119" s="2689">
        <f t="shared" si="40"/>
        <v>0</v>
      </c>
      <c r="Z119" s="909"/>
    </row>
    <row r="120" spans="1:26">
      <c r="A120" s="31"/>
      <c r="B120" s="19"/>
      <c r="C120" s="12">
        <f t="shared" si="29"/>
        <v>1</v>
      </c>
      <c r="D120" s="578"/>
      <c r="E120" s="12">
        <f t="shared" si="30"/>
        <v>1</v>
      </c>
      <c r="F120" s="578"/>
      <c r="G120" s="12">
        <f t="shared" si="31"/>
        <v>1</v>
      </c>
      <c r="H120" s="578"/>
      <c r="I120" s="12">
        <f t="shared" si="32"/>
        <v>1</v>
      </c>
      <c r="J120" s="578"/>
      <c r="K120" s="12">
        <f t="shared" si="33"/>
        <v>1</v>
      </c>
      <c r="L120" s="578"/>
      <c r="M120" s="12">
        <f t="shared" si="34"/>
        <v>1</v>
      </c>
      <c r="N120" s="578"/>
      <c r="O120" s="12">
        <f t="shared" si="35"/>
        <v>1</v>
      </c>
      <c r="P120" s="578"/>
      <c r="Q120" s="12">
        <f t="shared" si="36"/>
        <v>1</v>
      </c>
      <c r="R120" s="12">
        <f t="shared" si="41"/>
        <v>0</v>
      </c>
      <c r="S120" s="246">
        <f t="shared" si="42"/>
        <v>0</v>
      </c>
      <c r="T120" s="821">
        <f t="shared" si="43"/>
        <v>0</v>
      </c>
      <c r="U120" s="2689">
        <f t="shared" si="37"/>
        <v>0</v>
      </c>
      <c r="V120" s="2689">
        <f t="shared" si="38"/>
        <v>0</v>
      </c>
      <c r="W120" s="909"/>
      <c r="X120" s="2689">
        <f t="shared" si="39"/>
        <v>0</v>
      </c>
      <c r="Y120" s="2689">
        <f t="shared" si="40"/>
        <v>0</v>
      </c>
      <c r="Z120" s="909"/>
    </row>
    <row r="121" spans="1:26">
      <c r="A121" s="31"/>
      <c r="B121" s="19"/>
      <c r="C121" s="12">
        <f t="shared" si="29"/>
        <v>1</v>
      </c>
      <c r="D121" s="578"/>
      <c r="E121" s="12">
        <f t="shared" si="30"/>
        <v>1</v>
      </c>
      <c r="F121" s="578"/>
      <c r="G121" s="12">
        <f t="shared" si="31"/>
        <v>1</v>
      </c>
      <c r="H121" s="578"/>
      <c r="I121" s="12">
        <f t="shared" si="32"/>
        <v>1</v>
      </c>
      <c r="J121" s="578"/>
      <c r="K121" s="12">
        <f t="shared" si="33"/>
        <v>1</v>
      </c>
      <c r="L121" s="578"/>
      <c r="M121" s="12">
        <f t="shared" si="34"/>
        <v>1</v>
      </c>
      <c r="N121" s="578"/>
      <c r="O121" s="12">
        <f t="shared" si="35"/>
        <v>1</v>
      </c>
      <c r="P121" s="578"/>
      <c r="Q121" s="12">
        <f t="shared" si="36"/>
        <v>1</v>
      </c>
      <c r="R121" s="12">
        <f t="shared" si="41"/>
        <v>0</v>
      </c>
      <c r="S121" s="246">
        <f t="shared" si="42"/>
        <v>0</v>
      </c>
      <c r="T121" s="821">
        <f t="shared" si="43"/>
        <v>0</v>
      </c>
      <c r="U121" s="2689">
        <f t="shared" si="37"/>
        <v>0</v>
      </c>
      <c r="V121" s="2689">
        <f t="shared" si="38"/>
        <v>0</v>
      </c>
      <c r="W121" s="909"/>
      <c r="X121" s="2689">
        <f t="shared" si="39"/>
        <v>0</v>
      </c>
      <c r="Y121" s="2689">
        <f t="shared" si="40"/>
        <v>0</v>
      </c>
      <c r="Z121" s="909"/>
    </row>
    <row r="122" spans="1:26">
      <c r="A122" s="31"/>
      <c r="B122" s="19"/>
      <c r="C122" s="12">
        <f t="shared" si="29"/>
        <v>1</v>
      </c>
      <c r="D122" s="578"/>
      <c r="E122" s="12">
        <f t="shared" si="30"/>
        <v>1</v>
      </c>
      <c r="F122" s="578"/>
      <c r="G122" s="12">
        <f t="shared" si="31"/>
        <v>1</v>
      </c>
      <c r="H122" s="578"/>
      <c r="I122" s="12">
        <f t="shared" si="32"/>
        <v>1</v>
      </c>
      <c r="J122" s="578"/>
      <c r="K122" s="12">
        <f t="shared" si="33"/>
        <v>1</v>
      </c>
      <c r="L122" s="578"/>
      <c r="M122" s="12">
        <f t="shared" si="34"/>
        <v>1</v>
      </c>
      <c r="N122" s="578"/>
      <c r="O122" s="12">
        <f t="shared" si="35"/>
        <v>1</v>
      </c>
      <c r="P122" s="578"/>
      <c r="Q122" s="12">
        <f t="shared" si="36"/>
        <v>1</v>
      </c>
      <c r="R122" s="12">
        <f t="shared" si="41"/>
        <v>0</v>
      </c>
      <c r="S122" s="246">
        <f t="shared" si="42"/>
        <v>0</v>
      </c>
      <c r="T122" s="821">
        <f t="shared" si="43"/>
        <v>0</v>
      </c>
      <c r="U122" s="2689">
        <f t="shared" si="37"/>
        <v>0</v>
      </c>
      <c r="V122" s="2689">
        <f t="shared" si="38"/>
        <v>0</v>
      </c>
      <c r="W122" s="909"/>
      <c r="X122" s="2689">
        <f t="shared" si="39"/>
        <v>0</v>
      </c>
      <c r="Y122" s="2689">
        <f t="shared" si="40"/>
        <v>0</v>
      </c>
      <c r="Z122" s="909"/>
    </row>
    <row r="123" spans="1:26">
      <c r="A123" s="31"/>
      <c r="B123" s="19"/>
      <c r="C123" s="12">
        <f t="shared" si="29"/>
        <v>1</v>
      </c>
      <c r="D123" s="578"/>
      <c r="E123" s="12">
        <f t="shared" si="30"/>
        <v>1</v>
      </c>
      <c r="F123" s="578"/>
      <c r="G123" s="12">
        <f t="shared" si="31"/>
        <v>1</v>
      </c>
      <c r="H123" s="578"/>
      <c r="I123" s="12">
        <f t="shared" si="32"/>
        <v>1</v>
      </c>
      <c r="J123" s="578"/>
      <c r="K123" s="12">
        <f t="shared" si="33"/>
        <v>1</v>
      </c>
      <c r="L123" s="578"/>
      <c r="M123" s="12">
        <f t="shared" si="34"/>
        <v>1</v>
      </c>
      <c r="N123" s="578"/>
      <c r="O123" s="12">
        <f t="shared" si="35"/>
        <v>1</v>
      </c>
      <c r="P123" s="578"/>
      <c r="Q123" s="12">
        <f t="shared" si="36"/>
        <v>1</v>
      </c>
      <c r="R123" s="12">
        <f t="shared" si="41"/>
        <v>0</v>
      </c>
      <c r="S123" s="246">
        <f t="shared" si="42"/>
        <v>0</v>
      </c>
      <c r="T123" s="821">
        <f t="shared" si="43"/>
        <v>0</v>
      </c>
      <c r="U123" s="2689">
        <f t="shared" si="37"/>
        <v>0</v>
      </c>
      <c r="V123" s="2689">
        <f t="shared" si="38"/>
        <v>0</v>
      </c>
      <c r="W123" s="909"/>
      <c r="X123" s="2689">
        <f t="shared" si="39"/>
        <v>0</v>
      </c>
      <c r="Y123" s="2689">
        <f t="shared" si="40"/>
        <v>0</v>
      </c>
      <c r="Z123" s="909"/>
    </row>
    <row r="124" spans="1:26">
      <c r="A124" s="31"/>
      <c r="B124" s="19"/>
      <c r="C124" s="12">
        <f t="shared" si="29"/>
        <v>1</v>
      </c>
      <c r="D124" s="578"/>
      <c r="E124" s="12">
        <f t="shared" si="30"/>
        <v>1</v>
      </c>
      <c r="F124" s="578"/>
      <c r="G124" s="12">
        <f t="shared" si="31"/>
        <v>1</v>
      </c>
      <c r="H124" s="578"/>
      <c r="I124" s="12">
        <f t="shared" si="32"/>
        <v>1</v>
      </c>
      <c r="J124" s="578"/>
      <c r="K124" s="12">
        <f t="shared" si="33"/>
        <v>1</v>
      </c>
      <c r="L124" s="578"/>
      <c r="M124" s="12">
        <f t="shared" si="34"/>
        <v>1</v>
      </c>
      <c r="N124" s="578"/>
      <c r="O124" s="12">
        <f t="shared" si="35"/>
        <v>1</v>
      </c>
      <c r="P124" s="578"/>
      <c r="Q124" s="12">
        <f t="shared" si="36"/>
        <v>1</v>
      </c>
      <c r="R124" s="12">
        <f t="shared" si="41"/>
        <v>0</v>
      </c>
      <c r="S124" s="246">
        <f t="shared" si="42"/>
        <v>0</v>
      </c>
      <c r="T124" s="821">
        <f t="shared" si="43"/>
        <v>0</v>
      </c>
      <c r="U124" s="2689">
        <f t="shared" si="37"/>
        <v>0</v>
      </c>
      <c r="V124" s="2689">
        <f t="shared" si="38"/>
        <v>0</v>
      </c>
      <c r="W124" s="909"/>
      <c r="X124" s="2689">
        <f t="shared" si="39"/>
        <v>0</v>
      </c>
      <c r="Y124" s="2689">
        <f t="shared" si="40"/>
        <v>0</v>
      </c>
      <c r="Z124" s="909"/>
    </row>
    <row r="125" spans="1:26">
      <c r="A125" s="31"/>
      <c r="B125" s="19"/>
      <c r="C125" s="12">
        <f t="shared" si="29"/>
        <v>1</v>
      </c>
      <c r="D125" s="578"/>
      <c r="E125" s="12">
        <f t="shared" si="30"/>
        <v>1</v>
      </c>
      <c r="F125" s="578"/>
      <c r="G125" s="12">
        <f t="shared" si="31"/>
        <v>1</v>
      </c>
      <c r="H125" s="578"/>
      <c r="I125" s="12">
        <f t="shared" si="32"/>
        <v>1</v>
      </c>
      <c r="J125" s="578"/>
      <c r="K125" s="12">
        <f t="shared" si="33"/>
        <v>1</v>
      </c>
      <c r="L125" s="578"/>
      <c r="M125" s="12">
        <f t="shared" si="34"/>
        <v>1</v>
      </c>
      <c r="N125" s="578"/>
      <c r="O125" s="12">
        <f t="shared" si="35"/>
        <v>1</v>
      </c>
      <c r="P125" s="578"/>
      <c r="Q125" s="12">
        <f t="shared" si="36"/>
        <v>1</v>
      </c>
      <c r="R125" s="12">
        <f t="shared" si="41"/>
        <v>0</v>
      </c>
      <c r="S125" s="246">
        <f t="shared" si="42"/>
        <v>0</v>
      </c>
      <c r="T125" s="821">
        <f t="shared" si="43"/>
        <v>0</v>
      </c>
      <c r="U125" s="2689">
        <f t="shared" si="37"/>
        <v>0</v>
      </c>
      <c r="V125" s="2689">
        <f t="shared" si="38"/>
        <v>0</v>
      </c>
      <c r="W125" s="909"/>
      <c r="X125" s="2689">
        <f t="shared" si="39"/>
        <v>0</v>
      </c>
      <c r="Y125" s="2689">
        <f t="shared" si="40"/>
        <v>0</v>
      </c>
      <c r="Z125" s="909"/>
    </row>
    <row r="126" spans="1:26">
      <c r="A126" s="31"/>
      <c r="B126" s="19"/>
      <c r="C126" s="12">
        <f t="shared" si="29"/>
        <v>1</v>
      </c>
      <c r="D126" s="578"/>
      <c r="E126" s="12">
        <f t="shared" si="30"/>
        <v>1</v>
      </c>
      <c r="F126" s="578"/>
      <c r="G126" s="12">
        <f t="shared" si="31"/>
        <v>1</v>
      </c>
      <c r="H126" s="578"/>
      <c r="I126" s="12">
        <f t="shared" si="32"/>
        <v>1</v>
      </c>
      <c r="J126" s="578"/>
      <c r="K126" s="12">
        <f t="shared" si="33"/>
        <v>1</v>
      </c>
      <c r="L126" s="578"/>
      <c r="M126" s="12">
        <f t="shared" si="34"/>
        <v>1</v>
      </c>
      <c r="N126" s="578"/>
      <c r="O126" s="12">
        <f t="shared" si="35"/>
        <v>1</v>
      </c>
      <c r="P126" s="578"/>
      <c r="Q126" s="12">
        <f t="shared" si="36"/>
        <v>1</v>
      </c>
      <c r="R126" s="12">
        <f t="shared" si="41"/>
        <v>0</v>
      </c>
      <c r="S126" s="246">
        <f t="shared" si="42"/>
        <v>0</v>
      </c>
      <c r="T126" s="821">
        <f t="shared" si="43"/>
        <v>0</v>
      </c>
      <c r="U126" s="2689">
        <f t="shared" si="37"/>
        <v>0</v>
      </c>
      <c r="V126" s="2689">
        <f t="shared" si="38"/>
        <v>0</v>
      </c>
      <c r="W126" s="909"/>
      <c r="X126" s="2689">
        <f t="shared" si="39"/>
        <v>0</v>
      </c>
      <c r="Y126" s="2689">
        <f t="shared" si="40"/>
        <v>0</v>
      </c>
      <c r="Z126" s="909"/>
    </row>
    <row r="127" spans="1:26">
      <c r="A127" s="31"/>
      <c r="B127" s="19"/>
      <c r="C127" s="12">
        <f t="shared" si="29"/>
        <v>1</v>
      </c>
      <c r="D127" s="578"/>
      <c r="E127" s="12">
        <f t="shared" si="30"/>
        <v>1</v>
      </c>
      <c r="F127" s="578"/>
      <c r="G127" s="12">
        <f t="shared" si="31"/>
        <v>1</v>
      </c>
      <c r="H127" s="578"/>
      <c r="I127" s="12">
        <f t="shared" si="32"/>
        <v>1</v>
      </c>
      <c r="J127" s="578"/>
      <c r="K127" s="12">
        <f t="shared" si="33"/>
        <v>1</v>
      </c>
      <c r="L127" s="578"/>
      <c r="M127" s="12">
        <f t="shared" si="34"/>
        <v>1</v>
      </c>
      <c r="N127" s="578"/>
      <c r="O127" s="12">
        <f t="shared" si="35"/>
        <v>1</v>
      </c>
      <c r="P127" s="578"/>
      <c r="Q127" s="12">
        <f t="shared" si="36"/>
        <v>1</v>
      </c>
      <c r="R127" s="12">
        <f t="shared" si="41"/>
        <v>0</v>
      </c>
      <c r="S127" s="246">
        <f t="shared" si="42"/>
        <v>0</v>
      </c>
      <c r="T127" s="821">
        <f t="shared" si="43"/>
        <v>0</v>
      </c>
      <c r="U127" s="2689">
        <f t="shared" si="37"/>
        <v>0</v>
      </c>
      <c r="V127" s="2689">
        <f t="shared" si="38"/>
        <v>0</v>
      </c>
      <c r="W127" s="909"/>
      <c r="X127" s="2689">
        <f t="shared" si="39"/>
        <v>0</v>
      </c>
      <c r="Y127" s="2689">
        <f t="shared" si="40"/>
        <v>0</v>
      </c>
      <c r="Z127" s="909"/>
    </row>
    <row r="128" spans="1:26">
      <c r="A128" s="31"/>
      <c r="B128" s="19"/>
      <c r="C128" s="12">
        <f t="shared" si="29"/>
        <v>1</v>
      </c>
      <c r="D128" s="578"/>
      <c r="E128" s="12">
        <f t="shared" si="30"/>
        <v>1</v>
      </c>
      <c r="F128" s="578"/>
      <c r="G128" s="12">
        <f t="shared" si="31"/>
        <v>1</v>
      </c>
      <c r="H128" s="578"/>
      <c r="I128" s="12">
        <f t="shared" si="32"/>
        <v>1</v>
      </c>
      <c r="J128" s="578"/>
      <c r="K128" s="12">
        <f t="shared" si="33"/>
        <v>1</v>
      </c>
      <c r="L128" s="578"/>
      <c r="M128" s="12">
        <f t="shared" si="34"/>
        <v>1</v>
      </c>
      <c r="N128" s="578"/>
      <c r="O128" s="12">
        <f t="shared" si="35"/>
        <v>1</v>
      </c>
      <c r="P128" s="578"/>
      <c r="Q128" s="12">
        <f t="shared" si="36"/>
        <v>1</v>
      </c>
      <c r="R128" s="12">
        <f t="shared" si="41"/>
        <v>0</v>
      </c>
      <c r="S128" s="246">
        <f t="shared" si="42"/>
        <v>0</v>
      </c>
      <c r="T128" s="821">
        <f t="shared" si="43"/>
        <v>0</v>
      </c>
      <c r="U128" s="2689">
        <f t="shared" si="37"/>
        <v>0</v>
      </c>
      <c r="V128" s="2689">
        <f t="shared" si="38"/>
        <v>0</v>
      </c>
      <c r="W128" s="909"/>
      <c r="X128" s="2689">
        <f t="shared" si="39"/>
        <v>0</v>
      </c>
      <c r="Y128" s="2689">
        <f t="shared" si="40"/>
        <v>0</v>
      </c>
      <c r="Z128" s="909"/>
    </row>
    <row r="129" spans="1:26">
      <c r="A129" s="31"/>
      <c r="B129" s="19"/>
      <c r="C129" s="12">
        <f t="shared" si="29"/>
        <v>1</v>
      </c>
      <c r="D129" s="578"/>
      <c r="E129" s="12">
        <f t="shared" si="30"/>
        <v>1</v>
      </c>
      <c r="F129" s="578"/>
      <c r="G129" s="12">
        <f t="shared" si="31"/>
        <v>1</v>
      </c>
      <c r="H129" s="578"/>
      <c r="I129" s="12">
        <f t="shared" si="32"/>
        <v>1</v>
      </c>
      <c r="J129" s="578"/>
      <c r="K129" s="12">
        <f t="shared" si="33"/>
        <v>1</v>
      </c>
      <c r="L129" s="578"/>
      <c r="M129" s="12">
        <f t="shared" si="34"/>
        <v>1</v>
      </c>
      <c r="N129" s="578"/>
      <c r="O129" s="12">
        <f t="shared" si="35"/>
        <v>1</v>
      </c>
      <c r="P129" s="578"/>
      <c r="Q129" s="12">
        <f t="shared" si="36"/>
        <v>1</v>
      </c>
      <c r="R129" s="12">
        <f t="shared" si="41"/>
        <v>0</v>
      </c>
      <c r="S129" s="246">
        <f t="shared" si="42"/>
        <v>0</v>
      </c>
      <c r="T129" s="821">
        <f t="shared" si="43"/>
        <v>0</v>
      </c>
      <c r="U129" s="2689">
        <f t="shared" si="37"/>
        <v>0</v>
      </c>
      <c r="V129" s="2689">
        <f t="shared" si="38"/>
        <v>0</v>
      </c>
      <c r="W129" s="909"/>
      <c r="X129" s="2689">
        <f t="shared" si="39"/>
        <v>0</v>
      </c>
      <c r="Y129" s="2689">
        <f t="shared" si="40"/>
        <v>0</v>
      </c>
      <c r="Z129" s="909"/>
    </row>
    <row r="130" spans="1:26">
      <c r="A130" s="31"/>
      <c r="B130" s="19"/>
      <c r="C130" s="12">
        <f t="shared" si="29"/>
        <v>1</v>
      </c>
      <c r="D130" s="578"/>
      <c r="E130" s="12">
        <f t="shared" si="30"/>
        <v>1</v>
      </c>
      <c r="F130" s="578"/>
      <c r="G130" s="12">
        <f t="shared" si="31"/>
        <v>1</v>
      </c>
      <c r="H130" s="578"/>
      <c r="I130" s="12">
        <f t="shared" si="32"/>
        <v>1</v>
      </c>
      <c r="J130" s="578"/>
      <c r="K130" s="12">
        <f t="shared" si="33"/>
        <v>1</v>
      </c>
      <c r="L130" s="578"/>
      <c r="M130" s="12">
        <f t="shared" si="34"/>
        <v>1</v>
      </c>
      <c r="N130" s="578"/>
      <c r="O130" s="12">
        <f t="shared" si="35"/>
        <v>1</v>
      </c>
      <c r="P130" s="578"/>
      <c r="Q130" s="12">
        <f t="shared" si="36"/>
        <v>1</v>
      </c>
      <c r="R130" s="12">
        <f t="shared" si="41"/>
        <v>0</v>
      </c>
      <c r="S130" s="246">
        <f t="shared" si="42"/>
        <v>0</v>
      </c>
      <c r="T130" s="821">
        <f t="shared" si="43"/>
        <v>0</v>
      </c>
      <c r="U130" s="2689">
        <f t="shared" si="37"/>
        <v>0</v>
      </c>
      <c r="V130" s="2689">
        <f t="shared" si="38"/>
        <v>0</v>
      </c>
      <c r="W130" s="909"/>
      <c r="X130" s="2689">
        <f t="shared" si="39"/>
        <v>0</v>
      </c>
      <c r="Y130" s="2689">
        <f t="shared" si="40"/>
        <v>0</v>
      </c>
      <c r="Z130" s="909"/>
    </row>
    <row r="131" spans="1:26">
      <c r="A131" s="31"/>
      <c r="B131" s="19"/>
      <c r="C131" s="12">
        <f t="shared" si="29"/>
        <v>1</v>
      </c>
      <c r="D131" s="578"/>
      <c r="E131" s="12">
        <f t="shared" si="30"/>
        <v>1</v>
      </c>
      <c r="F131" s="578"/>
      <c r="G131" s="12">
        <f t="shared" si="31"/>
        <v>1</v>
      </c>
      <c r="H131" s="578"/>
      <c r="I131" s="12">
        <f t="shared" si="32"/>
        <v>1</v>
      </c>
      <c r="J131" s="578"/>
      <c r="K131" s="12">
        <f t="shared" si="33"/>
        <v>1</v>
      </c>
      <c r="L131" s="578"/>
      <c r="M131" s="12">
        <f t="shared" si="34"/>
        <v>1</v>
      </c>
      <c r="N131" s="578"/>
      <c r="O131" s="12">
        <f t="shared" si="35"/>
        <v>1</v>
      </c>
      <c r="P131" s="578"/>
      <c r="Q131" s="12">
        <f t="shared" si="36"/>
        <v>1</v>
      </c>
      <c r="R131" s="12">
        <f t="shared" si="41"/>
        <v>0</v>
      </c>
      <c r="S131" s="246">
        <f t="shared" si="42"/>
        <v>0</v>
      </c>
      <c r="T131" s="821">
        <f t="shared" si="43"/>
        <v>0</v>
      </c>
      <c r="U131" s="2689">
        <f t="shared" si="37"/>
        <v>0</v>
      </c>
      <c r="V131" s="2689">
        <f t="shared" si="38"/>
        <v>0</v>
      </c>
      <c r="W131" s="909"/>
      <c r="X131" s="2689">
        <f t="shared" si="39"/>
        <v>0</v>
      </c>
      <c r="Y131" s="2689">
        <f t="shared" si="40"/>
        <v>0</v>
      </c>
      <c r="Z131" s="909"/>
    </row>
    <row r="132" spans="1:26">
      <c r="A132" s="31"/>
      <c r="B132" s="19"/>
      <c r="C132" s="12">
        <f t="shared" si="29"/>
        <v>1</v>
      </c>
      <c r="D132" s="578"/>
      <c r="E132" s="12">
        <f t="shared" si="30"/>
        <v>1</v>
      </c>
      <c r="F132" s="578"/>
      <c r="G132" s="12">
        <f t="shared" si="31"/>
        <v>1</v>
      </c>
      <c r="H132" s="578"/>
      <c r="I132" s="12">
        <f t="shared" si="32"/>
        <v>1</v>
      </c>
      <c r="J132" s="578"/>
      <c r="K132" s="12">
        <f t="shared" si="33"/>
        <v>1</v>
      </c>
      <c r="L132" s="578"/>
      <c r="M132" s="12">
        <f t="shared" si="34"/>
        <v>1</v>
      </c>
      <c r="N132" s="578"/>
      <c r="O132" s="12">
        <f t="shared" si="35"/>
        <v>1</v>
      </c>
      <c r="P132" s="578"/>
      <c r="Q132" s="12">
        <f t="shared" si="36"/>
        <v>1</v>
      </c>
      <c r="R132" s="12">
        <f t="shared" si="41"/>
        <v>0</v>
      </c>
      <c r="S132" s="246">
        <f t="shared" si="42"/>
        <v>0</v>
      </c>
      <c r="T132" s="821">
        <f t="shared" si="43"/>
        <v>0</v>
      </c>
      <c r="U132" s="2689">
        <f t="shared" si="37"/>
        <v>0</v>
      </c>
      <c r="V132" s="2689">
        <f t="shared" si="38"/>
        <v>0</v>
      </c>
      <c r="W132" s="909"/>
      <c r="X132" s="2689">
        <f t="shared" si="39"/>
        <v>0</v>
      </c>
      <c r="Y132" s="2689">
        <f t="shared" si="40"/>
        <v>0</v>
      </c>
      <c r="Z132" s="909"/>
    </row>
    <row r="133" spans="1:26">
      <c r="A133" s="31"/>
      <c r="B133" s="19"/>
      <c r="C133" s="12">
        <f t="shared" si="29"/>
        <v>1</v>
      </c>
      <c r="D133" s="578"/>
      <c r="E133" s="12">
        <f t="shared" si="30"/>
        <v>1</v>
      </c>
      <c r="F133" s="578"/>
      <c r="G133" s="12">
        <f t="shared" si="31"/>
        <v>1</v>
      </c>
      <c r="H133" s="578"/>
      <c r="I133" s="12">
        <f t="shared" si="32"/>
        <v>1</v>
      </c>
      <c r="J133" s="578"/>
      <c r="K133" s="12">
        <f t="shared" si="33"/>
        <v>1</v>
      </c>
      <c r="L133" s="578"/>
      <c r="M133" s="12">
        <f t="shared" si="34"/>
        <v>1</v>
      </c>
      <c r="N133" s="578"/>
      <c r="O133" s="12">
        <f t="shared" si="35"/>
        <v>1</v>
      </c>
      <c r="P133" s="578"/>
      <c r="Q133" s="12">
        <f t="shared" si="36"/>
        <v>1</v>
      </c>
      <c r="R133" s="12">
        <f t="shared" si="41"/>
        <v>0</v>
      </c>
      <c r="S133" s="246">
        <f t="shared" si="42"/>
        <v>0</v>
      </c>
      <c r="T133" s="821">
        <f t="shared" si="43"/>
        <v>0</v>
      </c>
      <c r="U133" s="2689">
        <f t="shared" si="37"/>
        <v>0</v>
      </c>
      <c r="V133" s="2689">
        <f t="shared" si="38"/>
        <v>0</v>
      </c>
      <c r="W133" s="909"/>
      <c r="X133" s="2689">
        <f t="shared" si="39"/>
        <v>0</v>
      </c>
      <c r="Y133" s="2689">
        <f t="shared" si="40"/>
        <v>0</v>
      </c>
      <c r="Z133" s="909"/>
    </row>
    <row r="134" spans="1:26">
      <c r="A134" s="31"/>
      <c r="B134" s="19"/>
      <c r="C134" s="12">
        <f t="shared" si="29"/>
        <v>1</v>
      </c>
      <c r="D134" s="578"/>
      <c r="E134" s="12">
        <f t="shared" si="30"/>
        <v>1</v>
      </c>
      <c r="F134" s="578"/>
      <c r="G134" s="12">
        <f t="shared" si="31"/>
        <v>1</v>
      </c>
      <c r="H134" s="578"/>
      <c r="I134" s="12">
        <f t="shared" si="32"/>
        <v>1</v>
      </c>
      <c r="J134" s="578"/>
      <c r="K134" s="12">
        <f t="shared" si="33"/>
        <v>1</v>
      </c>
      <c r="L134" s="578"/>
      <c r="M134" s="12">
        <f t="shared" si="34"/>
        <v>1</v>
      </c>
      <c r="N134" s="578"/>
      <c r="O134" s="12">
        <f t="shared" si="35"/>
        <v>1</v>
      </c>
      <c r="P134" s="578"/>
      <c r="Q134" s="12">
        <f t="shared" si="36"/>
        <v>1</v>
      </c>
      <c r="R134" s="12">
        <f t="shared" si="41"/>
        <v>0</v>
      </c>
      <c r="S134" s="246">
        <f t="shared" si="42"/>
        <v>0</v>
      </c>
      <c r="T134" s="821">
        <f t="shared" si="43"/>
        <v>0</v>
      </c>
      <c r="U134" s="2689">
        <f t="shared" si="37"/>
        <v>0</v>
      </c>
      <c r="V134" s="2689">
        <f t="shared" si="38"/>
        <v>0</v>
      </c>
      <c r="W134" s="909"/>
      <c r="X134" s="2689">
        <f t="shared" si="39"/>
        <v>0</v>
      </c>
      <c r="Y134" s="2689">
        <f t="shared" si="40"/>
        <v>0</v>
      </c>
      <c r="Z134" s="909"/>
    </row>
    <row r="135" spans="1:26">
      <c r="A135" s="31"/>
      <c r="B135" s="19"/>
      <c r="C135" s="12">
        <f t="shared" si="29"/>
        <v>1</v>
      </c>
      <c r="D135" s="578"/>
      <c r="E135" s="12">
        <f t="shared" si="30"/>
        <v>1</v>
      </c>
      <c r="F135" s="578"/>
      <c r="G135" s="12">
        <f t="shared" si="31"/>
        <v>1</v>
      </c>
      <c r="H135" s="578"/>
      <c r="I135" s="12">
        <f t="shared" si="32"/>
        <v>1</v>
      </c>
      <c r="J135" s="578"/>
      <c r="K135" s="12">
        <f t="shared" si="33"/>
        <v>1</v>
      </c>
      <c r="L135" s="578"/>
      <c r="M135" s="12">
        <f t="shared" si="34"/>
        <v>1</v>
      </c>
      <c r="N135" s="578"/>
      <c r="O135" s="12">
        <f t="shared" si="35"/>
        <v>1</v>
      </c>
      <c r="P135" s="578"/>
      <c r="Q135" s="12">
        <f t="shared" si="36"/>
        <v>1</v>
      </c>
      <c r="R135" s="12">
        <f t="shared" si="41"/>
        <v>0</v>
      </c>
      <c r="S135" s="246">
        <f t="shared" si="42"/>
        <v>0</v>
      </c>
      <c r="T135" s="821">
        <f t="shared" si="43"/>
        <v>0</v>
      </c>
      <c r="U135" s="2689">
        <f t="shared" si="37"/>
        <v>0</v>
      </c>
      <c r="V135" s="2689">
        <f t="shared" si="38"/>
        <v>0</v>
      </c>
      <c r="W135" s="909"/>
      <c r="X135" s="2689">
        <f t="shared" si="39"/>
        <v>0</v>
      </c>
      <c r="Y135" s="2689">
        <f t="shared" si="40"/>
        <v>0</v>
      </c>
      <c r="Z135" s="909"/>
    </row>
    <row r="136" spans="1:26">
      <c r="A136" s="31"/>
      <c r="B136" s="19"/>
      <c r="C136" s="12">
        <f t="shared" si="29"/>
        <v>1</v>
      </c>
      <c r="D136" s="578"/>
      <c r="E136" s="12">
        <f t="shared" si="30"/>
        <v>1</v>
      </c>
      <c r="F136" s="578"/>
      <c r="G136" s="12">
        <f t="shared" si="31"/>
        <v>1</v>
      </c>
      <c r="H136" s="578"/>
      <c r="I136" s="12">
        <f t="shared" si="32"/>
        <v>1</v>
      </c>
      <c r="J136" s="578"/>
      <c r="K136" s="12">
        <f t="shared" si="33"/>
        <v>1</v>
      </c>
      <c r="L136" s="578"/>
      <c r="M136" s="12">
        <f t="shared" si="34"/>
        <v>1</v>
      </c>
      <c r="N136" s="578"/>
      <c r="O136" s="12">
        <f t="shared" si="35"/>
        <v>1</v>
      </c>
      <c r="P136" s="578"/>
      <c r="Q136" s="12">
        <f t="shared" si="36"/>
        <v>1</v>
      </c>
      <c r="R136" s="12">
        <f t="shared" si="41"/>
        <v>0</v>
      </c>
      <c r="S136" s="246">
        <f t="shared" si="42"/>
        <v>0</v>
      </c>
      <c r="T136" s="821">
        <f t="shared" si="43"/>
        <v>0</v>
      </c>
      <c r="U136" s="2689">
        <f t="shared" si="37"/>
        <v>0</v>
      </c>
      <c r="V136" s="2689">
        <f t="shared" si="38"/>
        <v>0</v>
      </c>
      <c r="W136" s="909"/>
      <c r="X136" s="2689">
        <f t="shared" si="39"/>
        <v>0</v>
      </c>
      <c r="Y136" s="2689">
        <f t="shared" si="40"/>
        <v>0</v>
      </c>
      <c r="Z136" s="909"/>
    </row>
    <row r="137" spans="1:26">
      <c r="A137" s="31"/>
      <c r="B137" s="19"/>
      <c r="C137" s="12">
        <f t="shared" si="29"/>
        <v>1</v>
      </c>
      <c r="D137" s="578"/>
      <c r="E137" s="12">
        <f t="shared" si="30"/>
        <v>1</v>
      </c>
      <c r="F137" s="578"/>
      <c r="G137" s="12">
        <f t="shared" si="31"/>
        <v>1</v>
      </c>
      <c r="H137" s="578"/>
      <c r="I137" s="12">
        <f t="shared" si="32"/>
        <v>1</v>
      </c>
      <c r="J137" s="578"/>
      <c r="K137" s="12">
        <f t="shared" si="33"/>
        <v>1</v>
      </c>
      <c r="L137" s="578"/>
      <c r="M137" s="12">
        <f t="shared" si="34"/>
        <v>1</v>
      </c>
      <c r="N137" s="578"/>
      <c r="O137" s="12">
        <f t="shared" si="35"/>
        <v>1</v>
      </c>
      <c r="P137" s="578"/>
      <c r="Q137" s="12">
        <f t="shared" si="36"/>
        <v>1</v>
      </c>
      <c r="R137" s="12">
        <f t="shared" si="41"/>
        <v>0</v>
      </c>
      <c r="S137" s="246">
        <f t="shared" si="42"/>
        <v>0</v>
      </c>
      <c r="T137" s="821">
        <f t="shared" si="43"/>
        <v>0</v>
      </c>
      <c r="U137" s="2689">
        <f t="shared" si="37"/>
        <v>0</v>
      </c>
      <c r="V137" s="2689">
        <f t="shared" si="38"/>
        <v>0</v>
      </c>
      <c r="W137" s="909"/>
      <c r="X137" s="2689">
        <f t="shared" si="39"/>
        <v>0</v>
      </c>
      <c r="Y137" s="2689">
        <f t="shared" si="40"/>
        <v>0</v>
      </c>
      <c r="Z137" s="909"/>
    </row>
    <row r="138" spans="1:26">
      <c r="A138" s="31"/>
      <c r="B138" s="19"/>
      <c r="C138" s="12">
        <f t="shared" si="29"/>
        <v>1</v>
      </c>
      <c r="D138" s="578"/>
      <c r="E138" s="12">
        <f t="shared" si="30"/>
        <v>1</v>
      </c>
      <c r="F138" s="578"/>
      <c r="G138" s="12">
        <f t="shared" si="31"/>
        <v>1</v>
      </c>
      <c r="H138" s="578"/>
      <c r="I138" s="12">
        <f t="shared" si="32"/>
        <v>1</v>
      </c>
      <c r="J138" s="578"/>
      <c r="K138" s="12">
        <f t="shared" si="33"/>
        <v>1</v>
      </c>
      <c r="L138" s="578"/>
      <c r="M138" s="12">
        <f t="shared" si="34"/>
        <v>1</v>
      </c>
      <c r="N138" s="578"/>
      <c r="O138" s="12">
        <f t="shared" si="35"/>
        <v>1</v>
      </c>
      <c r="P138" s="578"/>
      <c r="Q138" s="12">
        <f t="shared" si="36"/>
        <v>1</v>
      </c>
      <c r="R138" s="12">
        <f t="shared" si="41"/>
        <v>0</v>
      </c>
      <c r="S138" s="246">
        <f t="shared" si="42"/>
        <v>0</v>
      </c>
      <c r="T138" s="821">
        <f t="shared" si="43"/>
        <v>0</v>
      </c>
      <c r="U138" s="2689">
        <f t="shared" si="37"/>
        <v>0</v>
      </c>
      <c r="V138" s="2689">
        <f t="shared" si="38"/>
        <v>0</v>
      </c>
      <c r="W138" s="909"/>
      <c r="X138" s="2689">
        <f t="shared" si="39"/>
        <v>0</v>
      </c>
      <c r="Y138" s="2689">
        <f t="shared" si="40"/>
        <v>0</v>
      </c>
      <c r="Z138" s="909"/>
    </row>
    <row r="139" spans="1:26">
      <c r="A139" s="31"/>
      <c r="B139" s="19"/>
      <c r="C139" s="12">
        <f t="shared" si="29"/>
        <v>1</v>
      </c>
      <c r="D139" s="578"/>
      <c r="E139" s="12">
        <f t="shared" si="30"/>
        <v>1</v>
      </c>
      <c r="F139" s="578"/>
      <c r="G139" s="12">
        <f t="shared" si="31"/>
        <v>1</v>
      </c>
      <c r="H139" s="578"/>
      <c r="I139" s="12">
        <f t="shared" si="32"/>
        <v>1</v>
      </c>
      <c r="J139" s="578"/>
      <c r="K139" s="12">
        <f t="shared" si="33"/>
        <v>1</v>
      </c>
      <c r="L139" s="578"/>
      <c r="M139" s="12">
        <f t="shared" si="34"/>
        <v>1</v>
      </c>
      <c r="N139" s="578"/>
      <c r="O139" s="12">
        <f t="shared" si="35"/>
        <v>1</v>
      </c>
      <c r="P139" s="578"/>
      <c r="Q139" s="12">
        <f t="shared" si="36"/>
        <v>1</v>
      </c>
      <c r="R139" s="12">
        <f t="shared" si="41"/>
        <v>0</v>
      </c>
      <c r="S139" s="246">
        <f t="shared" si="42"/>
        <v>0</v>
      </c>
      <c r="T139" s="821">
        <f t="shared" si="43"/>
        <v>0</v>
      </c>
      <c r="U139" s="2689">
        <f t="shared" si="37"/>
        <v>0</v>
      </c>
      <c r="V139" s="2689">
        <f t="shared" si="38"/>
        <v>0</v>
      </c>
      <c r="W139" s="909"/>
      <c r="X139" s="2689">
        <f t="shared" si="39"/>
        <v>0</v>
      </c>
      <c r="Y139" s="2689">
        <f t="shared" si="40"/>
        <v>0</v>
      </c>
      <c r="Z139" s="909"/>
    </row>
    <row r="140" spans="1:26">
      <c r="A140" s="31"/>
      <c r="B140" s="19"/>
      <c r="C140" s="12">
        <f t="shared" si="29"/>
        <v>1</v>
      </c>
      <c r="D140" s="578"/>
      <c r="E140" s="12">
        <f t="shared" si="30"/>
        <v>1</v>
      </c>
      <c r="F140" s="578"/>
      <c r="G140" s="12">
        <f t="shared" si="31"/>
        <v>1</v>
      </c>
      <c r="H140" s="578"/>
      <c r="I140" s="12">
        <f t="shared" si="32"/>
        <v>1</v>
      </c>
      <c r="J140" s="578"/>
      <c r="K140" s="12">
        <f t="shared" si="33"/>
        <v>1</v>
      </c>
      <c r="L140" s="578"/>
      <c r="M140" s="12">
        <f t="shared" si="34"/>
        <v>1</v>
      </c>
      <c r="N140" s="578"/>
      <c r="O140" s="12">
        <f t="shared" si="35"/>
        <v>1</v>
      </c>
      <c r="P140" s="578"/>
      <c r="Q140" s="12">
        <f t="shared" si="36"/>
        <v>1</v>
      </c>
      <c r="R140" s="12">
        <f t="shared" si="41"/>
        <v>0</v>
      </c>
      <c r="S140" s="246">
        <f t="shared" si="42"/>
        <v>0</v>
      </c>
      <c r="T140" s="821">
        <f t="shared" si="43"/>
        <v>0</v>
      </c>
      <c r="U140" s="2689">
        <f t="shared" si="37"/>
        <v>0</v>
      </c>
      <c r="V140" s="2689">
        <f t="shared" si="38"/>
        <v>0</v>
      </c>
      <c r="W140" s="909"/>
      <c r="X140" s="2689">
        <f t="shared" si="39"/>
        <v>0</v>
      </c>
      <c r="Y140" s="2689">
        <f t="shared" si="40"/>
        <v>0</v>
      </c>
      <c r="Z140" s="909"/>
    </row>
    <row r="141" spans="1:26">
      <c r="A141" s="31"/>
      <c r="B141" s="19"/>
      <c r="C141" s="12">
        <f t="shared" si="29"/>
        <v>1</v>
      </c>
      <c r="D141" s="578"/>
      <c r="E141" s="12">
        <f t="shared" si="30"/>
        <v>1</v>
      </c>
      <c r="F141" s="578"/>
      <c r="G141" s="12">
        <f t="shared" si="31"/>
        <v>1</v>
      </c>
      <c r="H141" s="578"/>
      <c r="I141" s="12">
        <f t="shared" si="32"/>
        <v>1</v>
      </c>
      <c r="J141" s="578"/>
      <c r="K141" s="12">
        <f t="shared" si="33"/>
        <v>1</v>
      </c>
      <c r="L141" s="578"/>
      <c r="M141" s="12">
        <f t="shared" si="34"/>
        <v>1</v>
      </c>
      <c r="N141" s="578"/>
      <c r="O141" s="12">
        <f t="shared" si="35"/>
        <v>1</v>
      </c>
      <c r="P141" s="578"/>
      <c r="Q141" s="12">
        <f t="shared" si="36"/>
        <v>1</v>
      </c>
      <c r="R141" s="12">
        <f t="shared" si="41"/>
        <v>0</v>
      </c>
      <c r="S141" s="246">
        <f t="shared" si="42"/>
        <v>0</v>
      </c>
      <c r="T141" s="821">
        <f t="shared" si="43"/>
        <v>0</v>
      </c>
      <c r="U141" s="2689">
        <f t="shared" si="37"/>
        <v>0</v>
      </c>
      <c r="V141" s="2689">
        <f t="shared" si="38"/>
        <v>0</v>
      </c>
      <c r="W141" s="909"/>
      <c r="X141" s="2689">
        <f t="shared" si="39"/>
        <v>0</v>
      </c>
      <c r="Y141" s="2689">
        <f t="shared" si="40"/>
        <v>0</v>
      </c>
      <c r="Z141" s="909"/>
    </row>
    <row r="142" spans="1:26">
      <c r="A142" s="31"/>
      <c r="B142" s="19"/>
      <c r="C142" s="12">
        <f t="shared" si="29"/>
        <v>1</v>
      </c>
      <c r="D142" s="578"/>
      <c r="E142" s="12">
        <f t="shared" si="30"/>
        <v>1</v>
      </c>
      <c r="F142" s="578"/>
      <c r="G142" s="12">
        <f t="shared" si="31"/>
        <v>1</v>
      </c>
      <c r="H142" s="578"/>
      <c r="I142" s="12">
        <f t="shared" si="32"/>
        <v>1</v>
      </c>
      <c r="J142" s="578"/>
      <c r="K142" s="12">
        <f t="shared" si="33"/>
        <v>1</v>
      </c>
      <c r="L142" s="578"/>
      <c r="M142" s="12">
        <f t="shared" si="34"/>
        <v>1</v>
      </c>
      <c r="N142" s="578"/>
      <c r="O142" s="12">
        <f t="shared" si="35"/>
        <v>1</v>
      </c>
      <c r="P142" s="578"/>
      <c r="Q142" s="12">
        <f t="shared" si="36"/>
        <v>1</v>
      </c>
      <c r="R142" s="12">
        <f t="shared" si="41"/>
        <v>0</v>
      </c>
      <c r="S142" s="246">
        <f t="shared" si="42"/>
        <v>0</v>
      </c>
      <c r="T142" s="821">
        <f t="shared" si="43"/>
        <v>0</v>
      </c>
      <c r="U142" s="2689">
        <f t="shared" si="37"/>
        <v>0</v>
      </c>
      <c r="V142" s="2689">
        <f t="shared" si="38"/>
        <v>0</v>
      </c>
      <c r="W142" s="909"/>
      <c r="X142" s="2689">
        <f t="shared" si="39"/>
        <v>0</v>
      </c>
      <c r="Y142" s="2689">
        <f t="shared" si="40"/>
        <v>0</v>
      </c>
      <c r="Z142" s="909"/>
    </row>
    <row r="143" spans="1:26">
      <c r="A143" s="31"/>
      <c r="B143" s="19"/>
      <c r="C143" s="12">
        <f t="shared" si="29"/>
        <v>1</v>
      </c>
      <c r="D143" s="578"/>
      <c r="E143" s="12">
        <f t="shared" si="30"/>
        <v>1</v>
      </c>
      <c r="F143" s="578"/>
      <c r="G143" s="12">
        <f t="shared" si="31"/>
        <v>1</v>
      </c>
      <c r="H143" s="578"/>
      <c r="I143" s="12">
        <f t="shared" si="32"/>
        <v>1</v>
      </c>
      <c r="J143" s="578"/>
      <c r="K143" s="12">
        <f t="shared" si="33"/>
        <v>1</v>
      </c>
      <c r="L143" s="578"/>
      <c r="M143" s="12">
        <f t="shared" si="34"/>
        <v>1</v>
      </c>
      <c r="N143" s="578"/>
      <c r="O143" s="12">
        <f t="shared" si="35"/>
        <v>1</v>
      </c>
      <c r="P143" s="578"/>
      <c r="Q143" s="12">
        <f t="shared" si="36"/>
        <v>1</v>
      </c>
      <c r="R143" s="12">
        <f t="shared" si="41"/>
        <v>0</v>
      </c>
      <c r="S143" s="246">
        <f t="shared" si="42"/>
        <v>0</v>
      </c>
      <c r="T143" s="821">
        <f t="shared" si="43"/>
        <v>0</v>
      </c>
      <c r="U143" s="2689">
        <f t="shared" si="37"/>
        <v>0</v>
      </c>
      <c r="V143" s="2689">
        <f t="shared" si="38"/>
        <v>0</v>
      </c>
      <c r="W143" s="909"/>
      <c r="X143" s="2689">
        <f t="shared" si="39"/>
        <v>0</v>
      </c>
      <c r="Y143" s="2689">
        <f t="shared" si="40"/>
        <v>0</v>
      </c>
      <c r="Z143" s="909"/>
    </row>
    <row r="144" spans="1:26">
      <c r="A144" s="31"/>
      <c r="B144" s="19"/>
      <c r="C144" s="12">
        <f t="shared" si="29"/>
        <v>1</v>
      </c>
      <c r="D144" s="578"/>
      <c r="E144" s="12">
        <f t="shared" si="30"/>
        <v>1</v>
      </c>
      <c r="F144" s="578"/>
      <c r="G144" s="12">
        <f t="shared" si="31"/>
        <v>1</v>
      </c>
      <c r="H144" s="578"/>
      <c r="I144" s="12">
        <f t="shared" si="32"/>
        <v>1</v>
      </c>
      <c r="J144" s="578"/>
      <c r="K144" s="12">
        <f t="shared" si="33"/>
        <v>1</v>
      </c>
      <c r="L144" s="578"/>
      <c r="M144" s="12">
        <f t="shared" si="34"/>
        <v>1</v>
      </c>
      <c r="N144" s="578"/>
      <c r="O144" s="12">
        <f t="shared" si="35"/>
        <v>1</v>
      </c>
      <c r="P144" s="578"/>
      <c r="Q144" s="12">
        <f t="shared" si="36"/>
        <v>1</v>
      </c>
      <c r="R144" s="12">
        <f t="shared" si="41"/>
        <v>0</v>
      </c>
      <c r="S144" s="246">
        <f t="shared" si="42"/>
        <v>0</v>
      </c>
      <c r="T144" s="821">
        <f t="shared" si="43"/>
        <v>0</v>
      </c>
      <c r="U144" s="2689">
        <f t="shared" si="37"/>
        <v>0</v>
      </c>
      <c r="V144" s="2689">
        <f t="shared" si="38"/>
        <v>0</v>
      </c>
      <c r="W144" s="909"/>
      <c r="X144" s="2689">
        <f t="shared" si="39"/>
        <v>0</v>
      </c>
      <c r="Y144" s="2689">
        <f t="shared" si="40"/>
        <v>0</v>
      </c>
      <c r="Z144" s="909"/>
    </row>
    <row r="145" spans="1:26">
      <c r="A145" s="31"/>
      <c r="B145" s="19"/>
      <c r="C145" s="12">
        <f t="shared" si="29"/>
        <v>1</v>
      </c>
      <c r="D145" s="578"/>
      <c r="E145" s="12">
        <f t="shared" si="30"/>
        <v>1</v>
      </c>
      <c r="F145" s="578"/>
      <c r="G145" s="12">
        <f t="shared" si="31"/>
        <v>1</v>
      </c>
      <c r="H145" s="578"/>
      <c r="I145" s="12">
        <f t="shared" si="32"/>
        <v>1</v>
      </c>
      <c r="J145" s="578"/>
      <c r="K145" s="12">
        <f t="shared" si="33"/>
        <v>1</v>
      </c>
      <c r="L145" s="578"/>
      <c r="M145" s="12">
        <f t="shared" si="34"/>
        <v>1</v>
      </c>
      <c r="N145" s="578"/>
      <c r="O145" s="12">
        <f t="shared" si="35"/>
        <v>1</v>
      </c>
      <c r="P145" s="578"/>
      <c r="Q145" s="12">
        <f t="shared" si="36"/>
        <v>1</v>
      </c>
      <c r="R145" s="12">
        <f t="shared" si="41"/>
        <v>0</v>
      </c>
      <c r="S145" s="246">
        <f t="shared" si="42"/>
        <v>0</v>
      </c>
      <c r="T145" s="821">
        <f t="shared" si="43"/>
        <v>0</v>
      </c>
      <c r="U145" s="2689">
        <f t="shared" si="37"/>
        <v>0</v>
      </c>
      <c r="V145" s="2689">
        <f t="shared" si="38"/>
        <v>0</v>
      </c>
      <c r="W145" s="909"/>
      <c r="X145" s="2689">
        <f t="shared" si="39"/>
        <v>0</v>
      </c>
      <c r="Y145" s="2689">
        <f t="shared" si="40"/>
        <v>0</v>
      </c>
      <c r="Z145" s="909"/>
    </row>
    <row r="146" spans="1:26">
      <c r="A146" s="31"/>
      <c r="B146" s="19"/>
      <c r="C146" s="12">
        <f t="shared" si="29"/>
        <v>1</v>
      </c>
      <c r="D146" s="578"/>
      <c r="E146" s="12">
        <f t="shared" si="30"/>
        <v>1</v>
      </c>
      <c r="F146" s="578"/>
      <c r="G146" s="12">
        <f t="shared" si="31"/>
        <v>1</v>
      </c>
      <c r="H146" s="578"/>
      <c r="I146" s="12">
        <f t="shared" si="32"/>
        <v>1</v>
      </c>
      <c r="J146" s="578"/>
      <c r="K146" s="12">
        <f t="shared" si="33"/>
        <v>1</v>
      </c>
      <c r="L146" s="578"/>
      <c r="M146" s="12">
        <f t="shared" si="34"/>
        <v>1</v>
      </c>
      <c r="N146" s="578"/>
      <c r="O146" s="12">
        <f t="shared" si="35"/>
        <v>1</v>
      </c>
      <c r="P146" s="578"/>
      <c r="Q146" s="12">
        <f t="shared" si="36"/>
        <v>1</v>
      </c>
      <c r="R146" s="12">
        <f t="shared" si="41"/>
        <v>0</v>
      </c>
      <c r="S146" s="246">
        <f t="shared" si="42"/>
        <v>0</v>
      </c>
      <c r="T146" s="821">
        <f t="shared" si="43"/>
        <v>0</v>
      </c>
      <c r="U146" s="2689">
        <f t="shared" si="37"/>
        <v>0</v>
      </c>
      <c r="V146" s="2689">
        <f t="shared" si="38"/>
        <v>0</v>
      </c>
      <c r="W146" s="909"/>
      <c r="X146" s="2689">
        <f t="shared" si="39"/>
        <v>0</v>
      </c>
      <c r="Y146" s="2689">
        <f t="shared" si="40"/>
        <v>0</v>
      </c>
      <c r="Z146" s="909"/>
    </row>
    <row r="147" spans="1:26">
      <c r="A147" s="31"/>
      <c r="B147" s="19"/>
      <c r="C147" s="12">
        <f t="shared" si="29"/>
        <v>1</v>
      </c>
      <c r="D147" s="578"/>
      <c r="E147" s="12">
        <f t="shared" si="30"/>
        <v>1</v>
      </c>
      <c r="F147" s="578"/>
      <c r="G147" s="12">
        <f t="shared" si="31"/>
        <v>1</v>
      </c>
      <c r="H147" s="578"/>
      <c r="I147" s="12">
        <f t="shared" si="32"/>
        <v>1</v>
      </c>
      <c r="J147" s="578"/>
      <c r="K147" s="12">
        <f t="shared" si="33"/>
        <v>1</v>
      </c>
      <c r="L147" s="578"/>
      <c r="M147" s="12">
        <f t="shared" si="34"/>
        <v>1</v>
      </c>
      <c r="N147" s="578"/>
      <c r="O147" s="12">
        <f t="shared" si="35"/>
        <v>1</v>
      </c>
      <c r="P147" s="578"/>
      <c r="Q147" s="12">
        <f t="shared" si="36"/>
        <v>1</v>
      </c>
      <c r="R147" s="12">
        <f t="shared" si="41"/>
        <v>0</v>
      </c>
      <c r="S147" s="246">
        <f t="shared" si="42"/>
        <v>0</v>
      </c>
      <c r="T147" s="821">
        <f t="shared" si="43"/>
        <v>0</v>
      </c>
      <c r="U147" s="2689">
        <f t="shared" si="37"/>
        <v>0</v>
      </c>
      <c r="V147" s="2689">
        <f t="shared" si="38"/>
        <v>0</v>
      </c>
      <c r="W147" s="909"/>
      <c r="X147" s="2689">
        <f t="shared" si="39"/>
        <v>0</v>
      </c>
      <c r="Y147" s="2689">
        <f t="shared" si="40"/>
        <v>0</v>
      </c>
      <c r="Z147" s="909"/>
    </row>
    <row r="148" spans="1:26">
      <c r="A148" s="31"/>
      <c r="B148" s="19"/>
      <c r="C148" s="12">
        <f t="shared" si="29"/>
        <v>1</v>
      </c>
      <c r="D148" s="578"/>
      <c r="E148" s="12">
        <f t="shared" si="30"/>
        <v>1</v>
      </c>
      <c r="F148" s="578"/>
      <c r="G148" s="12">
        <f t="shared" si="31"/>
        <v>1</v>
      </c>
      <c r="H148" s="578"/>
      <c r="I148" s="12">
        <f t="shared" si="32"/>
        <v>1</v>
      </c>
      <c r="J148" s="578"/>
      <c r="K148" s="12">
        <f t="shared" si="33"/>
        <v>1</v>
      </c>
      <c r="L148" s="578"/>
      <c r="M148" s="12">
        <f t="shared" si="34"/>
        <v>1</v>
      </c>
      <c r="N148" s="578"/>
      <c r="O148" s="12">
        <f t="shared" si="35"/>
        <v>1</v>
      </c>
      <c r="P148" s="578"/>
      <c r="Q148" s="12">
        <f t="shared" si="36"/>
        <v>1</v>
      </c>
      <c r="R148" s="12">
        <f t="shared" si="41"/>
        <v>0</v>
      </c>
      <c r="S148" s="246">
        <f t="shared" si="42"/>
        <v>0</v>
      </c>
      <c r="T148" s="821">
        <f t="shared" si="43"/>
        <v>0</v>
      </c>
      <c r="U148" s="2689">
        <f t="shared" si="37"/>
        <v>0</v>
      </c>
      <c r="V148" s="2689">
        <f t="shared" si="38"/>
        <v>0</v>
      </c>
      <c r="W148" s="909"/>
      <c r="X148" s="2689">
        <f t="shared" si="39"/>
        <v>0</v>
      </c>
      <c r="Y148" s="2689">
        <f t="shared" si="40"/>
        <v>0</v>
      </c>
      <c r="Z148" s="909"/>
    </row>
    <row r="149" spans="1:26">
      <c r="A149" s="31"/>
      <c r="B149" s="19"/>
      <c r="C149" s="12">
        <f t="shared" si="29"/>
        <v>1</v>
      </c>
      <c r="D149" s="578"/>
      <c r="E149" s="12">
        <f t="shared" si="30"/>
        <v>1</v>
      </c>
      <c r="F149" s="578"/>
      <c r="G149" s="12">
        <f t="shared" si="31"/>
        <v>1</v>
      </c>
      <c r="H149" s="578"/>
      <c r="I149" s="12">
        <f t="shared" si="32"/>
        <v>1</v>
      </c>
      <c r="J149" s="578"/>
      <c r="K149" s="12">
        <f t="shared" si="33"/>
        <v>1</v>
      </c>
      <c r="L149" s="578"/>
      <c r="M149" s="12">
        <f t="shared" si="34"/>
        <v>1</v>
      </c>
      <c r="N149" s="578"/>
      <c r="O149" s="12">
        <f t="shared" si="35"/>
        <v>1</v>
      </c>
      <c r="P149" s="578"/>
      <c r="Q149" s="12">
        <f t="shared" si="36"/>
        <v>1</v>
      </c>
      <c r="R149" s="12">
        <f t="shared" si="41"/>
        <v>0</v>
      </c>
      <c r="S149" s="246">
        <f t="shared" si="42"/>
        <v>0</v>
      </c>
      <c r="T149" s="821">
        <f t="shared" si="43"/>
        <v>0</v>
      </c>
      <c r="U149" s="2689">
        <f t="shared" si="37"/>
        <v>0</v>
      </c>
      <c r="V149" s="2689">
        <f t="shared" si="38"/>
        <v>0</v>
      </c>
      <c r="W149" s="909"/>
      <c r="X149" s="2689">
        <f t="shared" si="39"/>
        <v>0</v>
      </c>
      <c r="Y149" s="2689">
        <f t="shared" si="40"/>
        <v>0</v>
      </c>
      <c r="Z149" s="909"/>
    </row>
    <row r="150" spans="1:26">
      <c r="A150" s="31"/>
      <c r="B150" s="19"/>
      <c r="C150" s="12">
        <f t="shared" si="29"/>
        <v>1</v>
      </c>
      <c r="D150" s="578"/>
      <c r="E150" s="12">
        <f t="shared" si="30"/>
        <v>1</v>
      </c>
      <c r="F150" s="578"/>
      <c r="G150" s="12">
        <f t="shared" si="31"/>
        <v>1</v>
      </c>
      <c r="H150" s="578"/>
      <c r="I150" s="12">
        <f t="shared" si="32"/>
        <v>1</v>
      </c>
      <c r="J150" s="578"/>
      <c r="K150" s="12">
        <f t="shared" si="33"/>
        <v>1</v>
      </c>
      <c r="L150" s="578"/>
      <c r="M150" s="12">
        <f t="shared" si="34"/>
        <v>1</v>
      </c>
      <c r="N150" s="578"/>
      <c r="O150" s="12">
        <f t="shared" si="35"/>
        <v>1</v>
      </c>
      <c r="P150" s="578"/>
      <c r="Q150" s="12">
        <f t="shared" si="36"/>
        <v>1</v>
      </c>
      <c r="R150" s="12">
        <f t="shared" si="41"/>
        <v>0</v>
      </c>
      <c r="S150" s="246">
        <f t="shared" si="42"/>
        <v>0</v>
      </c>
      <c r="T150" s="821">
        <f t="shared" si="43"/>
        <v>0</v>
      </c>
      <c r="U150" s="2689">
        <f t="shared" si="37"/>
        <v>0</v>
      </c>
      <c r="V150" s="2689">
        <f t="shared" si="38"/>
        <v>0</v>
      </c>
      <c r="W150" s="909"/>
      <c r="X150" s="2689">
        <f t="shared" si="39"/>
        <v>0</v>
      </c>
      <c r="Y150" s="2689">
        <f t="shared" si="40"/>
        <v>0</v>
      </c>
      <c r="Z150" s="909"/>
    </row>
    <row r="151" spans="1:26">
      <c r="A151" s="31"/>
      <c r="B151" s="19"/>
      <c r="C151" s="12">
        <f t="shared" si="29"/>
        <v>1</v>
      </c>
      <c r="D151" s="578"/>
      <c r="E151" s="12">
        <f t="shared" si="30"/>
        <v>1</v>
      </c>
      <c r="F151" s="578"/>
      <c r="G151" s="12">
        <f t="shared" si="31"/>
        <v>1</v>
      </c>
      <c r="H151" s="578"/>
      <c r="I151" s="12">
        <f t="shared" si="32"/>
        <v>1</v>
      </c>
      <c r="J151" s="578"/>
      <c r="K151" s="12">
        <f t="shared" si="33"/>
        <v>1</v>
      </c>
      <c r="L151" s="578"/>
      <c r="M151" s="12">
        <f t="shared" si="34"/>
        <v>1</v>
      </c>
      <c r="N151" s="578"/>
      <c r="O151" s="12">
        <f t="shared" si="35"/>
        <v>1</v>
      </c>
      <c r="P151" s="578"/>
      <c r="Q151" s="12">
        <f t="shared" si="36"/>
        <v>1</v>
      </c>
      <c r="R151" s="12">
        <f t="shared" si="41"/>
        <v>0</v>
      </c>
      <c r="S151" s="246">
        <f t="shared" si="42"/>
        <v>0</v>
      </c>
      <c r="T151" s="821">
        <f t="shared" si="43"/>
        <v>0</v>
      </c>
      <c r="U151" s="2689">
        <f t="shared" si="37"/>
        <v>0</v>
      </c>
      <c r="V151" s="2689">
        <f t="shared" si="38"/>
        <v>0</v>
      </c>
      <c r="W151" s="909"/>
      <c r="X151" s="2689">
        <f t="shared" si="39"/>
        <v>0</v>
      </c>
      <c r="Y151" s="2689">
        <f t="shared" si="40"/>
        <v>0</v>
      </c>
      <c r="Z151" s="909"/>
    </row>
    <row r="152" spans="1:26">
      <c r="A152" s="31"/>
      <c r="B152" s="19"/>
      <c r="C152" s="12">
        <f t="shared" si="29"/>
        <v>1</v>
      </c>
      <c r="D152" s="578"/>
      <c r="E152" s="12">
        <f t="shared" si="30"/>
        <v>1</v>
      </c>
      <c r="F152" s="578"/>
      <c r="G152" s="12">
        <f t="shared" si="31"/>
        <v>1</v>
      </c>
      <c r="H152" s="578"/>
      <c r="I152" s="12">
        <f t="shared" si="32"/>
        <v>1</v>
      </c>
      <c r="J152" s="578"/>
      <c r="K152" s="12">
        <f t="shared" si="33"/>
        <v>1</v>
      </c>
      <c r="L152" s="578"/>
      <c r="M152" s="12">
        <f t="shared" si="34"/>
        <v>1</v>
      </c>
      <c r="N152" s="578"/>
      <c r="O152" s="12">
        <f t="shared" si="35"/>
        <v>1</v>
      </c>
      <c r="P152" s="578"/>
      <c r="Q152" s="12">
        <f t="shared" si="36"/>
        <v>1</v>
      </c>
      <c r="R152" s="12">
        <f t="shared" si="41"/>
        <v>0</v>
      </c>
      <c r="S152" s="246">
        <f t="shared" si="42"/>
        <v>0</v>
      </c>
      <c r="T152" s="821">
        <f t="shared" si="43"/>
        <v>0</v>
      </c>
      <c r="U152" s="2689">
        <f t="shared" si="37"/>
        <v>0</v>
      </c>
      <c r="V152" s="2689">
        <f t="shared" si="38"/>
        <v>0</v>
      </c>
      <c r="W152" s="909"/>
      <c r="X152" s="2689">
        <f t="shared" si="39"/>
        <v>0</v>
      </c>
      <c r="Y152" s="2689">
        <f t="shared" si="40"/>
        <v>0</v>
      </c>
      <c r="Z152" s="909"/>
    </row>
    <row r="153" spans="1:26">
      <c r="A153" s="31"/>
      <c r="B153" s="19"/>
      <c r="C153" s="12">
        <f t="shared" si="29"/>
        <v>1</v>
      </c>
      <c r="D153" s="578"/>
      <c r="E153" s="12">
        <f t="shared" si="30"/>
        <v>1</v>
      </c>
      <c r="F153" s="578"/>
      <c r="G153" s="12">
        <f t="shared" si="31"/>
        <v>1</v>
      </c>
      <c r="H153" s="578"/>
      <c r="I153" s="12">
        <f t="shared" si="32"/>
        <v>1</v>
      </c>
      <c r="J153" s="578"/>
      <c r="K153" s="12">
        <f t="shared" si="33"/>
        <v>1</v>
      </c>
      <c r="L153" s="578"/>
      <c r="M153" s="12">
        <f t="shared" si="34"/>
        <v>1</v>
      </c>
      <c r="N153" s="578"/>
      <c r="O153" s="12">
        <f t="shared" si="35"/>
        <v>1</v>
      </c>
      <c r="P153" s="578"/>
      <c r="Q153" s="12">
        <f t="shared" si="36"/>
        <v>1</v>
      </c>
      <c r="R153" s="12">
        <f t="shared" si="41"/>
        <v>0</v>
      </c>
      <c r="S153" s="246">
        <f t="shared" si="42"/>
        <v>0</v>
      </c>
      <c r="T153" s="821">
        <f t="shared" si="43"/>
        <v>0</v>
      </c>
      <c r="U153" s="2689">
        <f t="shared" si="37"/>
        <v>0</v>
      </c>
      <c r="V153" s="2689">
        <f t="shared" si="38"/>
        <v>0</v>
      </c>
      <c r="W153" s="909"/>
      <c r="X153" s="2689">
        <f t="shared" si="39"/>
        <v>0</v>
      </c>
      <c r="Y153" s="2689">
        <f t="shared" si="40"/>
        <v>0</v>
      </c>
      <c r="Z153" s="909"/>
    </row>
    <row r="154" spans="1:26">
      <c r="A154" s="31"/>
      <c r="B154" s="19"/>
      <c r="C154" s="12">
        <f t="shared" si="29"/>
        <v>1</v>
      </c>
      <c r="D154" s="578"/>
      <c r="E154" s="12">
        <f t="shared" si="30"/>
        <v>1</v>
      </c>
      <c r="F154" s="578"/>
      <c r="G154" s="12">
        <f t="shared" si="31"/>
        <v>1</v>
      </c>
      <c r="H154" s="578"/>
      <c r="I154" s="12">
        <f t="shared" si="32"/>
        <v>1</v>
      </c>
      <c r="J154" s="578"/>
      <c r="K154" s="12">
        <f t="shared" si="33"/>
        <v>1</v>
      </c>
      <c r="L154" s="578"/>
      <c r="M154" s="12">
        <f t="shared" si="34"/>
        <v>1</v>
      </c>
      <c r="N154" s="578"/>
      <c r="O154" s="12">
        <f t="shared" si="35"/>
        <v>1</v>
      </c>
      <c r="P154" s="578"/>
      <c r="Q154" s="12">
        <f t="shared" si="36"/>
        <v>1</v>
      </c>
      <c r="R154" s="12">
        <f t="shared" si="41"/>
        <v>0</v>
      </c>
      <c r="S154" s="246">
        <f t="shared" si="42"/>
        <v>0</v>
      </c>
      <c r="T154" s="821">
        <f t="shared" si="43"/>
        <v>0</v>
      </c>
      <c r="U154" s="2689">
        <f t="shared" si="37"/>
        <v>0</v>
      </c>
      <c r="V154" s="2689">
        <f t="shared" si="38"/>
        <v>0</v>
      </c>
      <c r="W154" s="909"/>
      <c r="X154" s="2689">
        <f t="shared" si="39"/>
        <v>0</v>
      </c>
      <c r="Y154" s="2689">
        <f t="shared" si="40"/>
        <v>0</v>
      </c>
      <c r="Z154" s="909"/>
    </row>
    <row r="155" spans="1:26">
      <c r="A155" s="31"/>
      <c r="B155" s="19"/>
      <c r="C155" s="12">
        <f t="shared" si="29"/>
        <v>1</v>
      </c>
      <c r="D155" s="578"/>
      <c r="E155" s="12">
        <f t="shared" si="30"/>
        <v>1</v>
      </c>
      <c r="F155" s="578"/>
      <c r="G155" s="12">
        <f t="shared" si="31"/>
        <v>1</v>
      </c>
      <c r="H155" s="578"/>
      <c r="I155" s="12">
        <f t="shared" si="32"/>
        <v>1</v>
      </c>
      <c r="J155" s="578"/>
      <c r="K155" s="12">
        <f t="shared" si="33"/>
        <v>1</v>
      </c>
      <c r="L155" s="578"/>
      <c r="M155" s="12">
        <f t="shared" si="34"/>
        <v>1</v>
      </c>
      <c r="N155" s="578"/>
      <c r="O155" s="12">
        <f t="shared" si="35"/>
        <v>1</v>
      </c>
      <c r="P155" s="578"/>
      <c r="Q155" s="12">
        <f t="shared" si="36"/>
        <v>1</v>
      </c>
      <c r="R155" s="12">
        <f t="shared" si="41"/>
        <v>0</v>
      </c>
      <c r="S155" s="246">
        <f t="shared" si="42"/>
        <v>0</v>
      </c>
      <c r="T155" s="821">
        <f t="shared" si="43"/>
        <v>0</v>
      </c>
      <c r="U155" s="2689">
        <f t="shared" si="37"/>
        <v>0</v>
      </c>
      <c r="V155" s="2689">
        <f t="shared" si="38"/>
        <v>0</v>
      </c>
      <c r="W155" s="909"/>
      <c r="X155" s="2689">
        <f t="shared" si="39"/>
        <v>0</v>
      </c>
      <c r="Y155" s="2689">
        <f t="shared" si="40"/>
        <v>0</v>
      </c>
      <c r="Z155" s="909"/>
    </row>
    <row r="156" spans="1:26">
      <c r="A156" s="31"/>
      <c r="B156" s="19"/>
      <c r="C156" s="12">
        <f t="shared" ref="C156:C219" si="44">IF(B156="",1,(LOOKUP(B156,$6:$6,$7:$7)-LOOKUP($B$27,$6:$6,$7:$7)+100)/100)</f>
        <v>1</v>
      </c>
      <c r="D156" s="578"/>
      <c r="E156" s="12">
        <f t="shared" ref="E156:E219" si="45">(SUMIF($8:$8,D156,$9:$9)-SUMIF($8:$8,$D$27,$9:$9)+100)/100</f>
        <v>1</v>
      </c>
      <c r="F156" s="578"/>
      <c r="G156" s="12">
        <f t="shared" ref="G156:G219" si="46">(SUMIF($10:$10,F156,$11:$11)-SUMIF($10:$10,$F$27,$11:$11)+100)/100</f>
        <v>1</v>
      </c>
      <c r="H156" s="578"/>
      <c r="I156" s="12">
        <f t="shared" ref="I156:I219" si="47">(SUMIF($12:$12,H156,$13:$13)-SUMIF($12:$12,$H$27,$13:$13)+100)/100</f>
        <v>1</v>
      </c>
      <c r="J156" s="578"/>
      <c r="K156" s="12">
        <f t="shared" ref="K156:K219" si="48">(SUMIF($14:$14,J156,$15:$15)-SUMIF($14:$14,$J$27,$15:$15)+100)/100</f>
        <v>1</v>
      </c>
      <c r="L156" s="578"/>
      <c r="M156" s="12">
        <f t="shared" ref="M156:M219" si="49">(SUMIF($16:$16,L156,$17:$17)-SUMIF($16:$16,$L$27,$17:$17)+100)/100</f>
        <v>1</v>
      </c>
      <c r="N156" s="578"/>
      <c r="O156" s="12">
        <f t="shared" ref="O156:O219" si="50">(SUMIF($18:$18,N156,$19:$19)-SUMIF($18:$18,$N$27,$19:$19)+100)/100</f>
        <v>1</v>
      </c>
      <c r="P156" s="578"/>
      <c r="Q156" s="12">
        <f t="shared" ref="Q156:Q219" si="51">(SUMIF($20:$20,P156,$21:$21)-SUMIF($20:$20,$P$27,$21:$21)+100)/100</f>
        <v>1</v>
      </c>
      <c r="R156" s="12">
        <f t="shared" si="41"/>
        <v>0</v>
      </c>
      <c r="S156" s="246">
        <f t="shared" si="42"/>
        <v>0</v>
      </c>
      <c r="T156" s="821">
        <f t="shared" si="43"/>
        <v>0</v>
      </c>
      <c r="U156" s="2689">
        <f t="shared" ref="U156:U219" si="52">ROUND(W156*B156,0)</f>
        <v>0</v>
      </c>
      <c r="V156" s="2689">
        <f t="shared" ref="V156:V219" si="53">ROUND(W156*B156/10000,0)</f>
        <v>0</v>
      </c>
      <c r="W156" s="909"/>
      <c r="X156" s="2689">
        <f t="shared" ref="X156:X219" si="54">ROUND(Z156*B156,0)</f>
        <v>0</v>
      </c>
      <c r="Y156" s="2689">
        <f t="shared" ref="Y156:Y219" si="55">ROUND(Z156*B156/10000,0)</f>
        <v>0</v>
      </c>
      <c r="Z156" s="909"/>
    </row>
    <row r="157" spans="1:26">
      <c r="A157" s="31"/>
      <c r="B157" s="19"/>
      <c r="C157" s="12">
        <f t="shared" si="44"/>
        <v>1</v>
      </c>
      <c r="D157" s="578"/>
      <c r="E157" s="12">
        <f t="shared" si="45"/>
        <v>1</v>
      </c>
      <c r="F157" s="578"/>
      <c r="G157" s="12">
        <f t="shared" si="46"/>
        <v>1</v>
      </c>
      <c r="H157" s="578"/>
      <c r="I157" s="12">
        <f t="shared" si="47"/>
        <v>1</v>
      </c>
      <c r="J157" s="578"/>
      <c r="K157" s="12">
        <f t="shared" si="48"/>
        <v>1</v>
      </c>
      <c r="L157" s="578"/>
      <c r="M157" s="12">
        <f t="shared" si="49"/>
        <v>1</v>
      </c>
      <c r="N157" s="578"/>
      <c r="O157" s="12">
        <f t="shared" si="50"/>
        <v>1</v>
      </c>
      <c r="P157" s="578"/>
      <c r="Q157" s="12">
        <f t="shared" si="51"/>
        <v>1</v>
      </c>
      <c r="R157" s="12">
        <f t="shared" ref="R157:R220" si="56">IF(B157="",0,ROUND($R$27*C157*E157*G157*I157*K157*M157*O157*Q157,0))</f>
        <v>0</v>
      </c>
      <c r="S157" s="246">
        <f t="shared" ref="S157:S220" si="57">ROUND(R157*B157,0)</f>
        <v>0</v>
      </c>
      <c r="T157" s="821">
        <f t="shared" ref="T157:T220" si="58">ROUND(R157*B157/10000,0)</f>
        <v>0</v>
      </c>
      <c r="U157" s="2689">
        <f t="shared" si="52"/>
        <v>0</v>
      </c>
      <c r="V157" s="2689">
        <f t="shared" si="53"/>
        <v>0</v>
      </c>
      <c r="W157" s="909"/>
      <c r="X157" s="2689">
        <f t="shared" si="54"/>
        <v>0</v>
      </c>
      <c r="Y157" s="2689">
        <f t="shared" si="55"/>
        <v>0</v>
      </c>
      <c r="Z157" s="909"/>
    </row>
    <row r="158" spans="1:26">
      <c r="A158" s="31"/>
      <c r="B158" s="19"/>
      <c r="C158" s="12">
        <f t="shared" si="44"/>
        <v>1</v>
      </c>
      <c r="D158" s="578"/>
      <c r="E158" s="12">
        <f t="shared" si="45"/>
        <v>1</v>
      </c>
      <c r="F158" s="578"/>
      <c r="G158" s="12">
        <f t="shared" si="46"/>
        <v>1</v>
      </c>
      <c r="H158" s="578"/>
      <c r="I158" s="12">
        <f t="shared" si="47"/>
        <v>1</v>
      </c>
      <c r="J158" s="578"/>
      <c r="K158" s="12">
        <f t="shared" si="48"/>
        <v>1</v>
      </c>
      <c r="L158" s="578"/>
      <c r="M158" s="12">
        <f t="shared" si="49"/>
        <v>1</v>
      </c>
      <c r="N158" s="578"/>
      <c r="O158" s="12">
        <f t="shared" si="50"/>
        <v>1</v>
      </c>
      <c r="P158" s="578"/>
      <c r="Q158" s="12">
        <f t="shared" si="51"/>
        <v>1</v>
      </c>
      <c r="R158" s="12">
        <f t="shared" si="56"/>
        <v>0</v>
      </c>
      <c r="S158" s="246">
        <f t="shared" si="57"/>
        <v>0</v>
      </c>
      <c r="T158" s="821">
        <f t="shared" si="58"/>
        <v>0</v>
      </c>
      <c r="U158" s="2689">
        <f t="shared" si="52"/>
        <v>0</v>
      </c>
      <c r="V158" s="2689">
        <f t="shared" si="53"/>
        <v>0</v>
      </c>
      <c r="W158" s="909"/>
      <c r="X158" s="2689">
        <f t="shared" si="54"/>
        <v>0</v>
      </c>
      <c r="Y158" s="2689">
        <f t="shared" si="55"/>
        <v>0</v>
      </c>
      <c r="Z158" s="909"/>
    </row>
    <row r="159" spans="1:26">
      <c r="A159" s="31"/>
      <c r="B159" s="19"/>
      <c r="C159" s="12">
        <f t="shared" si="44"/>
        <v>1</v>
      </c>
      <c r="D159" s="578"/>
      <c r="E159" s="12">
        <f t="shared" si="45"/>
        <v>1</v>
      </c>
      <c r="F159" s="578"/>
      <c r="G159" s="12">
        <f t="shared" si="46"/>
        <v>1</v>
      </c>
      <c r="H159" s="578"/>
      <c r="I159" s="12">
        <f t="shared" si="47"/>
        <v>1</v>
      </c>
      <c r="J159" s="578"/>
      <c r="K159" s="12">
        <f t="shared" si="48"/>
        <v>1</v>
      </c>
      <c r="L159" s="578"/>
      <c r="M159" s="12">
        <f t="shared" si="49"/>
        <v>1</v>
      </c>
      <c r="N159" s="578"/>
      <c r="O159" s="12">
        <f t="shared" si="50"/>
        <v>1</v>
      </c>
      <c r="P159" s="578"/>
      <c r="Q159" s="12">
        <f t="shared" si="51"/>
        <v>1</v>
      </c>
      <c r="R159" s="12">
        <f t="shared" si="56"/>
        <v>0</v>
      </c>
      <c r="S159" s="246">
        <f t="shared" si="57"/>
        <v>0</v>
      </c>
      <c r="T159" s="821">
        <f t="shared" si="58"/>
        <v>0</v>
      </c>
      <c r="U159" s="2689">
        <f t="shared" si="52"/>
        <v>0</v>
      </c>
      <c r="V159" s="2689">
        <f t="shared" si="53"/>
        <v>0</v>
      </c>
      <c r="W159" s="909"/>
      <c r="X159" s="2689">
        <f t="shared" si="54"/>
        <v>0</v>
      </c>
      <c r="Y159" s="2689">
        <f t="shared" si="55"/>
        <v>0</v>
      </c>
      <c r="Z159" s="909"/>
    </row>
    <row r="160" spans="1:26">
      <c r="A160" s="31"/>
      <c r="B160" s="19"/>
      <c r="C160" s="12">
        <f t="shared" si="44"/>
        <v>1</v>
      </c>
      <c r="D160" s="578"/>
      <c r="E160" s="12">
        <f t="shared" si="45"/>
        <v>1</v>
      </c>
      <c r="F160" s="578"/>
      <c r="G160" s="12">
        <f t="shared" si="46"/>
        <v>1</v>
      </c>
      <c r="H160" s="578"/>
      <c r="I160" s="12">
        <f t="shared" si="47"/>
        <v>1</v>
      </c>
      <c r="J160" s="578"/>
      <c r="K160" s="12">
        <f t="shared" si="48"/>
        <v>1</v>
      </c>
      <c r="L160" s="578"/>
      <c r="M160" s="12">
        <f t="shared" si="49"/>
        <v>1</v>
      </c>
      <c r="N160" s="578"/>
      <c r="O160" s="12">
        <f t="shared" si="50"/>
        <v>1</v>
      </c>
      <c r="P160" s="578"/>
      <c r="Q160" s="12">
        <f t="shared" si="51"/>
        <v>1</v>
      </c>
      <c r="R160" s="12">
        <f t="shared" si="56"/>
        <v>0</v>
      </c>
      <c r="S160" s="246">
        <f t="shared" si="57"/>
        <v>0</v>
      </c>
      <c r="T160" s="821">
        <f t="shared" si="58"/>
        <v>0</v>
      </c>
      <c r="U160" s="2689">
        <f t="shared" si="52"/>
        <v>0</v>
      </c>
      <c r="V160" s="2689">
        <f t="shared" si="53"/>
        <v>0</v>
      </c>
      <c r="W160" s="909"/>
      <c r="X160" s="2689">
        <f t="shared" si="54"/>
        <v>0</v>
      </c>
      <c r="Y160" s="2689">
        <f t="shared" si="55"/>
        <v>0</v>
      </c>
      <c r="Z160" s="909"/>
    </row>
    <row r="161" spans="1:26">
      <c r="A161" s="31"/>
      <c r="B161" s="19"/>
      <c r="C161" s="12">
        <f t="shared" si="44"/>
        <v>1</v>
      </c>
      <c r="D161" s="578"/>
      <c r="E161" s="12">
        <f t="shared" si="45"/>
        <v>1</v>
      </c>
      <c r="F161" s="578"/>
      <c r="G161" s="12">
        <f t="shared" si="46"/>
        <v>1</v>
      </c>
      <c r="H161" s="578"/>
      <c r="I161" s="12">
        <f t="shared" si="47"/>
        <v>1</v>
      </c>
      <c r="J161" s="578"/>
      <c r="K161" s="12">
        <f t="shared" si="48"/>
        <v>1</v>
      </c>
      <c r="L161" s="578"/>
      <c r="M161" s="12">
        <f t="shared" si="49"/>
        <v>1</v>
      </c>
      <c r="N161" s="578"/>
      <c r="O161" s="12">
        <f t="shared" si="50"/>
        <v>1</v>
      </c>
      <c r="P161" s="578"/>
      <c r="Q161" s="12">
        <f t="shared" si="51"/>
        <v>1</v>
      </c>
      <c r="R161" s="12">
        <f t="shared" si="56"/>
        <v>0</v>
      </c>
      <c r="S161" s="246">
        <f t="shared" si="57"/>
        <v>0</v>
      </c>
      <c r="T161" s="821">
        <f t="shared" si="58"/>
        <v>0</v>
      </c>
      <c r="U161" s="2689">
        <f t="shared" si="52"/>
        <v>0</v>
      </c>
      <c r="V161" s="2689">
        <f t="shared" si="53"/>
        <v>0</v>
      </c>
      <c r="W161" s="909"/>
      <c r="X161" s="2689">
        <f t="shared" si="54"/>
        <v>0</v>
      </c>
      <c r="Y161" s="2689">
        <f t="shared" si="55"/>
        <v>0</v>
      </c>
      <c r="Z161" s="909"/>
    </row>
    <row r="162" spans="1:26">
      <c r="A162" s="31"/>
      <c r="B162" s="19"/>
      <c r="C162" s="12">
        <f t="shared" si="44"/>
        <v>1</v>
      </c>
      <c r="D162" s="578"/>
      <c r="E162" s="12">
        <f t="shared" si="45"/>
        <v>1</v>
      </c>
      <c r="F162" s="578"/>
      <c r="G162" s="12">
        <f t="shared" si="46"/>
        <v>1</v>
      </c>
      <c r="H162" s="578"/>
      <c r="I162" s="12">
        <f t="shared" si="47"/>
        <v>1</v>
      </c>
      <c r="J162" s="578"/>
      <c r="K162" s="12">
        <f t="shared" si="48"/>
        <v>1</v>
      </c>
      <c r="L162" s="578"/>
      <c r="M162" s="12">
        <f t="shared" si="49"/>
        <v>1</v>
      </c>
      <c r="N162" s="578"/>
      <c r="O162" s="12">
        <f t="shared" si="50"/>
        <v>1</v>
      </c>
      <c r="P162" s="578"/>
      <c r="Q162" s="12">
        <f t="shared" si="51"/>
        <v>1</v>
      </c>
      <c r="R162" s="12">
        <f t="shared" si="56"/>
        <v>0</v>
      </c>
      <c r="S162" s="246">
        <f t="shared" si="57"/>
        <v>0</v>
      </c>
      <c r="T162" s="821">
        <f t="shared" si="58"/>
        <v>0</v>
      </c>
      <c r="U162" s="2689">
        <f t="shared" si="52"/>
        <v>0</v>
      </c>
      <c r="V162" s="2689">
        <f t="shared" si="53"/>
        <v>0</v>
      </c>
      <c r="W162" s="909"/>
      <c r="X162" s="2689">
        <f t="shared" si="54"/>
        <v>0</v>
      </c>
      <c r="Y162" s="2689">
        <f t="shared" si="55"/>
        <v>0</v>
      </c>
      <c r="Z162" s="909"/>
    </row>
    <row r="163" spans="1:26">
      <c r="A163" s="31"/>
      <c r="B163" s="19"/>
      <c r="C163" s="12">
        <f t="shared" si="44"/>
        <v>1</v>
      </c>
      <c r="D163" s="578"/>
      <c r="E163" s="12">
        <f t="shared" si="45"/>
        <v>1</v>
      </c>
      <c r="F163" s="578"/>
      <c r="G163" s="12">
        <f t="shared" si="46"/>
        <v>1</v>
      </c>
      <c r="H163" s="578"/>
      <c r="I163" s="12">
        <f t="shared" si="47"/>
        <v>1</v>
      </c>
      <c r="J163" s="578"/>
      <c r="K163" s="12">
        <f t="shared" si="48"/>
        <v>1</v>
      </c>
      <c r="L163" s="578"/>
      <c r="M163" s="12">
        <f t="shared" si="49"/>
        <v>1</v>
      </c>
      <c r="N163" s="578"/>
      <c r="O163" s="12">
        <f t="shared" si="50"/>
        <v>1</v>
      </c>
      <c r="P163" s="578"/>
      <c r="Q163" s="12">
        <f t="shared" si="51"/>
        <v>1</v>
      </c>
      <c r="R163" s="12">
        <f t="shared" si="56"/>
        <v>0</v>
      </c>
      <c r="S163" s="246">
        <f t="shared" si="57"/>
        <v>0</v>
      </c>
      <c r="T163" s="821">
        <f t="shared" si="58"/>
        <v>0</v>
      </c>
      <c r="U163" s="2689">
        <f t="shared" si="52"/>
        <v>0</v>
      </c>
      <c r="V163" s="2689">
        <f t="shared" si="53"/>
        <v>0</v>
      </c>
      <c r="W163" s="909"/>
      <c r="X163" s="2689">
        <f t="shared" si="54"/>
        <v>0</v>
      </c>
      <c r="Y163" s="2689">
        <f t="shared" si="55"/>
        <v>0</v>
      </c>
      <c r="Z163" s="909"/>
    </row>
    <row r="164" spans="1:26">
      <c r="A164" s="31"/>
      <c r="B164" s="19"/>
      <c r="C164" s="12">
        <f t="shared" si="44"/>
        <v>1</v>
      </c>
      <c r="D164" s="578"/>
      <c r="E164" s="12">
        <f t="shared" si="45"/>
        <v>1</v>
      </c>
      <c r="F164" s="578"/>
      <c r="G164" s="12">
        <f t="shared" si="46"/>
        <v>1</v>
      </c>
      <c r="H164" s="578"/>
      <c r="I164" s="12">
        <f t="shared" si="47"/>
        <v>1</v>
      </c>
      <c r="J164" s="578"/>
      <c r="K164" s="12">
        <f t="shared" si="48"/>
        <v>1</v>
      </c>
      <c r="L164" s="578"/>
      <c r="M164" s="12">
        <f t="shared" si="49"/>
        <v>1</v>
      </c>
      <c r="N164" s="578"/>
      <c r="O164" s="12">
        <f t="shared" si="50"/>
        <v>1</v>
      </c>
      <c r="P164" s="578"/>
      <c r="Q164" s="12">
        <f t="shared" si="51"/>
        <v>1</v>
      </c>
      <c r="R164" s="12">
        <f t="shared" si="56"/>
        <v>0</v>
      </c>
      <c r="S164" s="246">
        <f t="shared" si="57"/>
        <v>0</v>
      </c>
      <c r="T164" s="821">
        <f t="shared" si="58"/>
        <v>0</v>
      </c>
      <c r="U164" s="2689">
        <f t="shared" si="52"/>
        <v>0</v>
      </c>
      <c r="V164" s="2689">
        <f t="shared" si="53"/>
        <v>0</v>
      </c>
      <c r="W164" s="909"/>
      <c r="X164" s="2689">
        <f t="shared" si="54"/>
        <v>0</v>
      </c>
      <c r="Y164" s="2689">
        <f t="shared" si="55"/>
        <v>0</v>
      </c>
      <c r="Z164" s="909"/>
    </row>
    <row r="165" spans="1:26">
      <c r="A165" s="31"/>
      <c r="B165" s="19"/>
      <c r="C165" s="12">
        <f t="shared" si="44"/>
        <v>1</v>
      </c>
      <c r="D165" s="578"/>
      <c r="E165" s="12">
        <f t="shared" si="45"/>
        <v>1</v>
      </c>
      <c r="F165" s="578"/>
      <c r="G165" s="12">
        <f t="shared" si="46"/>
        <v>1</v>
      </c>
      <c r="H165" s="578"/>
      <c r="I165" s="12">
        <f t="shared" si="47"/>
        <v>1</v>
      </c>
      <c r="J165" s="578"/>
      <c r="K165" s="12">
        <f t="shared" si="48"/>
        <v>1</v>
      </c>
      <c r="L165" s="578"/>
      <c r="M165" s="12">
        <f t="shared" si="49"/>
        <v>1</v>
      </c>
      <c r="N165" s="578"/>
      <c r="O165" s="12">
        <f t="shared" si="50"/>
        <v>1</v>
      </c>
      <c r="P165" s="578"/>
      <c r="Q165" s="12">
        <f t="shared" si="51"/>
        <v>1</v>
      </c>
      <c r="R165" s="12">
        <f t="shared" si="56"/>
        <v>0</v>
      </c>
      <c r="S165" s="246">
        <f t="shared" si="57"/>
        <v>0</v>
      </c>
      <c r="T165" s="821">
        <f t="shared" si="58"/>
        <v>0</v>
      </c>
      <c r="U165" s="2689">
        <f t="shared" si="52"/>
        <v>0</v>
      </c>
      <c r="V165" s="2689">
        <f t="shared" si="53"/>
        <v>0</v>
      </c>
      <c r="W165" s="909"/>
      <c r="X165" s="2689">
        <f t="shared" si="54"/>
        <v>0</v>
      </c>
      <c r="Y165" s="2689">
        <f t="shared" si="55"/>
        <v>0</v>
      </c>
      <c r="Z165" s="909"/>
    </row>
    <row r="166" spans="1:26">
      <c r="A166" s="31"/>
      <c r="B166" s="19"/>
      <c r="C166" s="12">
        <f t="shared" si="44"/>
        <v>1</v>
      </c>
      <c r="D166" s="578"/>
      <c r="E166" s="12">
        <f t="shared" si="45"/>
        <v>1</v>
      </c>
      <c r="F166" s="578"/>
      <c r="G166" s="12">
        <f t="shared" si="46"/>
        <v>1</v>
      </c>
      <c r="H166" s="578"/>
      <c r="I166" s="12">
        <f t="shared" si="47"/>
        <v>1</v>
      </c>
      <c r="J166" s="578"/>
      <c r="K166" s="12">
        <f t="shared" si="48"/>
        <v>1</v>
      </c>
      <c r="L166" s="578"/>
      <c r="M166" s="12">
        <f t="shared" si="49"/>
        <v>1</v>
      </c>
      <c r="N166" s="578"/>
      <c r="O166" s="12">
        <f t="shared" si="50"/>
        <v>1</v>
      </c>
      <c r="P166" s="578"/>
      <c r="Q166" s="12">
        <f t="shared" si="51"/>
        <v>1</v>
      </c>
      <c r="R166" s="12">
        <f t="shared" si="56"/>
        <v>0</v>
      </c>
      <c r="S166" s="246">
        <f t="shared" si="57"/>
        <v>0</v>
      </c>
      <c r="T166" s="821">
        <f t="shared" si="58"/>
        <v>0</v>
      </c>
      <c r="U166" s="2689">
        <f t="shared" si="52"/>
        <v>0</v>
      </c>
      <c r="V166" s="2689">
        <f t="shared" si="53"/>
        <v>0</v>
      </c>
      <c r="W166" s="909"/>
      <c r="X166" s="2689">
        <f t="shared" si="54"/>
        <v>0</v>
      </c>
      <c r="Y166" s="2689">
        <f t="shared" si="55"/>
        <v>0</v>
      </c>
      <c r="Z166" s="909"/>
    </row>
    <row r="167" spans="1:26">
      <c r="A167" s="31"/>
      <c r="B167" s="19"/>
      <c r="C167" s="12">
        <f t="shared" si="44"/>
        <v>1</v>
      </c>
      <c r="D167" s="578"/>
      <c r="E167" s="12">
        <f t="shared" si="45"/>
        <v>1</v>
      </c>
      <c r="F167" s="578"/>
      <c r="G167" s="12">
        <f t="shared" si="46"/>
        <v>1</v>
      </c>
      <c r="H167" s="578"/>
      <c r="I167" s="12">
        <f t="shared" si="47"/>
        <v>1</v>
      </c>
      <c r="J167" s="578"/>
      <c r="K167" s="12">
        <f t="shared" si="48"/>
        <v>1</v>
      </c>
      <c r="L167" s="578"/>
      <c r="M167" s="12">
        <f t="shared" si="49"/>
        <v>1</v>
      </c>
      <c r="N167" s="578"/>
      <c r="O167" s="12">
        <f t="shared" si="50"/>
        <v>1</v>
      </c>
      <c r="P167" s="578"/>
      <c r="Q167" s="12">
        <f t="shared" si="51"/>
        <v>1</v>
      </c>
      <c r="R167" s="12">
        <f t="shared" si="56"/>
        <v>0</v>
      </c>
      <c r="S167" s="246">
        <f t="shared" si="57"/>
        <v>0</v>
      </c>
      <c r="T167" s="821">
        <f t="shared" si="58"/>
        <v>0</v>
      </c>
      <c r="U167" s="2689">
        <f t="shared" si="52"/>
        <v>0</v>
      </c>
      <c r="V167" s="2689">
        <f t="shared" si="53"/>
        <v>0</v>
      </c>
      <c r="W167" s="909"/>
      <c r="X167" s="2689">
        <f t="shared" si="54"/>
        <v>0</v>
      </c>
      <c r="Y167" s="2689">
        <f t="shared" si="55"/>
        <v>0</v>
      </c>
      <c r="Z167" s="909"/>
    </row>
    <row r="168" spans="1:26">
      <c r="A168" s="31"/>
      <c r="B168" s="19"/>
      <c r="C168" s="12">
        <f t="shared" si="44"/>
        <v>1</v>
      </c>
      <c r="D168" s="578"/>
      <c r="E168" s="12">
        <f t="shared" si="45"/>
        <v>1</v>
      </c>
      <c r="F168" s="578"/>
      <c r="G168" s="12">
        <f t="shared" si="46"/>
        <v>1</v>
      </c>
      <c r="H168" s="578"/>
      <c r="I168" s="12">
        <f t="shared" si="47"/>
        <v>1</v>
      </c>
      <c r="J168" s="578"/>
      <c r="K168" s="12">
        <f t="shared" si="48"/>
        <v>1</v>
      </c>
      <c r="L168" s="578"/>
      <c r="M168" s="12">
        <f t="shared" si="49"/>
        <v>1</v>
      </c>
      <c r="N168" s="578"/>
      <c r="O168" s="12">
        <f t="shared" si="50"/>
        <v>1</v>
      </c>
      <c r="P168" s="578"/>
      <c r="Q168" s="12">
        <f t="shared" si="51"/>
        <v>1</v>
      </c>
      <c r="R168" s="12">
        <f t="shared" si="56"/>
        <v>0</v>
      </c>
      <c r="S168" s="246">
        <f t="shared" si="57"/>
        <v>0</v>
      </c>
      <c r="T168" s="821">
        <f t="shared" si="58"/>
        <v>0</v>
      </c>
      <c r="U168" s="2689">
        <f t="shared" si="52"/>
        <v>0</v>
      </c>
      <c r="V168" s="2689">
        <f t="shared" si="53"/>
        <v>0</v>
      </c>
      <c r="W168" s="909"/>
      <c r="X168" s="2689">
        <f t="shared" si="54"/>
        <v>0</v>
      </c>
      <c r="Y168" s="2689">
        <f t="shared" si="55"/>
        <v>0</v>
      </c>
      <c r="Z168" s="909"/>
    </row>
    <row r="169" spans="1:26">
      <c r="A169" s="31"/>
      <c r="B169" s="19"/>
      <c r="C169" s="12">
        <f t="shared" si="44"/>
        <v>1</v>
      </c>
      <c r="D169" s="578"/>
      <c r="E169" s="12">
        <f t="shared" si="45"/>
        <v>1</v>
      </c>
      <c r="F169" s="578"/>
      <c r="G169" s="12">
        <f t="shared" si="46"/>
        <v>1</v>
      </c>
      <c r="H169" s="578"/>
      <c r="I169" s="12">
        <f t="shared" si="47"/>
        <v>1</v>
      </c>
      <c r="J169" s="578"/>
      <c r="K169" s="12">
        <f t="shared" si="48"/>
        <v>1</v>
      </c>
      <c r="L169" s="578"/>
      <c r="M169" s="12">
        <f t="shared" si="49"/>
        <v>1</v>
      </c>
      <c r="N169" s="578"/>
      <c r="O169" s="12">
        <f t="shared" si="50"/>
        <v>1</v>
      </c>
      <c r="P169" s="578"/>
      <c r="Q169" s="12">
        <f t="shared" si="51"/>
        <v>1</v>
      </c>
      <c r="R169" s="12">
        <f t="shared" si="56"/>
        <v>0</v>
      </c>
      <c r="S169" s="246">
        <f t="shared" si="57"/>
        <v>0</v>
      </c>
      <c r="T169" s="821">
        <f t="shared" si="58"/>
        <v>0</v>
      </c>
      <c r="U169" s="2689">
        <f t="shared" si="52"/>
        <v>0</v>
      </c>
      <c r="V169" s="2689">
        <f t="shared" si="53"/>
        <v>0</v>
      </c>
      <c r="W169" s="909"/>
      <c r="X169" s="2689">
        <f t="shared" si="54"/>
        <v>0</v>
      </c>
      <c r="Y169" s="2689">
        <f t="shared" si="55"/>
        <v>0</v>
      </c>
      <c r="Z169" s="909"/>
    </row>
    <row r="170" spans="1:26">
      <c r="A170" s="31"/>
      <c r="B170" s="19"/>
      <c r="C170" s="12">
        <f t="shared" si="44"/>
        <v>1</v>
      </c>
      <c r="D170" s="578"/>
      <c r="E170" s="12">
        <f t="shared" si="45"/>
        <v>1</v>
      </c>
      <c r="F170" s="578"/>
      <c r="G170" s="12">
        <f t="shared" si="46"/>
        <v>1</v>
      </c>
      <c r="H170" s="578"/>
      <c r="I170" s="12">
        <f t="shared" si="47"/>
        <v>1</v>
      </c>
      <c r="J170" s="578"/>
      <c r="K170" s="12">
        <f t="shared" si="48"/>
        <v>1</v>
      </c>
      <c r="L170" s="578"/>
      <c r="M170" s="12">
        <f t="shared" si="49"/>
        <v>1</v>
      </c>
      <c r="N170" s="578"/>
      <c r="O170" s="12">
        <f t="shared" si="50"/>
        <v>1</v>
      </c>
      <c r="P170" s="578"/>
      <c r="Q170" s="12">
        <f t="shared" si="51"/>
        <v>1</v>
      </c>
      <c r="R170" s="12">
        <f t="shared" si="56"/>
        <v>0</v>
      </c>
      <c r="S170" s="246">
        <f t="shared" si="57"/>
        <v>0</v>
      </c>
      <c r="T170" s="821">
        <f t="shared" si="58"/>
        <v>0</v>
      </c>
      <c r="U170" s="2689">
        <f t="shared" si="52"/>
        <v>0</v>
      </c>
      <c r="V170" s="2689">
        <f t="shared" si="53"/>
        <v>0</v>
      </c>
      <c r="W170" s="909"/>
      <c r="X170" s="2689">
        <f t="shared" si="54"/>
        <v>0</v>
      </c>
      <c r="Y170" s="2689">
        <f t="shared" si="55"/>
        <v>0</v>
      </c>
      <c r="Z170" s="909"/>
    </row>
    <row r="171" spans="1:26">
      <c r="A171" s="31"/>
      <c r="B171" s="19"/>
      <c r="C171" s="12">
        <f t="shared" si="44"/>
        <v>1</v>
      </c>
      <c r="D171" s="578"/>
      <c r="E171" s="12">
        <f t="shared" si="45"/>
        <v>1</v>
      </c>
      <c r="F171" s="578"/>
      <c r="G171" s="12">
        <f t="shared" si="46"/>
        <v>1</v>
      </c>
      <c r="H171" s="578"/>
      <c r="I171" s="12">
        <f t="shared" si="47"/>
        <v>1</v>
      </c>
      <c r="J171" s="578"/>
      <c r="K171" s="12">
        <f t="shared" si="48"/>
        <v>1</v>
      </c>
      <c r="L171" s="578"/>
      <c r="M171" s="12">
        <f t="shared" si="49"/>
        <v>1</v>
      </c>
      <c r="N171" s="578"/>
      <c r="O171" s="12">
        <f t="shared" si="50"/>
        <v>1</v>
      </c>
      <c r="P171" s="578"/>
      <c r="Q171" s="12">
        <f t="shared" si="51"/>
        <v>1</v>
      </c>
      <c r="R171" s="12">
        <f t="shared" si="56"/>
        <v>0</v>
      </c>
      <c r="S171" s="246">
        <f t="shared" si="57"/>
        <v>0</v>
      </c>
      <c r="T171" s="821">
        <f t="shared" si="58"/>
        <v>0</v>
      </c>
      <c r="U171" s="2689">
        <f t="shared" si="52"/>
        <v>0</v>
      </c>
      <c r="V171" s="2689">
        <f t="shared" si="53"/>
        <v>0</v>
      </c>
      <c r="W171" s="909"/>
      <c r="X171" s="2689">
        <f t="shared" si="54"/>
        <v>0</v>
      </c>
      <c r="Y171" s="2689">
        <f t="shared" si="55"/>
        <v>0</v>
      </c>
      <c r="Z171" s="909"/>
    </row>
    <row r="172" spans="1:26">
      <c r="A172" s="31"/>
      <c r="B172" s="19"/>
      <c r="C172" s="12">
        <f t="shared" si="44"/>
        <v>1</v>
      </c>
      <c r="D172" s="578"/>
      <c r="E172" s="12">
        <f t="shared" si="45"/>
        <v>1</v>
      </c>
      <c r="F172" s="578"/>
      <c r="G172" s="12">
        <f t="shared" si="46"/>
        <v>1</v>
      </c>
      <c r="H172" s="578"/>
      <c r="I172" s="12">
        <f t="shared" si="47"/>
        <v>1</v>
      </c>
      <c r="J172" s="578"/>
      <c r="K172" s="12">
        <f t="shared" si="48"/>
        <v>1</v>
      </c>
      <c r="L172" s="578"/>
      <c r="M172" s="12">
        <f t="shared" si="49"/>
        <v>1</v>
      </c>
      <c r="N172" s="578"/>
      <c r="O172" s="12">
        <f t="shared" si="50"/>
        <v>1</v>
      </c>
      <c r="P172" s="578"/>
      <c r="Q172" s="12">
        <f t="shared" si="51"/>
        <v>1</v>
      </c>
      <c r="R172" s="12">
        <f t="shared" si="56"/>
        <v>0</v>
      </c>
      <c r="S172" s="246">
        <f t="shared" si="57"/>
        <v>0</v>
      </c>
      <c r="T172" s="821">
        <f t="shared" si="58"/>
        <v>0</v>
      </c>
      <c r="U172" s="2689">
        <f t="shared" si="52"/>
        <v>0</v>
      </c>
      <c r="V172" s="2689">
        <f t="shared" si="53"/>
        <v>0</v>
      </c>
      <c r="W172" s="909"/>
      <c r="X172" s="2689">
        <f t="shared" si="54"/>
        <v>0</v>
      </c>
      <c r="Y172" s="2689">
        <f t="shared" si="55"/>
        <v>0</v>
      </c>
      <c r="Z172" s="909"/>
    </row>
    <row r="173" spans="1:26">
      <c r="A173" s="31"/>
      <c r="B173" s="19"/>
      <c r="C173" s="12">
        <f t="shared" si="44"/>
        <v>1</v>
      </c>
      <c r="D173" s="578"/>
      <c r="E173" s="12">
        <f t="shared" si="45"/>
        <v>1</v>
      </c>
      <c r="F173" s="578"/>
      <c r="G173" s="12">
        <f t="shared" si="46"/>
        <v>1</v>
      </c>
      <c r="H173" s="578"/>
      <c r="I173" s="12">
        <f t="shared" si="47"/>
        <v>1</v>
      </c>
      <c r="J173" s="578"/>
      <c r="K173" s="12">
        <f t="shared" si="48"/>
        <v>1</v>
      </c>
      <c r="L173" s="578"/>
      <c r="M173" s="12">
        <f t="shared" si="49"/>
        <v>1</v>
      </c>
      <c r="N173" s="578"/>
      <c r="O173" s="12">
        <f t="shared" si="50"/>
        <v>1</v>
      </c>
      <c r="P173" s="578"/>
      <c r="Q173" s="12">
        <f t="shared" si="51"/>
        <v>1</v>
      </c>
      <c r="R173" s="12">
        <f t="shared" si="56"/>
        <v>0</v>
      </c>
      <c r="S173" s="246">
        <f t="shared" si="57"/>
        <v>0</v>
      </c>
      <c r="T173" s="821">
        <f t="shared" si="58"/>
        <v>0</v>
      </c>
      <c r="U173" s="2689">
        <f t="shared" si="52"/>
        <v>0</v>
      </c>
      <c r="V173" s="2689">
        <f t="shared" si="53"/>
        <v>0</v>
      </c>
      <c r="W173" s="909"/>
      <c r="X173" s="2689">
        <f t="shared" si="54"/>
        <v>0</v>
      </c>
      <c r="Y173" s="2689">
        <f t="shared" si="55"/>
        <v>0</v>
      </c>
      <c r="Z173" s="909"/>
    </row>
    <row r="174" spans="1:26">
      <c r="A174" s="31"/>
      <c r="B174" s="19"/>
      <c r="C174" s="12">
        <f t="shared" si="44"/>
        <v>1</v>
      </c>
      <c r="D174" s="578"/>
      <c r="E174" s="12">
        <f t="shared" si="45"/>
        <v>1</v>
      </c>
      <c r="F174" s="578"/>
      <c r="G174" s="12">
        <f t="shared" si="46"/>
        <v>1</v>
      </c>
      <c r="H174" s="578"/>
      <c r="I174" s="12">
        <f t="shared" si="47"/>
        <v>1</v>
      </c>
      <c r="J174" s="578"/>
      <c r="K174" s="12">
        <f t="shared" si="48"/>
        <v>1</v>
      </c>
      <c r="L174" s="578"/>
      <c r="M174" s="12">
        <f t="shared" si="49"/>
        <v>1</v>
      </c>
      <c r="N174" s="578"/>
      <c r="O174" s="12">
        <f t="shared" si="50"/>
        <v>1</v>
      </c>
      <c r="P174" s="578"/>
      <c r="Q174" s="12">
        <f t="shared" si="51"/>
        <v>1</v>
      </c>
      <c r="R174" s="12">
        <f t="shared" si="56"/>
        <v>0</v>
      </c>
      <c r="S174" s="246">
        <f t="shared" si="57"/>
        <v>0</v>
      </c>
      <c r="T174" s="821">
        <f t="shared" si="58"/>
        <v>0</v>
      </c>
      <c r="U174" s="2689">
        <f t="shared" si="52"/>
        <v>0</v>
      </c>
      <c r="V174" s="2689">
        <f t="shared" si="53"/>
        <v>0</v>
      </c>
      <c r="W174" s="909"/>
      <c r="X174" s="2689">
        <f t="shared" si="54"/>
        <v>0</v>
      </c>
      <c r="Y174" s="2689">
        <f t="shared" si="55"/>
        <v>0</v>
      </c>
      <c r="Z174" s="909"/>
    </row>
    <row r="175" spans="1:26">
      <c r="A175" s="31"/>
      <c r="B175" s="19"/>
      <c r="C175" s="12">
        <f t="shared" si="44"/>
        <v>1</v>
      </c>
      <c r="D175" s="578"/>
      <c r="E175" s="12">
        <f t="shared" si="45"/>
        <v>1</v>
      </c>
      <c r="F175" s="578"/>
      <c r="G175" s="12">
        <f t="shared" si="46"/>
        <v>1</v>
      </c>
      <c r="H175" s="578"/>
      <c r="I175" s="12">
        <f t="shared" si="47"/>
        <v>1</v>
      </c>
      <c r="J175" s="578"/>
      <c r="K175" s="12">
        <f t="shared" si="48"/>
        <v>1</v>
      </c>
      <c r="L175" s="578"/>
      <c r="M175" s="12">
        <f t="shared" si="49"/>
        <v>1</v>
      </c>
      <c r="N175" s="578"/>
      <c r="O175" s="12">
        <f t="shared" si="50"/>
        <v>1</v>
      </c>
      <c r="P175" s="578"/>
      <c r="Q175" s="12">
        <f t="shared" si="51"/>
        <v>1</v>
      </c>
      <c r="R175" s="12">
        <f t="shared" si="56"/>
        <v>0</v>
      </c>
      <c r="S175" s="246">
        <f t="shared" si="57"/>
        <v>0</v>
      </c>
      <c r="T175" s="821">
        <f t="shared" si="58"/>
        <v>0</v>
      </c>
      <c r="U175" s="2689">
        <f t="shared" si="52"/>
        <v>0</v>
      </c>
      <c r="V175" s="2689">
        <f t="shared" si="53"/>
        <v>0</v>
      </c>
      <c r="W175" s="909"/>
      <c r="X175" s="2689">
        <f t="shared" si="54"/>
        <v>0</v>
      </c>
      <c r="Y175" s="2689">
        <f t="shared" si="55"/>
        <v>0</v>
      </c>
      <c r="Z175" s="909"/>
    </row>
    <row r="176" spans="1:26">
      <c r="A176" s="31"/>
      <c r="B176" s="19"/>
      <c r="C176" s="12">
        <f t="shared" si="44"/>
        <v>1</v>
      </c>
      <c r="D176" s="578"/>
      <c r="E176" s="12">
        <f t="shared" si="45"/>
        <v>1</v>
      </c>
      <c r="F176" s="578"/>
      <c r="G176" s="12">
        <f t="shared" si="46"/>
        <v>1</v>
      </c>
      <c r="H176" s="578"/>
      <c r="I176" s="12">
        <f t="shared" si="47"/>
        <v>1</v>
      </c>
      <c r="J176" s="578"/>
      <c r="K176" s="12">
        <f t="shared" si="48"/>
        <v>1</v>
      </c>
      <c r="L176" s="578"/>
      <c r="M176" s="12">
        <f t="shared" si="49"/>
        <v>1</v>
      </c>
      <c r="N176" s="578"/>
      <c r="O176" s="12">
        <f t="shared" si="50"/>
        <v>1</v>
      </c>
      <c r="P176" s="578"/>
      <c r="Q176" s="12">
        <f t="shared" si="51"/>
        <v>1</v>
      </c>
      <c r="R176" s="12">
        <f t="shared" si="56"/>
        <v>0</v>
      </c>
      <c r="S176" s="246">
        <f t="shared" si="57"/>
        <v>0</v>
      </c>
      <c r="T176" s="821">
        <f t="shared" si="58"/>
        <v>0</v>
      </c>
      <c r="U176" s="2689">
        <f t="shared" si="52"/>
        <v>0</v>
      </c>
      <c r="V176" s="2689">
        <f t="shared" si="53"/>
        <v>0</v>
      </c>
      <c r="W176" s="909"/>
      <c r="X176" s="2689">
        <f t="shared" si="54"/>
        <v>0</v>
      </c>
      <c r="Y176" s="2689">
        <f t="shared" si="55"/>
        <v>0</v>
      </c>
      <c r="Z176" s="909"/>
    </row>
    <row r="177" spans="1:26">
      <c r="A177" s="31"/>
      <c r="B177" s="19"/>
      <c r="C177" s="12">
        <f t="shared" si="44"/>
        <v>1</v>
      </c>
      <c r="D177" s="578"/>
      <c r="E177" s="12">
        <f t="shared" si="45"/>
        <v>1</v>
      </c>
      <c r="F177" s="578"/>
      <c r="G177" s="12">
        <f t="shared" si="46"/>
        <v>1</v>
      </c>
      <c r="H177" s="578"/>
      <c r="I177" s="12">
        <f t="shared" si="47"/>
        <v>1</v>
      </c>
      <c r="J177" s="578"/>
      <c r="K177" s="12">
        <f t="shared" si="48"/>
        <v>1</v>
      </c>
      <c r="L177" s="578"/>
      <c r="M177" s="12">
        <f t="shared" si="49"/>
        <v>1</v>
      </c>
      <c r="N177" s="578"/>
      <c r="O177" s="12">
        <f t="shared" si="50"/>
        <v>1</v>
      </c>
      <c r="P177" s="578"/>
      <c r="Q177" s="12">
        <f t="shared" si="51"/>
        <v>1</v>
      </c>
      <c r="R177" s="12">
        <f t="shared" si="56"/>
        <v>0</v>
      </c>
      <c r="S177" s="246">
        <f t="shared" si="57"/>
        <v>0</v>
      </c>
      <c r="T177" s="821">
        <f t="shared" si="58"/>
        <v>0</v>
      </c>
      <c r="U177" s="2689">
        <f t="shared" si="52"/>
        <v>0</v>
      </c>
      <c r="V177" s="2689">
        <f t="shared" si="53"/>
        <v>0</v>
      </c>
      <c r="W177" s="909"/>
      <c r="X177" s="2689">
        <f t="shared" si="54"/>
        <v>0</v>
      </c>
      <c r="Y177" s="2689">
        <f t="shared" si="55"/>
        <v>0</v>
      </c>
      <c r="Z177" s="909"/>
    </row>
    <row r="178" spans="1:26">
      <c r="A178" s="31"/>
      <c r="B178" s="19"/>
      <c r="C178" s="12">
        <f t="shared" si="44"/>
        <v>1</v>
      </c>
      <c r="D178" s="578"/>
      <c r="E178" s="12">
        <f t="shared" si="45"/>
        <v>1</v>
      </c>
      <c r="F178" s="578"/>
      <c r="G178" s="12">
        <f t="shared" si="46"/>
        <v>1</v>
      </c>
      <c r="H178" s="578"/>
      <c r="I178" s="12">
        <f t="shared" si="47"/>
        <v>1</v>
      </c>
      <c r="J178" s="578"/>
      <c r="K178" s="12">
        <f t="shared" si="48"/>
        <v>1</v>
      </c>
      <c r="L178" s="578"/>
      <c r="M178" s="12">
        <f t="shared" si="49"/>
        <v>1</v>
      </c>
      <c r="N178" s="578"/>
      <c r="O178" s="12">
        <f t="shared" si="50"/>
        <v>1</v>
      </c>
      <c r="P178" s="578"/>
      <c r="Q178" s="12">
        <f t="shared" si="51"/>
        <v>1</v>
      </c>
      <c r="R178" s="12">
        <f t="shared" si="56"/>
        <v>0</v>
      </c>
      <c r="S178" s="246">
        <f t="shared" si="57"/>
        <v>0</v>
      </c>
      <c r="T178" s="821">
        <f t="shared" si="58"/>
        <v>0</v>
      </c>
      <c r="U178" s="2689">
        <f t="shared" si="52"/>
        <v>0</v>
      </c>
      <c r="V178" s="2689">
        <f t="shared" si="53"/>
        <v>0</v>
      </c>
      <c r="W178" s="909"/>
      <c r="X178" s="2689">
        <f t="shared" si="54"/>
        <v>0</v>
      </c>
      <c r="Y178" s="2689">
        <f t="shared" si="55"/>
        <v>0</v>
      </c>
      <c r="Z178" s="909"/>
    </row>
    <row r="179" spans="1:26">
      <c r="A179" s="31"/>
      <c r="B179" s="19"/>
      <c r="C179" s="12">
        <f t="shared" si="44"/>
        <v>1</v>
      </c>
      <c r="D179" s="578"/>
      <c r="E179" s="12">
        <f t="shared" si="45"/>
        <v>1</v>
      </c>
      <c r="F179" s="578"/>
      <c r="G179" s="12">
        <f t="shared" si="46"/>
        <v>1</v>
      </c>
      <c r="H179" s="578"/>
      <c r="I179" s="12">
        <f t="shared" si="47"/>
        <v>1</v>
      </c>
      <c r="J179" s="578"/>
      <c r="K179" s="12">
        <f t="shared" si="48"/>
        <v>1</v>
      </c>
      <c r="L179" s="578"/>
      <c r="M179" s="12">
        <f t="shared" si="49"/>
        <v>1</v>
      </c>
      <c r="N179" s="578"/>
      <c r="O179" s="12">
        <f t="shared" si="50"/>
        <v>1</v>
      </c>
      <c r="P179" s="578"/>
      <c r="Q179" s="12">
        <f t="shared" si="51"/>
        <v>1</v>
      </c>
      <c r="R179" s="12">
        <f t="shared" si="56"/>
        <v>0</v>
      </c>
      <c r="S179" s="246">
        <f t="shared" si="57"/>
        <v>0</v>
      </c>
      <c r="T179" s="821">
        <f t="shared" si="58"/>
        <v>0</v>
      </c>
      <c r="U179" s="2689">
        <f t="shared" si="52"/>
        <v>0</v>
      </c>
      <c r="V179" s="2689">
        <f t="shared" si="53"/>
        <v>0</v>
      </c>
      <c r="W179" s="909"/>
      <c r="X179" s="2689">
        <f t="shared" si="54"/>
        <v>0</v>
      </c>
      <c r="Y179" s="2689">
        <f t="shared" si="55"/>
        <v>0</v>
      </c>
      <c r="Z179" s="909"/>
    </row>
    <row r="180" spans="1:26">
      <c r="A180" s="31"/>
      <c r="B180" s="19"/>
      <c r="C180" s="12">
        <f t="shared" si="44"/>
        <v>1</v>
      </c>
      <c r="D180" s="578"/>
      <c r="E180" s="12">
        <f t="shared" si="45"/>
        <v>1</v>
      </c>
      <c r="F180" s="578"/>
      <c r="G180" s="12">
        <f t="shared" si="46"/>
        <v>1</v>
      </c>
      <c r="H180" s="578"/>
      <c r="I180" s="12">
        <f t="shared" si="47"/>
        <v>1</v>
      </c>
      <c r="J180" s="578"/>
      <c r="K180" s="12">
        <f t="shared" si="48"/>
        <v>1</v>
      </c>
      <c r="L180" s="578"/>
      <c r="M180" s="12">
        <f t="shared" si="49"/>
        <v>1</v>
      </c>
      <c r="N180" s="578"/>
      <c r="O180" s="12">
        <f t="shared" si="50"/>
        <v>1</v>
      </c>
      <c r="P180" s="578"/>
      <c r="Q180" s="12">
        <f t="shared" si="51"/>
        <v>1</v>
      </c>
      <c r="R180" s="12">
        <f t="shared" si="56"/>
        <v>0</v>
      </c>
      <c r="S180" s="246">
        <f t="shared" si="57"/>
        <v>0</v>
      </c>
      <c r="T180" s="821">
        <f t="shared" si="58"/>
        <v>0</v>
      </c>
      <c r="U180" s="2689">
        <f t="shared" si="52"/>
        <v>0</v>
      </c>
      <c r="V180" s="2689">
        <f t="shared" si="53"/>
        <v>0</v>
      </c>
      <c r="W180" s="909"/>
      <c r="X180" s="2689">
        <f t="shared" si="54"/>
        <v>0</v>
      </c>
      <c r="Y180" s="2689">
        <f t="shared" si="55"/>
        <v>0</v>
      </c>
      <c r="Z180" s="909"/>
    </row>
    <row r="181" spans="1:26">
      <c r="A181" s="31"/>
      <c r="B181" s="19"/>
      <c r="C181" s="12">
        <f t="shared" si="44"/>
        <v>1</v>
      </c>
      <c r="D181" s="578"/>
      <c r="E181" s="12">
        <f t="shared" si="45"/>
        <v>1</v>
      </c>
      <c r="F181" s="578"/>
      <c r="G181" s="12">
        <f t="shared" si="46"/>
        <v>1</v>
      </c>
      <c r="H181" s="578"/>
      <c r="I181" s="12">
        <f t="shared" si="47"/>
        <v>1</v>
      </c>
      <c r="J181" s="578"/>
      <c r="K181" s="12">
        <f t="shared" si="48"/>
        <v>1</v>
      </c>
      <c r="L181" s="578"/>
      <c r="M181" s="12">
        <f t="shared" si="49"/>
        <v>1</v>
      </c>
      <c r="N181" s="578"/>
      <c r="O181" s="12">
        <f t="shared" si="50"/>
        <v>1</v>
      </c>
      <c r="P181" s="578"/>
      <c r="Q181" s="12">
        <f t="shared" si="51"/>
        <v>1</v>
      </c>
      <c r="R181" s="12">
        <f t="shared" si="56"/>
        <v>0</v>
      </c>
      <c r="S181" s="246">
        <f t="shared" si="57"/>
        <v>0</v>
      </c>
      <c r="T181" s="821">
        <f t="shared" si="58"/>
        <v>0</v>
      </c>
      <c r="U181" s="2689">
        <f t="shared" si="52"/>
        <v>0</v>
      </c>
      <c r="V181" s="2689">
        <f t="shared" si="53"/>
        <v>0</v>
      </c>
      <c r="W181" s="909"/>
      <c r="X181" s="2689">
        <f t="shared" si="54"/>
        <v>0</v>
      </c>
      <c r="Y181" s="2689">
        <f t="shared" si="55"/>
        <v>0</v>
      </c>
      <c r="Z181" s="909"/>
    </row>
    <row r="182" spans="1:26">
      <c r="A182" s="31"/>
      <c r="B182" s="19"/>
      <c r="C182" s="12">
        <f t="shared" si="44"/>
        <v>1</v>
      </c>
      <c r="D182" s="578"/>
      <c r="E182" s="12">
        <f t="shared" si="45"/>
        <v>1</v>
      </c>
      <c r="F182" s="578"/>
      <c r="G182" s="12">
        <f t="shared" si="46"/>
        <v>1</v>
      </c>
      <c r="H182" s="578"/>
      <c r="I182" s="12">
        <f t="shared" si="47"/>
        <v>1</v>
      </c>
      <c r="J182" s="578"/>
      <c r="K182" s="12">
        <f t="shared" si="48"/>
        <v>1</v>
      </c>
      <c r="L182" s="578"/>
      <c r="M182" s="12">
        <f t="shared" si="49"/>
        <v>1</v>
      </c>
      <c r="N182" s="578"/>
      <c r="O182" s="12">
        <f t="shared" si="50"/>
        <v>1</v>
      </c>
      <c r="P182" s="578"/>
      <c r="Q182" s="12">
        <f t="shared" si="51"/>
        <v>1</v>
      </c>
      <c r="R182" s="12">
        <f t="shared" si="56"/>
        <v>0</v>
      </c>
      <c r="S182" s="246">
        <f t="shared" si="57"/>
        <v>0</v>
      </c>
      <c r="T182" s="821">
        <f t="shared" si="58"/>
        <v>0</v>
      </c>
      <c r="U182" s="2689">
        <f t="shared" si="52"/>
        <v>0</v>
      </c>
      <c r="V182" s="2689">
        <f t="shared" si="53"/>
        <v>0</v>
      </c>
      <c r="W182" s="909"/>
      <c r="X182" s="2689">
        <f t="shared" si="54"/>
        <v>0</v>
      </c>
      <c r="Y182" s="2689">
        <f t="shared" si="55"/>
        <v>0</v>
      </c>
      <c r="Z182" s="909"/>
    </row>
    <row r="183" spans="1:26">
      <c r="A183" s="31"/>
      <c r="B183" s="19"/>
      <c r="C183" s="12">
        <f t="shared" si="44"/>
        <v>1</v>
      </c>
      <c r="D183" s="578"/>
      <c r="E183" s="12">
        <f t="shared" si="45"/>
        <v>1</v>
      </c>
      <c r="F183" s="578"/>
      <c r="G183" s="12">
        <f t="shared" si="46"/>
        <v>1</v>
      </c>
      <c r="H183" s="578"/>
      <c r="I183" s="12">
        <f t="shared" si="47"/>
        <v>1</v>
      </c>
      <c r="J183" s="578"/>
      <c r="K183" s="12">
        <f t="shared" si="48"/>
        <v>1</v>
      </c>
      <c r="L183" s="578"/>
      <c r="M183" s="12">
        <f t="shared" si="49"/>
        <v>1</v>
      </c>
      <c r="N183" s="578"/>
      <c r="O183" s="12">
        <f t="shared" si="50"/>
        <v>1</v>
      </c>
      <c r="P183" s="578"/>
      <c r="Q183" s="12">
        <f t="shared" si="51"/>
        <v>1</v>
      </c>
      <c r="R183" s="12">
        <f t="shared" si="56"/>
        <v>0</v>
      </c>
      <c r="S183" s="246">
        <f t="shared" si="57"/>
        <v>0</v>
      </c>
      <c r="T183" s="821">
        <f t="shared" si="58"/>
        <v>0</v>
      </c>
      <c r="U183" s="2689">
        <f t="shared" si="52"/>
        <v>0</v>
      </c>
      <c r="V183" s="2689">
        <f t="shared" si="53"/>
        <v>0</v>
      </c>
      <c r="W183" s="909"/>
      <c r="X183" s="2689">
        <f t="shared" si="54"/>
        <v>0</v>
      </c>
      <c r="Y183" s="2689">
        <f t="shared" si="55"/>
        <v>0</v>
      </c>
      <c r="Z183" s="909"/>
    </row>
    <row r="184" spans="1:26">
      <c r="A184" s="31"/>
      <c r="B184" s="19"/>
      <c r="C184" s="12">
        <f t="shared" si="44"/>
        <v>1</v>
      </c>
      <c r="D184" s="578"/>
      <c r="E184" s="12">
        <f t="shared" si="45"/>
        <v>1</v>
      </c>
      <c r="F184" s="578"/>
      <c r="G184" s="12">
        <f t="shared" si="46"/>
        <v>1</v>
      </c>
      <c r="H184" s="578"/>
      <c r="I184" s="12">
        <f t="shared" si="47"/>
        <v>1</v>
      </c>
      <c r="J184" s="578"/>
      <c r="K184" s="12">
        <f t="shared" si="48"/>
        <v>1</v>
      </c>
      <c r="L184" s="578"/>
      <c r="M184" s="12">
        <f t="shared" si="49"/>
        <v>1</v>
      </c>
      <c r="N184" s="578"/>
      <c r="O184" s="12">
        <f t="shared" si="50"/>
        <v>1</v>
      </c>
      <c r="P184" s="578"/>
      <c r="Q184" s="12">
        <f t="shared" si="51"/>
        <v>1</v>
      </c>
      <c r="R184" s="12">
        <f t="shared" si="56"/>
        <v>0</v>
      </c>
      <c r="S184" s="246">
        <f t="shared" si="57"/>
        <v>0</v>
      </c>
      <c r="T184" s="821">
        <f t="shared" si="58"/>
        <v>0</v>
      </c>
      <c r="U184" s="2689">
        <f t="shared" si="52"/>
        <v>0</v>
      </c>
      <c r="V184" s="2689">
        <f t="shared" si="53"/>
        <v>0</v>
      </c>
      <c r="W184" s="909"/>
      <c r="X184" s="2689">
        <f t="shared" si="54"/>
        <v>0</v>
      </c>
      <c r="Y184" s="2689">
        <f t="shared" si="55"/>
        <v>0</v>
      </c>
      <c r="Z184" s="909"/>
    </row>
    <row r="185" spans="1:26">
      <c r="A185" s="31"/>
      <c r="B185" s="19"/>
      <c r="C185" s="12">
        <f t="shared" si="44"/>
        <v>1</v>
      </c>
      <c r="D185" s="578"/>
      <c r="E185" s="12">
        <f t="shared" si="45"/>
        <v>1</v>
      </c>
      <c r="F185" s="578"/>
      <c r="G185" s="12">
        <f t="shared" si="46"/>
        <v>1</v>
      </c>
      <c r="H185" s="578"/>
      <c r="I185" s="12">
        <f t="shared" si="47"/>
        <v>1</v>
      </c>
      <c r="J185" s="578"/>
      <c r="K185" s="12">
        <f t="shared" si="48"/>
        <v>1</v>
      </c>
      <c r="L185" s="578"/>
      <c r="M185" s="12">
        <f t="shared" si="49"/>
        <v>1</v>
      </c>
      <c r="N185" s="578"/>
      <c r="O185" s="12">
        <f t="shared" si="50"/>
        <v>1</v>
      </c>
      <c r="P185" s="578"/>
      <c r="Q185" s="12">
        <f t="shared" si="51"/>
        <v>1</v>
      </c>
      <c r="R185" s="12">
        <f t="shared" si="56"/>
        <v>0</v>
      </c>
      <c r="S185" s="246">
        <f t="shared" si="57"/>
        <v>0</v>
      </c>
      <c r="T185" s="821">
        <f t="shared" si="58"/>
        <v>0</v>
      </c>
      <c r="U185" s="2689">
        <f t="shared" si="52"/>
        <v>0</v>
      </c>
      <c r="V185" s="2689">
        <f t="shared" si="53"/>
        <v>0</v>
      </c>
      <c r="W185" s="909"/>
      <c r="X185" s="2689">
        <f t="shared" si="54"/>
        <v>0</v>
      </c>
      <c r="Y185" s="2689">
        <f t="shared" si="55"/>
        <v>0</v>
      </c>
      <c r="Z185" s="909"/>
    </row>
    <row r="186" spans="1:26">
      <c r="A186" s="31"/>
      <c r="B186" s="19"/>
      <c r="C186" s="12">
        <f t="shared" si="44"/>
        <v>1</v>
      </c>
      <c r="D186" s="578"/>
      <c r="E186" s="12">
        <f t="shared" si="45"/>
        <v>1</v>
      </c>
      <c r="F186" s="578"/>
      <c r="G186" s="12">
        <f t="shared" si="46"/>
        <v>1</v>
      </c>
      <c r="H186" s="578"/>
      <c r="I186" s="12">
        <f t="shared" si="47"/>
        <v>1</v>
      </c>
      <c r="J186" s="578"/>
      <c r="K186" s="12">
        <f t="shared" si="48"/>
        <v>1</v>
      </c>
      <c r="L186" s="578"/>
      <c r="M186" s="12">
        <f t="shared" si="49"/>
        <v>1</v>
      </c>
      <c r="N186" s="578"/>
      <c r="O186" s="12">
        <f t="shared" si="50"/>
        <v>1</v>
      </c>
      <c r="P186" s="578"/>
      <c r="Q186" s="12">
        <f t="shared" si="51"/>
        <v>1</v>
      </c>
      <c r="R186" s="12">
        <f t="shared" si="56"/>
        <v>0</v>
      </c>
      <c r="S186" s="246">
        <f t="shared" si="57"/>
        <v>0</v>
      </c>
      <c r="T186" s="821">
        <f t="shared" si="58"/>
        <v>0</v>
      </c>
      <c r="U186" s="2689">
        <f t="shared" si="52"/>
        <v>0</v>
      </c>
      <c r="V186" s="2689">
        <f t="shared" si="53"/>
        <v>0</v>
      </c>
      <c r="W186" s="909"/>
      <c r="X186" s="2689">
        <f t="shared" si="54"/>
        <v>0</v>
      </c>
      <c r="Y186" s="2689">
        <f t="shared" si="55"/>
        <v>0</v>
      </c>
      <c r="Z186" s="909"/>
    </row>
    <row r="187" spans="1:26">
      <c r="A187" s="31"/>
      <c r="B187" s="19"/>
      <c r="C187" s="12">
        <f t="shared" si="44"/>
        <v>1</v>
      </c>
      <c r="D187" s="578"/>
      <c r="E187" s="12">
        <f t="shared" si="45"/>
        <v>1</v>
      </c>
      <c r="F187" s="578"/>
      <c r="G187" s="12">
        <f t="shared" si="46"/>
        <v>1</v>
      </c>
      <c r="H187" s="578"/>
      <c r="I187" s="12">
        <f t="shared" si="47"/>
        <v>1</v>
      </c>
      <c r="J187" s="578"/>
      <c r="K187" s="12">
        <f t="shared" si="48"/>
        <v>1</v>
      </c>
      <c r="L187" s="578"/>
      <c r="M187" s="12">
        <f t="shared" si="49"/>
        <v>1</v>
      </c>
      <c r="N187" s="578"/>
      <c r="O187" s="12">
        <f t="shared" si="50"/>
        <v>1</v>
      </c>
      <c r="P187" s="578"/>
      <c r="Q187" s="12">
        <f t="shared" si="51"/>
        <v>1</v>
      </c>
      <c r="R187" s="12">
        <f t="shared" si="56"/>
        <v>0</v>
      </c>
      <c r="S187" s="246">
        <f t="shared" si="57"/>
        <v>0</v>
      </c>
      <c r="T187" s="821">
        <f t="shared" si="58"/>
        <v>0</v>
      </c>
      <c r="U187" s="2689">
        <f t="shared" si="52"/>
        <v>0</v>
      </c>
      <c r="V187" s="2689">
        <f t="shared" si="53"/>
        <v>0</v>
      </c>
      <c r="W187" s="909"/>
      <c r="X187" s="2689">
        <f t="shared" si="54"/>
        <v>0</v>
      </c>
      <c r="Y187" s="2689">
        <f t="shared" si="55"/>
        <v>0</v>
      </c>
      <c r="Z187" s="909"/>
    </row>
    <row r="188" spans="1:26">
      <c r="A188" s="31"/>
      <c r="B188" s="19"/>
      <c r="C188" s="12">
        <f t="shared" si="44"/>
        <v>1</v>
      </c>
      <c r="D188" s="578"/>
      <c r="E188" s="12">
        <f t="shared" si="45"/>
        <v>1</v>
      </c>
      <c r="F188" s="578"/>
      <c r="G188" s="12">
        <f t="shared" si="46"/>
        <v>1</v>
      </c>
      <c r="H188" s="578"/>
      <c r="I188" s="12">
        <f t="shared" si="47"/>
        <v>1</v>
      </c>
      <c r="J188" s="578"/>
      <c r="K188" s="12">
        <f t="shared" si="48"/>
        <v>1</v>
      </c>
      <c r="L188" s="578"/>
      <c r="M188" s="12">
        <f t="shared" si="49"/>
        <v>1</v>
      </c>
      <c r="N188" s="578"/>
      <c r="O188" s="12">
        <f t="shared" si="50"/>
        <v>1</v>
      </c>
      <c r="P188" s="578"/>
      <c r="Q188" s="12">
        <f t="shared" si="51"/>
        <v>1</v>
      </c>
      <c r="R188" s="12">
        <f t="shared" si="56"/>
        <v>0</v>
      </c>
      <c r="S188" s="246">
        <f t="shared" si="57"/>
        <v>0</v>
      </c>
      <c r="T188" s="821">
        <f t="shared" si="58"/>
        <v>0</v>
      </c>
      <c r="U188" s="2689">
        <f t="shared" si="52"/>
        <v>0</v>
      </c>
      <c r="V188" s="2689">
        <f t="shared" si="53"/>
        <v>0</v>
      </c>
      <c r="W188" s="909"/>
      <c r="X188" s="2689">
        <f t="shared" si="54"/>
        <v>0</v>
      </c>
      <c r="Y188" s="2689">
        <f t="shared" si="55"/>
        <v>0</v>
      </c>
      <c r="Z188" s="909"/>
    </row>
    <row r="189" spans="1:26">
      <c r="A189" s="31"/>
      <c r="B189" s="19"/>
      <c r="C189" s="12">
        <f t="shared" si="44"/>
        <v>1</v>
      </c>
      <c r="D189" s="578"/>
      <c r="E189" s="12">
        <f t="shared" si="45"/>
        <v>1</v>
      </c>
      <c r="F189" s="578"/>
      <c r="G189" s="12">
        <f t="shared" si="46"/>
        <v>1</v>
      </c>
      <c r="H189" s="578"/>
      <c r="I189" s="12">
        <f t="shared" si="47"/>
        <v>1</v>
      </c>
      <c r="J189" s="578"/>
      <c r="K189" s="12">
        <f t="shared" si="48"/>
        <v>1</v>
      </c>
      <c r="L189" s="578"/>
      <c r="M189" s="12">
        <f t="shared" si="49"/>
        <v>1</v>
      </c>
      <c r="N189" s="578"/>
      <c r="O189" s="12">
        <f t="shared" si="50"/>
        <v>1</v>
      </c>
      <c r="P189" s="578"/>
      <c r="Q189" s="12">
        <f t="shared" si="51"/>
        <v>1</v>
      </c>
      <c r="R189" s="12">
        <f t="shared" si="56"/>
        <v>0</v>
      </c>
      <c r="S189" s="246">
        <f t="shared" si="57"/>
        <v>0</v>
      </c>
      <c r="T189" s="821">
        <f t="shared" si="58"/>
        <v>0</v>
      </c>
      <c r="U189" s="2689">
        <f t="shared" si="52"/>
        <v>0</v>
      </c>
      <c r="V189" s="2689">
        <f t="shared" si="53"/>
        <v>0</v>
      </c>
      <c r="W189" s="909"/>
      <c r="X189" s="2689">
        <f t="shared" si="54"/>
        <v>0</v>
      </c>
      <c r="Y189" s="2689">
        <f t="shared" si="55"/>
        <v>0</v>
      </c>
      <c r="Z189" s="909"/>
    </row>
    <row r="190" spans="1:26">
      <c r="A190" s="31"/>
      <c r="B190" s="19"/>
      <c r="C190" s="12">
        <f t="shared" si="44"/>
        <v>1</v>
      </c>
      <c r="D190" s="578"/>
      <c r="E190" s="12">
        <f t="shared" si="45"/>
        <v>1</v>
      </c>
      <c r="F190" s="578"/>
      <c r="G190" s="12">
        <f t="shared" si="46"/>
        <v>1</v>
      </c>
      <c r="H190" s="578"/>
      <c r="I190" s="12">
        <f t="shared" si="47"/>
        <v>1</v>
      </c>
      <c r="J190" s="578"/>
      <c r="K190" s="12">
        <f t="shared" si="48"/>
        <v>1</v>
      </c>
      <c r="L190" s="578"/>
      <c r="M190" s="12">
        <f t="shared" si="49"/>
        <v>1</v>
      </c>
      <c r="N190" s="578"/>
      <c r="O190" s="12">
        <f t="shared" si="50"/>
        <v>1</v>
      </c>
      <c r="P190" s="578"/>
      <c r="Q190" s="12">
        <f t="shared" si="51"/>
        <v>1</v>
      </c>
      <c r="R190" s="12">
        <f t="shared" si="56"/>
        <v>0</v>
      </c>
      <c r="S190" s="246">
        <f t="shared" si="57"/>
        <v>0</v>
      </c>
      <c r="T190" s="821">
        <f t="shared" si="58"/>
        <v>0</v>
      </c>
      <c r="U190" s="2689">
        <f t="shared" si="52"/>
        <v>0</v>
      </c>
      <c r="V190" s="2689">
        <f t="shared" si="53"/>
        <v>0</v>
      </c>
      <c r="W190" s="909"/>
      <c r="X190" s="2689">
        <f t="shared" si="54"/>
        <v>0</v>
      </c>
      <c r="Y190" s="2689">
        <f t="shared" si="55"/>
        <v>0</v>
      </c>
      <c r="Z190" s="909"/>
    </row>
    <row r="191" spans="1:26">
      <c r="A191" s="31"/>
      <c r="B191" s="19"/>
      <c r="C191" s="12">
        <f t="shared" si="44"/>
        <v>1</v>
      </c>
      <c r="D191" s="578"/>
      <c r="E191" s="12">
        <f t="shared" si="45"/>
        <v>1</v>
      </c>
      <c r="F191" s="578"/>
      <c r="G191" s="12">
        <f t="shared" si="46"/>
        <v>1</v>
      </c>
      <c r="H191" s="578"/>
      <c r="I191" s="12">
        <f t="shared" si="47"/>
        <v>1</v>
      </c>
      <c r="J191" s="578"/>
      <c r="K191" s="12">
        <f t="shared" si="48"/>
        <v>1</v>
      </c>
      <c r="L191" s="578"/>
      <c r="M191" s="12">
        <f t="shared" si="49"/>
        <v>1</v>
      </c>
      <c r="N191" s="578"/>
      <c r="O191" s="12">
        <f t="shared" si="50"/>
        <v>1</v>
      </c>
      <c r="P191" s="578"/>
      <c r="Q191" s="12">
        <f t="shared" si="51"/>
        <v>1</v>
      </c>
      <c r="R191" s="12">
        <f t="shared" si="56"/>
        <v>0</v>
      </c>
      <c r="S191" s="246">
        <f t="shared" si="57"/>
        <v>0</v>
      </c>
      <c r="T191" s="821">
        <f t="shared" si="58"/>
        <v>0</v>
      </c>
      <c r="U191" s="2689">
        <f t="shared" si="52"/>
        <v>0</v>
      </c>
      <c r="V191" s="2689">
        <f t="shared" si="53"/>
        <v>0</v>
      </c>
      <c r="W191" s="909"/>
      <c r="X191" s="2689">
        <f t="shared" si="54"/>
        <v>0</v>
      </c>
      <c r="Y191" s="2689">
        <f t="shared" si="55"/>
        <v>0</v>
      </c>
      <c r="Z191" s="909"/>
    </row>
    <row r="192" spans="1:26">
      <c r="A192" s="31"/>
      <c r="B192" s="19"/>
      <c r="C192" s="12">
        <f t="shared" si="44"/>
        <v>1</v>
      </c>
      <c r="D192" s="578"/>
      <c r="E192" s="12">
        <f t="shared" si="45"/>
        <v>1</v>
      </c>
      <c r="F192" s="578"/>
      <c r="G192" s="12">
        <f t="shared" si="46"/>
        <v>1</v>
      </c>
      <c r="H192" s="578"/>
      <c r="I192" s="12">
        <f t="shared" si="47"/>
        <v>1</v>
      </c>
      <c r="J192" s="578"/>
      <c r="K192" s="12">
        <f t="shared" si="48"/>
        <v>1</v>
      </c>
      <c r="L192" s="578"/>
      <c r="M192" s="12">
        <f t="shared" si="49"/>
        <v>1</v>
      </c>
      <c r="N192" s="578"/>
      <c r="O192" s="12">
        <f t="shared" si="50"/>
        <v>1</v>
      </c>
      <c r="P192" s="578"/>
      <c r="Q192" s="12">
        <f t="shared" si="51"/>
        <v>1</v>
      </c>
      <c r="R192" s="12">
        <f t="shared" si="56"/>
        <v>0</v>
      </c>
      <c r="S192" s="246">
        <f t="shared" si="57"/>
        <v>0</v>
      </c>
      <c r="T192" s="821">
        <f t="shared" si="58"/>
        <v>0</v>
      </c>
      <c r="U192" s="2689">
        <f t="shared" si="52"/>
        <v>0</v>
      </c>
      <c r="V192" s="2689">
        <f t="shared" si="53"/>
        <v>0</v>
      </c>
      <c r="W192" s="909"/>
      <c r="X192" s="2689">
        <f t="shared" si="54"/>
        <v>0</v>
      </c>
      <c r="Y192" s="2689">
        <f t="shared" si="55"/>
        <v>0</v>
      </c>
      <c r="Z192" s="909"/>
    </row>
    <row r="193" spans="1:26">
      <c r="A193" s="31"/>
      <c r="B193" s="19"/>
      <c r="C193" s="12">
        <f t="shared" si="44"/>
        <v>1</v>
      </c>
      <c r="D193" s="578"/>
      <c r="E193" s="12">
        <f t="shared" si="45"/>
        <v>1</v>
      </c>
      <c r="F193" s="578"/>
      <c r="G193" s="12">
        <f t="shared" si="46"/>
        <v>1</v>
      </c>
      <c r="H193" s="578"/>
      <c r="I193" s="12">
        <f t="shared" si="47"/>
        <v>1</v>
      </c>
      <c r="J193" s="578"/>
      <c r="K193" s="12">
        <f t="shared" si="48"/>
        <v>1</v>
      </c>
      <c r="L193" s="578"/>
      <c r="M193" s="12">
        <f t="shared" si="49"/>
        <v>1</v>
      </c>
      <c r="N193" s="578"/>
      <c r="O193" s="12">
        <f t="shared" si="50"/>
        <v>1</v>
      </c>
      <c r="P193" s="578"/>
      <c r="Q193" s="12">
        <f t="shared" si="51"/>
        <v>1</v>
      </c>
      <c r="R193" s="12">
        <f t="shared" si="56"/>
        <v>0</v>
      </c>
      <c r="S193" s="246">
        <f t="shared" si="57"/>
        <v>0</v>
      </c>
      <c r="T193" s="821">
        <f t="shared" si="58"/>
        <v>0</v>
      </c>
      <c r="U193" s="2689">
        <f t="shared" si="52"/>
        <v>0</v>
      </c>
      <c r="V193" s="2689">
        <f t="shared" si="53"/>
        <v>0</v>
      </c>
      <c r="W193" s="909"/>
      <c r="X193" s="2689">
        <f t="shared" si="54"/>
        <v>0</v>
      </c>
      <c r="Y193" s="2689">
        <f t="shared" si="55"/>
        <v>0</v>
      </c>
      <c r="Z193" s="909"/>
    </row>
    <row r="194" spans="1:26">
      <c r="A194" s="31"/>
      <c r="B194" s="19"/>
      <c r="C194" s="12">
        <f t="shared" si="44"/>
        <v>1</v>
      </c>
      <c r="D194" s="578"/>
      <c r="E194" s="12">
        <f t="shared" si="45"/>
        <v>1</v>
      </c>
      <c r="F194" s="578"/>
      <c r="G194" s="12">
        <f t="shared" si="46"/>
        <v>1</v>
      </c>
      <c r="H194" s="578"/>
      <c r="I194" s="12">
        <f t="shared" si="47"/>
        <v>1</v>
      </c>
      <c r="J194" s="578"/>
      <c r="K194" s="12">
        <f t="shared" si="48"/>
        <v>1</v>
      </c>
      <c r="L194" s="578"/>
      <c r="M194" s="12">
        <f t="shared" si="49"/>
        <v>1</v>
      </c>
      <c r="N194" s="578"/>
      <c r="O194" s="12">
        <f t="shared" si="50"/>
        <v>1</v>
      </c>
      <c r="P194" s="578"/>
      <c r="Q194" s="12">
        <f t="shared" si="51"/>
        <v>1</v>
      </c>
      <c r="R194" s="12">
        <f t="shared" si="56"/>
        <v>0</v>
      </c>
      <c r="S194" s="246">
        <f t="shared" si="57"/>
        <v>0</v>
      </c>
      <c r="T194" s="821">
        <f t="shared" si="58"/>
        <v>0</v>
      </c>
      <c r="U194" s="2689">
        <f t="shared" si="52"/>
        <v>0</v>
      </c>
      <c r="V194" s="2689">
        <f t="shared" si="53"/>
        <v>0</v>
      </c>
      <c r="W194" s="909"/>
      <c r="X194" s="2689">
        <f t="shared" si="54"/>
        <v>0</v>
      </c>
      <c r="Y194" s="2689">
        <f t="shared" si="55"/>
        <v>0</v>
      </c>
      <c r="Z194" s="909"/>
    </row>
    <row r="195" spans="1:26">
      <c r="A195" s="31"/>
      <c r="B195" s="19"/>
      <c r="C195" s="12">
        <f t="shared" si="44"/>
        <v>1</v>
      </c>
      <c r="D195" s="578"/>
      <c r="E195" s="12">
        <f t="shared" si="45"/>
        <v>1</v>
      </c>
      <c r="F195" s="578"/>
      <c r="G195" s="12">
        <f t="shared" si="46"/>
        <v>1</v>
      </c>
      <c r="H195" s="578"/>
      <c r="I195" s="12">
        <f t="shared" si="47"/>
        <v>1</v>
      </c>
      <c r="J195" s="578"/>
      <c r="K195" s="12">
        <f t="shared" si="48"/>
        <v>1</v>
      </c>
      <c r="L195" s="578"/>
      <c r="M195" s="12">
        <f t="shared" si="49"/>
        <v>1</v>
      </c>
      <c r="N195" s="578"/>
      <c r="O195" s="12">
        <f t="shared" si="50"/>
        <v>1</v>
      </c>
      <c r="P195" s="578"/>
      <c r="Q195" s="12">
        <f t="shared" si="51"/>
        <v>1</v>
      </c>
      <c r="R195" s="12">
        <f t="shared" si="56"/>
        <v>0</v>
      </c>
      <c r="S195" s="246">
        <f t="shared" si="57"/>
        <v>0</v>
      </c>
      <c r="T195" s="821">
        <f t="shared" si="58"/>
        <v>0</v>
      </c>
      <c r="U195" s="2689">
        <f t="shared" si="52"/>
        <v>0</v>
      </c>
      <c r="V195" s="2689">
        <f t="shared" si="53"/>
        <v>0</v>
      </c>
      <c r="W195" s="909"/>
      <c r="X195" s="2689">
        <f t="shared" si="54"/>
        <v>0</v>
      </c>
      <c r="Y195" s="2689">
        <f t="shared" si="55"/>
        <v>0</v>
      </c>
      <c r="Z195" s="909"/>
    </row>
    <row r="196" spans="1:26">
      <c r="A196" s="31"/>
      <c r="B196" s="19"/>
      <c r="C196" s="12">
        <f t="shared" si="44"/>
        <v>1</v>
      </c>
      <c r="D196" s="578"/>
      <c r="E196" s="12">
        <f t="shared" si="45"/>
        <v>1</v>
      </c>
      <c r="F196" s="578"/>
      <c r="G196" s="12">
        <f t="shared" si="46"/>
        <v>1</v>
      </c>
      <c r="H196" s="578"/>
      <c r="I196" s="12">
        <f t="shared" si="47"/>
        <v>1</v>
      </c>
      <c r="J196" s="578"/>
      <c r="K196" s="12">
        <f t="shared" si="48"/>
        <v>1</v>
      </c>
      <c r="L196" s="578"/>
      <c r="M196" s="12">
        <f t="shared" si="49"/>
        <v>1</v>
      </c>
      <c r="N196" s="578"/>
      <c r="O196" s="12">
        <f t="shared" si="50"/>
        <v>1</v>
      </c>
      <c r="P196" s="578"/>
      <c r="Q196" s="12">
        <f t="shared" si="51"/>
        <v>1</v>
      </c>
      <c r="R196" s="12">
        <f t="shared" si="56"/>
        <v>0</v>
      </c>
      <c r="S196" s="246">
        <f t="shared" si="57"/>
        <v>0</v>
      </c>
      <c r="T196" s="821">
        <f t="shared" si="58"/>
        <v>0</v>
      </c>
      <c r="U196" s="2689">
        <f t="shared" si="52"/>
        <v>0</v>
      </c>
      <c r="V196" s="2689">
        <f t="shared" si="53"/>
        <v>0</v>
      </c>
      <c r="W196" s="909"/>
      <c r="X196" s="2689">
        <f t="shared" si="54"/>
        <v>0</v>
      </c>
      <c r="Y196" s="2689">
        <f t="shared" si="55"/>
        <v>0</v>
      </c>
      <c r="Z196" s="909"/>
    </row>
    <row r="197" spans="1:26">
      <c r="A197" s="31"/>
      <c r="B197" s="19"/>
      <c r="C197" s="12">
        <f t="shared" si="44"/>
        <v>1</v>
      </c>
      <c r="D197" s="578"/>
      <c r="E197" s="12">
        <f t="shared" si="45"/>
        <v>1</v>
      </c>
      <c r="F197" s="578"/>
      <c r="G197" s="12">
        <f t="shared" si="46"/>
        <v>1</v>
      </c>
      <c r="H197" s="578"/>
      <c r="I197" s="12">
        <f t="shared" si="47"/>
        <v>1</v>
      </c>
      <c r="J197" s="578"/>
      <c r="K197" s="12">
        <f t="shared" si="48"/>
        <v>1</v>
      </c>
      <c r="L197" s="578"/>
      <c r="M197" s="12">
        <f t="shared" si="49"/>
        <v>1</v>
      </c>
      <c r="N197" s="578"/>
      <c r="O197" s="12">
        <f t="shared" si="50"/>
        <v>1</v>
      </c>
      <c r="P197" s="578"/>
      <c r="Q197" s="12">
        <f t="shared" si="51"/>
        <v>1</v>
      </c>
      <c r="R197" s="12">
        <f t="shared" si="56"/>
        <v>0</v>
      </c>
      <c r="S197" s="246">
        <f t="shared" si="57"/>
        <v>0</v>
      </c>
      <c r="T197" s="821">
        <f t="shared" si="58"/>
        <v>0</v>
      </c>
      <c r="U197" s="2689">
        <f t="shared" si="52"/>
        <v>0</v>
      </c>
      <c r="V197" s="2689">
        <f t="shared" si="53"/>
        <v>0</v>
      </c>
      <c r="W197" s="909"/>
      <c r="X197" s="2689">
        <f t="shared" si="54"/>
        <v>0</v>
      </c>
      <c r="Y197" s="2689">
        <f t="shared" si="55"/>
        <v>0</v>
      </c>
      <c r="Z197" s="909"/>
    </row>
    <row r="198" spans="1:26">
      <c r="A198" s="31"/>
      <c r="B198" s="19"/>
      <c r="C198" s="12">
        <f t="shared" si="44"/>
        <v>1</v>
      </c>
      <c r="D198" s="578"/>
      <c r="E198" s="12">
        <f t="shared" si="45"/>
        <v>1</v>
      </c>
      <c r="F198" s="578"/>
      <c r="G198" s="12">
        <f t="shared" si="46"/>
        <v>1</v>
      </c>
      <c r="H198" s="578"/>
      <c r="I198" s="12">
        <f t="shared" si="47"/>
        <v>1</v>
      </c>
      <c r="J198" s="578"/>
      <c r="K198" s="12">
        <f t="shared" si="48"/>
        <v>1</v>
      </c>
      <c r="L198" s="578"/>
      <c r="M198" s="12">
        <f t="shared" si="49"/>
        <v>1</v>
      </c>
      <c r="N198" s="578"/>
      <c r="O198" s="12">
        <f t="shared" si="50"/>
        <v>1</v>
      </c>
      <c r="P198" s="578"/>
      <c r="Q198" s="12">
        <f t="shared" si="51"/>
        <v>1</v>
      </c>
      <c r="R198" s="12">
        <f t="shared" si="56"/>
        <v>0</v>
      </c>
      <c r="S198" s="246">
        <f t="shared" si="57"/>
        <v>0</v>
      </c>
      <c r="T198" s="821">
        <f t="shared" si="58"/>
        <v>0</v>
      </c>
      <c r="U198" s="2689">
        <f t="shared" si="52"/>
        <v>0</v>
      </c>
      <c r="V198" s="2689">
        <f t="shared" si="53"/>
        <v>0</v>
      </c>
      <c r="W198" s="909"/>
      <c r="X198" s="2689">
        <f t="shared" si="54"/>
        <v>0</v>
      </c>
      <c r="Y198" s="2689">
        <f t="shared" si="55"/>
        <v>0</v>
      </c>
      <c r="Z198" s="909"/>
    </row>
    <row r="199" spans="1:26">
      <c r="A199" s="31"/>
      <c r="B199" s="19"/>
      <c r="C199" s="12">
        <f t="shared" si="44"/>
        <v>1</v>
      </c>
      <c r="D199" s="578"/>
      <c r="E199" s="12">
        <f t="shared" si="45"/>
        <v>1</v>
      </c>
      <c r="F199" s="578"/>
      <c r="G199" s="12">
        <f t="shared" si="46"/>
        <v>1</v>
      </c>
      <c r="H199" s="578"/>
      <c r="I199" s="12">
        <f t="shared" si="47"/>
        <v>1</v>
      </c>
      <c r="J199" s="578"/>
      <c r="K199" s="12">
        <f t="shared" si="48"/>
        <v>1</v>
      </c>
      <c r="L199" s="578"/>
      <c r="M199" s="12">
        <f t="shared" si="49"/>
        <v>1</v>
      </c>
      <c r="N199" s="578"/>
      <c r="O199" s="12">
        <f t="shared" si="50"/>
        <v>1</v>
      </c>
      <c r="P199" s="578"/>
      <c r="Q199" s="12">
        <f t="shared" si="51"/>
        <v>1</v>
      </c>
      <c r="R199" s="12">
        <f t="shared" si="56"/>
        <v>0</v>
      </c>
      <c r="S199" s="246">
        <f t="shared" si="57"/>
        <v>0</v>
      </c>
      <c r="T199" s="821">
        <f t="shared" si="58"/>
        <v>0</v>
      </c>
      <c r="U199" s="2689">
        <f t="shared" si="52"/>
        <v>0</v>
      </c>
      <c r="V199" s="2689">
        <f t="shared" si="53"/>
        <v>0</v>
      </c>
      <c r="W199" s="909"/>
      <c r="X199" s="2689">
        <f t="shared" si="54"/>
        <v>0</v>
      </c>
      <c r="Y199" s="2689">
        <f t="shared" si="55"/>
        <v>0</v>
      </c>
      <c r="Z199" s="909"/>
    </row>
    <row r="200" spans="1:26">
      <c r="A200" s="31"/>
      <c r="B200" s="19"/>
      <c r="C200" s="12">
        <f t="shared" si="44"/>
        <v>1</v>
      </c>
      <c r="D200" s="578"/>
      <c r="E200" s="12">
        <f t="shared" si="45"/>
        <v>1</v>
      </c>
      <c r="F200" s="578"/>
      <c r="G200" s="12">
        <f t="shared" si="46"/>
        <v>1</v>
      </c>
      <c r="H200" s="578"/>
      <c r="I200" s="12">
        <f t="shared" si="47"/>
        <v>1</v>
      </c>
      <c r="J200" s="578"/>
      <c r="K200" s="12">
        <f t="shared" si="48"/>
        <v>1</v>
      </c>
      <c r="L200" s="578"/>
      <c r="M200" s="12">
        <f t="shared" si="49"/>
        <v>1</v>
      </c>
      <c r="N200" s="578"/>
      <c r="O200" s="12">
        <f t="shared" si="50"/>
        <v>1</v>
      </c>
      <c r="P200" s="578"/>
      <c r="Q200" s="12">
        <f t="shared" si="51"/>
        <v>1</v>
      </c>
      <c r="R200" s="12">
        <f t="shared" si="56"/>
        <v>0</v>
      </c>
      <c r="S200" s="246">
        <f t="shared" si="57"/>
        <v>0</v>
      </c>
      <c r="T200" s="821">
        <f t="shared" si="58"/>
        <v>0</v>
      </c>
      <c r="U200" s="2689">
        <f t="shared" si="52"/>
        <v>0</v>
      </c>
      <c r="V200" s="2689">
        <f t="shared" si="53"/>
        <v>0</v>
      </c>
      <c r="W200" s="909"/>
      <c r="X200" s="2689">
        <f t="shared" si="54"/>
        <v>0</v>
      </c>
      <c r="Y200" s="2689">
        <f t="shared" si="55"/>
        <v>0</v>
      </c>
      <c r="Z200" s="909"/>
    </row>
    <row r="201" spans="1:26">
      <c r="A201" s="31"/>
      <c r="B201" s="19"/>
      <c r="C201" s="12">
        <f t="shared" si="44"/>
        <v>1</v>
      </c>
      <c r="D201" s="578"/>
      <c r="E201" s="12">
        <f t="shared" si="45"/>
        <v>1</v>
      </c>
      <c r="F201" s="578"/>
      <c r="G201" s="12">
        <f t="shared" si="46"/>
        <v>1</v>
      </c>
      <c r="H201" s="578"/>
      <c r="I201" s="12">
        <f t="shared" si="47"/>
        <v>1</v>
      </c>
      <c r="J201" s="578"/>
      <c r="K201" s="12">
        <f t="shared" si="48"/>
        <v>1</v>
      </c>
      <c r="L201" s="578"/>
      <c r="M201" s="12">
        <f t="shared" si="49"/>
        <v>1</v>
      </c>
      <c r="N201" s="578"/>
      <c r="O201" s="12">
        <f t="shared" si="50"/>
        <v>1</v>
      </c>
      <c r="P201" s="578"/>
      <c r="Q201" s="12">
        <f t="shared" si="51"/>
        <v>1</v>
      </c>
      <c r="R201" s="12">
        <f t="shared" si="56"/>
        <v>0</v>
      </c>
      <c r="S201" s="246">
        <f t="shared" si="57"/>
        <v>0</v>
      </c>
      <c r="T201" s="821">
        <f t="shared" si="58"/>
        <v>0</v>
      </c>
      <c r="U201" s="2689">
        <f t="shared" si="52"/>
        <v>0</v>
      </c>
      <c r="V201" s="2689">
        <f t="shared" si="53"/>
        <v>0</v>
      </c>
      <c r="W201" s="909"/>
      <c r="X201" s="2689">
        <f t="shared" si="54"/>
        <v>0</v>
      </c>
      <c r="Y201" s="2689">
        <f t="shared" si="55"/>
        <v>0</v>
      </c>
      <c r="Z201" s="909"/>
    </row>
    <row r="202" spans="1:26">
      <c r="A202" s="31"/>
      <c r="B202" s="19"/>
      <c r="C202" s="12">
        <f t="shared" si="44"/>
        <v>1</v>
      </c>
      <c r="D202" s="578"/>
      <c r="E202" s="12">
        <f t="shared" si="45"/>
        <v>1</v>
      </c>
      <c r="F202" s="578"/>
      <c r="G202" s="12">
        <f t="shared" si="46"/>
        <v>1</v>
      </c>
      <c r="H202" s="578"/>
      <c r="I202" s="12">
        <f t="shared" si="47"/>
        <v>1</v>
      </c>
      <c r="J202" s="578"/>
      <c r="K202" s="12">
        <f t="shared" si="48"/>
        <v>1</v>
      </c>
      <c r="L202" s="578"/>
      <c r="M202" s="12">
        <f t="shared" si="49"/>
        <v>1</v>
      </c>
      <c r="N202" s="578"/>
      <c r="O202" s="12">
        <f t="shared" si="50"/>
        <v>1</v>
      </c>
      <c r="P202" s="578"/>
      <c r="Q202" s="12">
        <f t="shared" si="51"/>
        <v>1</v>
      </c>
      <c r="R202" s="12">
        <f t="shared" si="56"/>
        <v>0</v>
      </c>
      <c r="S202" s="246">
        <f t="shared" si="57"/>
        <v>0</v>
      </c>
      <c r="T202" s="821">
        <f t="shared" si="58"/>
        <v>0</v>
      </c>
      <c r="U202" s="2689">
        <f t="shared" si="52"/>
        <v>0</v>
      </c>
      <c r="V202" s="2689">
        <f t="shared" si="53"/>
        <v>0</v>
      </c>
      <c r="W202" s="909"/>
      <c r="X202" s="2689">
        <f t="shared" si="54"/>
        <v>0</v>
      </c>
      <c r="Y202" s="2689">
        <f t="shared" si="55"/>
        <v>0</v>
      </c>
      <c r="Z202" s="909"/>
    </row>
    <row r="203" spans="1:26">
      <c r="A203" s="31"/>
      <c r="B203" s="19"/>
      <c r="C203" s="12">
        <f t="shared" si="44"/>
        <v>1</v>
      </c>
      <c r="D203" s="578"/>
      <c r="E203" s="12">
        <f t="shared" si="45"/>
        <v>1</v>
      </c>
      <c r="F203" s="578"/>
      <c r="G203" s="12">
        <f t="shared" si="46"/>
        <v>1</v>
      </c>
      <c r="H203" s="578"/>
      <c r="I203" s="12">
        <f t="shared" si="47"/>
        <v>1</v>
      </c>
      <c r="J203" s="578"/>
      <c r="K203" s="12">
        <f t="shared" si="48"/>
        <v>1</v>
      </c>
      <c r="L203" s="578"/>
      <c r="M203" s="12">
        <f t="shared" si="49"/>
        <v>1</v>
      </c>
      <c r="N203" s="578"/>
      <c r="O203" s="12">
        <f t="shared" si="50"/>
        <v>1</v>
      </c>
      <c r="P203" s="578"/>
      <c r="Q203" s="12">
        <f t="shared" si="51"/>
        <v>1</v>
      </c>
      <c r="R203" s="12">
        <f t="shared" si="56"/>
        <v>0</v>
      </c>
      <c r="S203" s="246">
        <f t="shared" si="57"/>
        <v>0</v>
      </c>
      <c r="T203" s="821">
        <f t="shared" si="58"/>
        <v>0</v>
      </c>
      <c r="U203" s="2689">
        <f t="shared" si="52"/>
        <v>0</v>
      </c>
      <c r="V203" s="2689">
        <f t="shared" si="53"/>
        <v>0</v>
      </c>
      <c r="W203" s="909"/>
      <c r="X203" s="2689">
        <f t="shared" si="54"/>
        <v>0</v>
      </c>
      <c r="Y203" s="2689">
        <f t="shared" si="55"/>
        <v>0</v>
      </c>
      <c r="Z203" s="909"/>
    </row>
    <row r="204" spans="1:26">
      <c r="A204" s="31"/>
      <c r="B204" s="19"/>
      <c r="C204" s="12">
        <f t="shared" si="44"/>
        <v>1</v>
      </c>
      <c r="D204" s="578"/>
      <c r="E204" s="12">
        <f t="shared" si="45"/>
        <v>1</v>
      </c>
      <c r="F204" s="578"/>
      <c r="G204" s="12">
        <f t="shared" si="46"/>
        <v>1</v>
      </c>
      <c r="H204" s="578"/>
      <c r="I204" s="12">
        <f t="shared" si="47"/>
        <v>1</v>
      </c>
      <c r="J204" s="578"/>
      <c r="K204" s="12">
        <f t="shared" si="48"/>
        <v>1</v>
      </c>
      <c r="L204" s="578"/>
      <c r="M204" s="12">
        <f t="shared" si="49"/>
        <v>1</v>
      </c>
      <c r="N204" s="578"/>
      <c r="O204" s="12">
        <f t="shared" si="50"/>
        <v>1</v>
      </c>
      <c r="P204" s="578"/>
      <c r="Q204" s="12">
        <f t="shared" si="51"/>
        <v>1</v>
      </c>
      <c r="R204" s="12">
        <f t="shared" si="56"/>
        <v>0</v>
      </c>
      <c r="S204" s="246">
        <f t="shared" si="57"/>
        <v>0</v>
      </c>
      <c r="T204" s="821">
        <f t="shared" si="58"/>
        <v>0</v>
      </c>
      <c r="U204" s="2689">
        <f t="shared" si="52"/>
        <v>0</v>
      </c>
      <c r="V204" s="2689">
        <f t="shared" si="53"/>
        <v>0</v>
      </c>
      <c r="W204" s="909"/>
      <c r="X204" s="2689">
        <f t="shared" si="54"/>
        <v>0</v>
      </c>
      <c r="Y204" s="2689">
        <f t="shared" si="55"/>
        <v>0</v>
      </c>
      <c r="Z204" s="909"/>
    </row>
    <row r="205" spans="1:26">
      <c r="A205" s="31"/>
      <c r="B205" s="19"/>
      <c r="C205" s="12">
        <f t="shared" si="44"/>
        <v>1</v>
      </c>
      <c r="D205" s="578"/>
      <c r="E205" s="12">
        <f t="shared" si="45"/>
        <v>1</v>
      </c>
      <c r="F205" s="578"/>
      <c r="G205" s="12">
        <f t="shared" si="46"/>
        <v>1</v>
      </c>
      <c r="H205" s="578"/>
      <c r="I205" s="12">
        <f t="shared" si="47"/>
        <v>1</v>
      </c>
      <c r="J205" s="578"/>
      <c r="K205" s="12">
        <f t="shared" si="48"/>
        <v>1</v>
      </c>
      <c r="L205" s="578"/>
      <c r="M205" s="12">
        <f t="shared" si="49"/>
        <v>1</v>
      </c>
      <c r="N205" s="578"/>
      <c r="O205" s="12">
        <f t="shared" si="50"/>
        <v>1</v>
      </c>
      <c r="P205" s="578"/>
      <c r="Q205" s="12">
        <f t="shared" si="51"/>
        <v>1</v>
      </c>
      <c r="R205" s="12">
        <f t="shared" si="56"/>
        <v>0</v>
      </c>
      <c r="S205" s="246">
        <f t="shared" si="57"/>
        <v>0</v>
      </c>
      <c r="T205" s="821">
        <f t="shared" si="58"/>
        <v>0</v>
      </c>
      <c r="U205" s="2689">
        <f t="shared" si="52"/>
        <v>0</v>
      </c>
      <c r="V205" s="2689">
        <f t="shared" si="53"/>
        <v>0</v>
      </c>
      <c r="W205" s="909"/>
      <c r="X205" s="2689">
        <f t="shared" si="54"/>
        <v>0</v>
      </c>
      <c r="Y205" s="2689">
        <f t="shared" si="55"/>
        <v>0</v>
      </c>
      <c r="Z205" s="909"/>
    </row>
    <row r="206" spans="1:26">
      <c r="A206" s="31"/>
      <c r="B206" s="19"/>
      <c r="C206" s="12">
        <f t="shared" si="44"/>
        <v>1</v>
      </c>
      <c r="D206" s="578"/>
      <c r="E206" s="12">
        <f t="shared" si="45"/>
        <v>1</v>
      </c>
      <c r="F206" s="578"/>
      <c r="G206" s="12">
        <f t="shared" si="46"/>
        <v>1</v>
      </c>
      <c r="H206" s="578"/>
      <c r="I206" s="12">
        <f t="shared" si="47"/>
        <v>1</v>
      </c>
      <c r="J206" s="578"/>
      <c r="K206" s="12">
        <f t="shared" si="48"/>
        <v>1</v>
      </c>
      <c r="L206" s="578"/>
      <c r="M206" s="12">
        <f t="shared" si="49"/>
        <v>1</v>
      </c>
      <c r="N206" s="578"/>
      <c r="O206" s="12">
        <f t="shared" si="50"/>
        <v>1</v>
      </c>
      <c r="P206" s="578"/>
      <c r="Q206" s="12">
        <f t="shared" si="51"/>
        <v>1</v>
      </c>
      <c r="R206" s="12">
        <f t="shared" si="56"/>
        <v>0</v>
      </c>
      <c r="S206" s="246">
        <f t="shared" si="57"/>
        <v>0</v>
      </c>
      <c r="T206" s="821">
        <f t="shared" si="58"/>
        <v>0</v>
      </c>
      <c r="U206" s="2689">
        <f t="shared" si="52"/>
        <v>0</v>
      </c>
      <c r="V206" s="2689">
        <f t="shared" si="53"/>
        <v>0</v>
      </c>
      <c r="W206" s="909"/>
      <c r="X206" s="2689">
        <f t="shared" si="54"/>
        <v>0</v>
      </c>
      <c r="Y206" s="2689">
        <f t="shared" si="55"/>
        <v>0</v>
      </c>
      <c r="Z206" s="909"/>
    </row>
    <row r="207" spans="1:26">
      <c r="A207" s="31"/>
      <c r="B207" s="19"/>
      <c r="C207" s="12">
        <f t="shared" si="44"/>
        <v>1</v>
      </c>
      <c r="D207" s="578"/>
      <c r="E207" s="12">
        <f t="shared" si="45"/>
        <v>1</v>
      </c>
      <c r="F207" s="578"/>
      <c r="G207" s="12">
        <f t="shared" si="46"/>
        <v>1</v>
      </c>
      <c r="H207" s="578"/>
      <c r="I207" s="12">
        <f t="shared" si="47"/>
        <v>1</v>
      </c>
      <c r="J207" s="578"/>
      <c r="K207" s="12">
        <f t="shared" si="48"/>
        <v>1</v>
      </c>
      <c r="L207" s="578"/>
      <c r="M207" s="12">
        <f t="shared" si="49"/>
        <v>1</v>
      </c>
      <c r="N207" s="578"/>
      <c r="O207" s="12">
        <f t="shared" si="50"/>
        <v>1</v>
      </c>
      <c r="P207" s="578"/>
      <c r="Q207" s="12">
        <f t="shared" si="51"/>
        <v>1</v>
      </c>
      <c r="R207" s="12">
        <f t="shared" si="56"/>
        <v>0</v>
      </c>
      <c r="S207" s="246">
        <f t="shared" si="57"/>
        <v>0</v>
      </c>
      <c r="T207" s="821">
        <f t="shared" si="58"/>
        <v>0</v>
      </c>
      <c r="U207" s="2689">
        <f t="shared" si="52"/>
        <v>0</v>
      </c>
      <c r="V207" s="2689">
        <f t="shared" si="53"/>
        <v>0</v>
      </c>
      <c r="W207" s="909"/>
      <c r="X207" s="2689">
        <f t="shared" si="54"/>
        <v>0</v>
      </c>
      <c r="Y207" s="2689">
        <f t="shared" si="55"/>
        <v>0</v>
      </c>
      <c r="Z207" s="909"/>
    </row>
    <row r="208" spans="1:26">
      <c r="A208" s="31"/>
      <c r="B208" s="19"/>
      <c r="C208" s="12">
        <f t="shared" si="44"/>
        <v>1</v>
      </c>
      <c r="D208" s="578"/>
      <c r="E208" s="12">
        <f t="shared" si="45"/>
        <v>1</v>
      </c>
      <c r="F208" s="578"/>
      <c r="G208" s="12">
        <f t="shared" si="46"/>
        <v>1</v>
      </c>
      <c r="H208" s="578"/>
      <c r="I208" s="12">
        <f t="shared" si="47"/>
        <v>1</v>
      </c>
      <c r="J208" s="578"/>
      <c r="K208" s="12">
        <f t="shared" si="48"/>
        <v>1</v>
      </c>
      <c r="L208" s="578"/>
      <c r="M208" s="12">
        <f t="shared" si="49"/>
        <v>1</v>
      </c>
      <c r="N208" s="578"/>
      <c r="O208" s="12">
        <f t="shared" si="50"/>
        <v>1</v>
      </c>
      <c r="P208" s="578"/>
      <c r="Q208" s="12">
        <f t="shared" si="51"/>
        <v>1</v>
      </c>
      <c r="R208" s="12">
        <f t="shared" si="56"/>
        <v>0</v>
      </c>
      <c r="S208" s="246">
        <f t="shared" si="57"/>
        <v>0</v>
      </c>
      <c r="T208" s="821">
        <f t="shared" si="58"/>
        <v>0</v>
      </c>
      <c r="U208" s="2689">
        <f t="shared" si="52"/>
        <v>0</v>
      </c>
      <c r="V208" s="2689">
        <f t="shared" si="53"/>
        <v>0</v>
      </c>
      <c r="W208" s="909"/>
      <c r="X208" s="2689">
        <f t="shared" si="54"/>
        <v>0</v>
      </c>
      <c r="Y208" s="2689">
        <f t="shared" si="55"/>
        <v>0</v>
      </c>
      <c r="Z208" s="909"/>
    </row>
    <row r="209" spans="1:26">
      <c r="A209" s="31"/>
      <c r="B209" s="19"/>
      <c r="C209" s="12">
        <f t="shared" si="44"/>
        <v>1</v>
      </c>
      <c r="D209" s="578"/>
      <c r="E209" s="12">
        <f t="shared" si="45"/>
        <v>1</v>
      </c>
      <c r="F209" s="578"/>
      <c r="G209" s="12">
        <f t="shared" si="46"/>
        <v>1</v>
      </c>
      <c r="H209" s="578"/>
      <c r="I209" s="12">
        <f t="shared" si="47"/>
        <v>1</v>
      </c>
      <c r="J209" s="578"/>
      <c r="K209" s="12">
        <f t="shared" si="48"/>
        <v>1</v>
      </c>
      <c r="L209" s="578"/>
      <c r="M209" s="12">
        <f t="shared" si="49"/>
        <v>1</v>
      </c>
      <c r="N209" s="578"/>
      <c r="O209" s="12">
        <f t="shared" si="50"/>
        <v>1</v>
      </c>
      <c r="P209" s="578"/>
      <c r="Q209" s="12">
        <f t="shared" si="51"/>
        <v>1</v>
      </c>
      <c r="R209" s="12">
        <f t="shared" si="56"/>
        <v>0</v>
      </c>
      <c r="S209" s="246">
        <f t="shared" si="57"/>
        <v>0</v>
      </c>
      <c r="T209" s="821">
        <f t="shared" si="58"/>
        <v>0</v>
      </c>
      <c r="U209" s="2689">
        <f t="shared" si="52"/>
        <v>0</v>
      </c>
      <c r="V209" s="2689">
        <f t="shared" si="53"/>
        <v>0</v>
      </c>
      <c r="W209" s="909"/>
      <c r="X209" s="2689">
        <f t="shared" si="54"/>
        <v>0</v>
      </c>
      <c r="Y209" s="2689">
        <f t="shared" si="55"/>
        <v>0</v>
      </c>
      <c r="Z209" s="909"/>
    </row>
    <row r="210" spans="1:26">
      <c r="A210" s="31"/>
      <c r="B210" s="19"/>
      <c r="C210" s="12">
        <f t="shared" si="44"/>
        <v>1</v>
      </c>
      <c r="D210" s="578"/>
      <c r="E210" s="12">
        <f t="shared" si="45"/>
        <v>1</v>
      </c>
      <c r="F210" s="578"/>
      <c r="G210" s="12">
        <f t="shared" si="46"/>
        <v>1</v>
      </c>
      <c r="H210" s="578"/>
      <c r="I210" s="12">
        <f t="shared" si="47"/>
        <v>1</v>
      </c>
      <c r="J210" s="578"/>
      <c r="K210" s="12">
        <f t="shared" si="48"/>
        <v>1</v>
      </c>
      <c r="L210" s="578"/>
      <c r="M210" s="12">
        <f t="shared" si="49"/>
        <v>1</v>
      </c>
      <c r="N210" s="578"/>
      <c r="O210" s="12">
        <f t="shared" si="50"/>
        <v>1</v>
      </c>
      <c r="P210" s="578"/>
      <c r="Q210" s="12">
        <f t="shared" si="51"/>
        <v>1</v>
      </c>
      <c r="R210" s="12">
        <f t="shared" si="56"/>
        <v>0</v>
      </c>
      <c r="S210" s="246">
        <f t="shared" si="57"/>
        <v>0</v>
      </c>
      <c r="T210" s="821">
        <f t="shared" si="58"/>
        <v>0</v>
      </c>
      <c r="U210" s="2689">
        <f t="shared" si="52"/>
        <v>0</v>
      </c>
      <c r="V210" s="2689">
        <f t="shared" si="53"/>
        <v>0</v>
      </c>
      <c r="W210" s="909"/>
      <c r="X210" s="2689">
        <f t="shared" si="54"/>
        <v>0</v>
      </c>
      <c r="Y210" s="2689">
        <f t="shared" si="55"/>
        <v>0</v>
      </c>
      <c r="Z210" s="909"/>
    </row>
    <row r="211" spans="1:26">
      <c r="A211" s="31"/>
      <c r="B211" s="19"/>
      <c r="C211" s="12">
        <f t="shared" si="44"/>
        <v>1</v>
      </c>
      <c r="D211" s="578"/>
      <c r="E211" s="12">
        <f t="shared" si="45"/>
        <v>1</v>
      </c>
      <c r="F211" s="578"/>
      <c r="G211" s="12">
        <f t="shared" si="46"/>
        <v>1</v>
      </c>
      <c r="H211" s="578"/>
      <c r="I211" s="12">
        <f t="shared" si="47"/>
        <v>1</v>
      </c>
      <c r="J211" s="578"/>
      <c r="K211" s="12">
        <f t="shared" si="48"/>
        <v>1</v>
      </c>
      <c r="L211" s="578"/>
      <c r="M211" s="12">
        <f t="shared" si="49"/>
        <v>1</v>
      </c>
      <c r="N211" s="578"/>
      <c r="O211" s="12">
        <f t="shared" si="50"/>
        <v>1</v>
      </c>
      <c r="P211" s="578"/>
      <c r="Q211" s="12">
        <f t="shared" si="51"/>
        <v>1</v>
      </c>
      <c r="R211" s="12">
        <f t="shared" si="56"/>
        <v>0</v>
      </c>
      <c r="S211" s="246">
        <f t="shared" si="57"/>
        <v>0</v>
      </c>
      <c r="T211" s="821">
        <f t="shared" si="58"/>
        <v>0</v>
      </c>
      <c r="U211" s="2689">
        <f t="shared" si="52"/>
        <v>0</v>
      </c>
      <c r="V211" s="2689">
        <f t="shared" si="53"/>
        <v>0</v>
      </c>
      <c r="W211" s="909"/>
      <c r="X211" s="2689">
        <f t="shared" si="54"/>
        <v>0</v>
      </c>
      <c r="Y211" s="2689">
        <f t="shared" si="55"/>
        <v>0</v>
      </c>
      <c r="Z211" s="909"/>
    </row>
    <row r="212" spans="1:26">
      <c r="A212" s="31"/>
      <c r="B212" s="19"/>
      <c r="C212" s="12">
        <f t="shared" si="44"/>
        <v>1</v>
      </c>
      <c r="D212" s="578"/>
      <c r="E212" s="12">
        <f t="shared" si="45"/>
        <v>1</v>
      </c>
      <c r="F212" s="578"/>
      <c r="G212" s="12">
        <f t="shared" si="46"/>
        <v>1</v>
      </c>
      <c r="H212" s="578"/>
      <c r="I212" s="12">
        <f t="shared" si="47"/>
        <v>1</v>
      </c>
      <c r="J212" s="578"/>
      <c r="K212" s="12">
        <f t="shared" si="48"/>
        <v>1</v>
      </c>
      <c r="L212" s="578"/>
      <c r="M212" s="12">
        <f t="shared" si="49"/>
        <v>1</v>
      </c>
      <c r="N212" s="578"/>
      <c r="O212" s="12">
        <f t="shared" si="50"/>
        <v>1</v>
      </c>
      <c r="P212" s="578"/>
      <c r="Q212" s="12">
        <f t="shared" si="51"/>
        <v>1</v>
      </c>
      <c r="R212" s="12">
        <f t="shared" si="56"/>
        <v>0</v>
      </c>
      <c r="S212" s="246">
        <f t="shared" si="57"/>
        <v>0</v>
      </c>
      <c r="T212" s="821">
        <f t="shared" si="58"/>
        <v>0</v>
      </c>
      <c r="U212" s="2689">
        <f t="shared" si="52"/>
        <v>0</v>
      </c>
      <c r="V212" s="2689">
        <f t="shared" si="53"/>
        <v>0</v>
      </c>
      <c r="W212" s="909"/>
      <c r="X212" s="2689">
        <f t="shared" si="54"/>
        <v>0</v>
      </c>
      <c r="Y212" s="2689">
        <f t="shared" si="55"/>
        <v>0</v>
      </c>
      <c r="Z212" s="909"/>
    </row>
    <row r="213" spans="1:26">
      <c r="A213" s="31"/>
      <c r="B213" s="19"/>
      <c r="C213" s="12">
        <f t="shared" si="44"/>
        <v>1</v>
      </c>
      <c r="D213" s="578"/>
      <c r="E213" s="12">
        <f t="shared" si="45"/>
        <v>1</v>
      </c>
      <c r="F213" s="578"/>
      <c r="G213" s="12">
        <f t="shared" si="46"/>
        <v>1</v>
      </c>
      <c r="H213" s="578"/>
      <c r="I213" s="12">
        <f t="shared" si="47"/>
        <v>1</v>
      </c>
      <c r="J213" s="578"/>
      <c r="K213" s="12">
        <f t="shared" si="48"/>
        <v>1</v>
      </c>
      <c r="L213" s="578"/>
      <c r="M213" s="12">
        <f t="shared" si="49"/>
        <v>1</v>
      </c>
      <c r="N213" s="578"/>
      <c r="O213" s="12">
        <f t="shared" si="50"/>
        <v>1</v>
      </c>
      <c r="P213" s="578"/>
      <c r="Q213" s="12">
        <f t="shared" si="51"/>
        <v>1</v>
      </c>
      <c r="R213" s="12">
        <f t="shared" si="56"/>
        <v>0</v>
      </c>
      <c r="S213" s="246">
        <f t="shared" si="57"/>
        <v>0</v>
      </c>
      <c r="T213" s="821">
        <f t="shared" si="58"/>
        <v>0</v>
      </c>
      <c r="U213" s="2689">
        <f t="shared" si="52"/>
        <v>0</v>
      </c>
      <c r="V213" s="2689">
        <f t="shared" si="53"/>
        <v>0</v>
      </c>
      <c r="W213" s="909"/>
      <c r="X213" s="2689">
        <f t="shared" si="54"/>
        <v>0</v>
      </c>
      <c r="Y213" s="2689">
        <f t="shared" si="55"/>
        <v>0</v>
      </c>
      <c r="Z213" s="909"/>
    </row>
    <row r="214" spans="1:26">
      <c r="A214" s="31"/>
      <c r="B214" s="19"/>
      <c r="C214" s="12">
        <f t="shared" si="44"/>
        <v>1</v>
      </c>
      <c r="D214" s="578"/>
      <c r="E214" s="12">
        <f t="shared" si="45"/>
        <v>1</v>
      </c>
      <c r="F214" s="578"/>
      <c r="G214" s="12">
        <f t="shared" si="46"/>
        <v>1</v>
      </c>
      <c r="H214" s="578"/>
      <c r="I214" s="12">
        <f t="shared" si="47"/>
        <v>1</v>
      </c>
      <c r="J214" s="578"/>
      <c r="K214" s="12">
        <f t="shared" si="48"/>
        <v>1</v>
      </c>
      <c r="L214" s="578"/>
      <c r="M214" s="12">
        <f t="shared" si="49"/>
        <v>1</v>
      </c>
      <c r="N214" s="578"/>
      <c r="O214" s="12">
        <f t="shared" si="50"/>
        <v>1</v>
      </c>
      <c r="P214" s="578"/>
      <c r="Q214" s="12">
        <f t="shared" si="51"/>
        <v>1</v>
      </c>
      <c r="R214" s="12">
        <f t="shared" si="56"/>
        <v>0</v>
      </c>
      <c r="S214" s="246">
        <f t="shared" si="57"/>
        <v>0</v>
      </c>
      <c r="T214" s="821">
        <f t="shared" si="58"/>
        <v>0</v>
      </c>
      <c r="U214" s="2689">
        <f t="shared" si="52"/>
        <v>0</v>
      </c>
      <c r="V214" s="2689">
        <f t="shared" si="53"/>
        <v>0</v>
      </c>
      <c r="W214" s="909"/>
      <c r="X214" s="2689">
        <f t="shared" si="54"/>
        <v>0</v>
      </c>
      <c r="Y214" s="2689">
        <f t="shared" si="55"/>
        <v>0</v>
      </c>
      <c r="Z214" s="909"/>
    </row>
    <row r="215" spans="1:26">
      <c r="A215" s="31"/>
      <c r="B215" s="19"/>
      <c r="C215" s="12">
        <f t="shared" si="44"/>
        <v>1</v>
      </c>
      <c r="D215" s="578"/>
      <c r="E215" s="12">
        <f t="shared" si="45"/>
        <v>1</v>
      </c>
      <c r="F215" s="578"/>
      <c r="G215" s="12">
        <f t="shared" si="46"/>
        <v>1</v>
      </c>
      <c r="H215" s="578"/>
      <c r="I215" s="12">
        <f t="shared" si="47"/>
        <v>1</v>
      </c>
      <c r="J215" s="578"/>
      <c r="K215" s="12">
        <f t="shared" si="48"/>
        <v>1</v>
      </c>
      <c r="L215" s="578"/>
      <c r="M215" s="12">
        <f t="shared" si="49"/>
        <v>1</v>
      </c>
      <c r="N215" s="578"/>
      <c r="O215" s="12">
        <f t="shared" si="50"/>
        <v>1</v>
      </c>
      <c r="P215" s="578"/>
      <c r="Q215" s="12">
        <f t="shared" si="51"/>
        <v>1</v>
      </c>
      <c r="R215" s="12">
        <f t="shared" si="56"/>
        <v>0</v>
      </c>
      <c r="S215" s="246">
        <f t="shared" si="57"/>
        <v>0</v>
      </c>
      <c r="T215" s="821">
        <f t="shared" si="58"/>
        <v>0</v>
      </c>
      <c r="U215" s="2689">
        <f t="shared" si="52"/>
        <v>0</v>
      </c>
      <c r="V215" s="2689">
        <f t="shared" si="53"/>
        <v>0</v>
      </c>
      <c r="W215" s="909"/>
      <c r="X215" s="2689">
        <f t="shared" si="54"/>
        <v>0</v>
      </c>
      <c r="Y215" s="2689">
        <f t="shared" si="55"/>
        <v>0</v>
      </c>
      <c r="Z215" s="909"/>
    </row>
    <row r="216" spans="1:26">
      <c r="A216" s="31"/>
      <c r="B216" s="19"/>
      <c r="C216" s="12">
        <f t="shared" si="44"/>
        <v>1</v>
      </c>
      <c r="D216" s="578"/>
      <c r="E216" s="12">
        <f t="shared" si="45"/>
        <v>1</v>
      </c>
      <c r="F216" s="578"/>
      <c r="G216" s="12">
        <f t="shared" si="46"/>
        <v>1</v>
      </c>
      <c r="H216" s="578"/>
      <c r="I216" s="12">
        <f t="shared" si="47"/>
        <v>1</v>
      </c>
      <c r="J216" s="578"/>
      <c r="K216" s="12">
        <f t="shared" si="48"/>
        <v>1</v>
      </c>
      <c r="L216" s="578"/>
      <c r="M216" s="12">
        <f t="shared" si="49"/>
        <v>1</v>
      </c>
      <c r="N216" s="578"/>
      <c r="O216" s="12">
        <f t="shared" si="50"/>
        <v>1</v>
      </c>
      <c r="P216" s="578"/>
      <c r="Q216" s="12">
        <f t="shared" si="51"/>
        <v>1</v>
      </c>
      <c r="R216" s="12">
        <f t="shared" si="56"/>
        <v>0</v>
      </c>
      <c r="S216" s="246">
        <f t="shared" si="57"/>
        <v>0</v>
      </c>
      <c r="T216" s="821">
        <f t="shared" si="58"/>
        <v>0</v>
      </c>
      <c r="U216" s="2689">
        <f t="shared" si="52"/>
        <v>0</v>
      </c>
      <c r="V216" s="2689">
        <f t="shared" si="53"/>
        <v>0</v>
      </c>
      <c r="W216" s="909"/>
      <c r="X216" s="2689">
        <f t="shared" si="54"/>
        <v>0</v>
      </c>
      <c r="Y216" s="2689">
        <f t="shared" si="55"/>
        <v>0</v>
      </c>
      <c r="Z216" s="909"/>
    </row>
    <row r="217" spans="1:26">
      <c r="A217" s="31"/>
      <c r="B217" s="19"/>
      <c r="C217" s="12">
        <f t="shared" si="44"/>
        <v>1</v>
      </c>
      <c r="D217" s="578"/>
      <c r="E217" s="12">
        <f t="shared" si="45"/>
        <v>1</v>
      </c>
      <c r="F217" s="578"/>
      <c r="G217" s="12">
        <f t="shared" si="46"/>
        <v>1</v>
      </c>
      <c r="H217" s="578"/>
      <c r="I217" s="12">
        <f t="shared" si="47"/>
        <v>1</v>
      </c>
      <c r="J217" s="578"/>
      <c r="K217" s="12">
        <f t="shared" si="48"/>
        <v>1</v>
      </c>
      <c r="L217" s="578"/>
      <c r="M217" s="12">
        <f t="shared" si="49"/>
        <v>1</v>
      </c>
      <c r="N217" s="578"/>
      <c r="O217" s="12">
        <f t="shared" si="50"/>
        <v>1</v>
      </c>
      <c r="P217" s="578"/>
      <c r="Q217" s="12">
        <f t="shared" si="51"/>
        <v>1</v>
      </c>
      <c r="R217" s="12">
        <f t="shared" si="56"/>
        <v>0</v>
      </c>
      <c r="S217" s="246">
        <f t="shared" si="57"/>
        <v>0</v>
      </c>
      <c r="T217" s="821">
        <f t="shared" si="58"/>
        <v>0</v>
      </c>
      <c r="U217" s="2689">
        <f t="shared" si="52"/>
        <v>0</v>
      </c>
      <c r="V217" s="2689">
        <f t="shared" si="53"/>
        <v>0</v>
      </c>
      <c r="W217" s="909"/>
      <c r="X217" s="2689">
        <f t="shared" si="54"/>
        <v>0</v>
      </c>
      <c r="Y217" s="2689">
        <f t="shared" si="55"/>
        <v>0</v>
      </c>
      <c r="Z217" s="909"/>
    </row>
    <row r="218" spans="1:26">
      <c r="A218" s="31"/>
      <c r="B218" s="19"/>
      <c r="C218" s="12">
        <f t="shared" si="44"/>
        <v>1</v>
      </c>
      <c r="D218" s="578"/>
      <c r="E218" s="12">
        <f t="shared" si="45"/>
        <v>1</v>
      </c>
      <c r="F218" s="578"/>
      <c r="G218" s="12">
        <f t="shared" si="46"/>
        <v>1</v>
      </c>
      <c r="H218" s="578"/>
      <c r="I218" s="12">
        <f t="shared" si="47"/>
        <v>1</v>
      </c>
      <c r="J218" s="578"/>
      <c r="K218" s="12">
        <f t="shared" si="48"/>
        <v>1</v>
      </c>
      <c r="L218" s="578"/>
      <c r="M218" s="12">
        <f t="shared" si="49"/>
        <v>1</v>
      </c>
      <c r="N218" s="578"/>
      <c r="O218" s="12">
        <f t="shared" si="50"/>
        <v>1</v>
      </c>
      <c r="P218" s="578"/>
      <c r="Q218" s="12">
        <f t="shared" si="51"/>
        <v>1</v>
      </c>
      <c r="R218" s="12">
        <f t="shared" si="56"/>
        <v>0</v>
      </c>
      <c r="S218" s="246">
        <f t="shared" si="57"/>
        <v>0</v>
      </c>
      <c r="T218" s="821">
        <f t="shared" si="58"/>
        <v>0</v>
      </c>
      <c r="U218" s="2689">
        <f t="shared" si="52"/>
        <v>0</v>
      </c>
      <c r="V218" s="2689">
        <f t="shared" si="53"/>
        <v>0</v>
      </c>
      <c r="W218" s="909"/>
      <c r="X218" s="2689">
        <f t="shared" si="54"/>
        <v>0</v>
      </c>
      <c r="Y218" s="2689">
        <f t="shared" si="55"/>
        <v>0</v>
      </c>
      <c r="Z218" s="909"/>
    </row>
    <row r="219" spans="1:26">
      <c r="A219" s="31"/>
      <c r="B219" s="19"/>
      <c r="C219" s="12">
        <f t="shared" si="44"/>
        <v>1</v>
      </c>
      <c r="D219" s="578"/>
      <c r="E219" s="12">
        <f t="shared" si="45"/>
        <v>1</v>
      </c>
      <c r="F219" s="578"/>
      <c r="G219" s="12">
        <f t="shared" si="46"/>
        <v>1</v>
      </c>
      <c r="H219" s="578"/>
      <c r="I219" s="12">
        <f t="shared" si="47"/>
        <v>1</v>
      </c>
      <c r="J219" s="578"/>
      <c r="K219" s="12">
        <f t="shared" si="48"/>
        <v>1</v>
      </c>
      <c r="L219" s="578"/>
      <c r="M219" s="12">
        <f t="shared" si="49"/>
        <v>1</v>
      </c>
      <c r="N219" s="578"/>
      <c r="O219" s="12">
        <f t="shared" si="50"/>
        <v>1</v>
      </c>
      <c r="P219" s="578"/>
      <c r="Q219" s="12">
        <f t="shared" si="51"/>
        <v>1</v>
      </c>
      <c r="R219" s="12">
        <f t="shared" si="56"/>
        <v>0</v>
      </c>
      <c r="S219" s="246">
        <f t="shared" si="57"/>
        <v>0</v>
      </c>
      <c r="T219" s="821">
        <f t="shared" si="58"/>
        <v>0</v>
      </c>
      <c r="U219" s="2689">
        <f t="shared" si="52"/>
        <v>0</v>
      </c>
      <c r="V219" s="2689">
        <f t="shared" si="53"/>
        <v>0</v>
      </c>
      <c r="W219" s="909"/>
      <c r="X219" s="2689">
        <f t="shared" si="54"/>
        <v>0</v>
      </c>
      <c r="Y219" s="2689">
        <f t="shared" si="55"/>
        <v>0</v>
      </c>
      <c r="Z219" s="909"/>
    </row>
    <row r="220" spans="1:26">
      <c r="A220" s="31"/>
      <c r="B220" s="19"/>
      <c r="C220" s="12">
        <f t="shared" ref="C220:C283" si="59">IF(B220="",1,(LOOKUP(B220,$6:$6,$7:$7)-LOOKUP($B$27,$6:$6,$7:$7)+100)/100)</f>
        <v>1</v>
      </c>
      <c r="D220" s="578"/>
      <c r="E220" s="12">
        <f t="shared" ref="E220:E283" si="60">(SUMIF($8:$8,D220,$9:$9)-SUMIF($8:$8,$D$27,$9:$9)+100)/100</f>
        <v>1</v>
      </c>
      <c r="F220" s="578"/>
      <c r="G220" s="12">
        <f t="shared" ref="G220:G283" si="61">(SUMIF($10:$10,F220,$11:$11)-SUMIF($10:$10,$F$27,$11:$11)+100)/100</f>
        <v>1</v>
      </c>
      <c r="H220" s="578"/>
      <c r="I220" s="12">
        <f t="shared" ref="I220:I283" si="62">(SUMIF($12:$12,H220,$13:$13)-SUMIF($12:$12,$H$27,$13:$13)+100)/100</f>
        <v>1</v>
      </c>
      <c r="J220" s="578"/>
      <c r="K220" s="12">
        <f t="shared" ref="K220:K283" si="63">(SUMIF($14:$14,J220,$15:$15)-SUMIF($14:$14,$J$27,$15:$15)+100)/100</f>
        <v>1</v>
      </c>
      <c r="L220" s="578"/>
      <c r="M220" s="12">
        <f t="shared" ref="M220:M283" si="64">(SUMIF($16:$16,L220,$17:$17)-SUMIF($16:$16,$L$27,$17:$17)+100)/100</f>
        <v>1</v>
      </c>
      <c r="N220" s="578"/>
      <c r="O220" s="12">
        <f t="shared" ref="O220:O283" si="65">(SUMIF($18:$18,N220,$19:$19)-SUMIF($18:$18,$N$27,$19:$19)+100)/100</f>
        <v>1</v>
      </c>
      <c r="P220" s="578"/>
      <c r="Q220" s="12">
        <f t="shared" ref="Q220:Q283" si="66">(SUMIF($20:$20,P220,$21:$21)-SUMIF($20:$20,$P$27,$21:$21)+100)/100</f>
        <v>1</v>
      </c>
      <c r="R220" s="12">
        <f t="shared" si="56"/>
        <v>0</v>
      </c>
      <c r="S220" s="246">
        <f t="shared" si="57"/>
        <v>0</v>
      </c>
      <c r="T220" s="821">
        <f t="shared" si="58"/>
        <v>0</v>
      </c>
      <c r="U220" s="2689">
        <f t="shared" ref="U220:U283" si="67">ROUND(W220*B220,0)</f>
        <v>0</v>
      </c>
      <c r="V220" s="2689">
        <f t="shared" ref="V220:V283" si="68">ROUND(W220*B220/10000,0)</f>
        <v>0</v>
      </c>
      <c r="W220" s="909"/>
      <c r="X220" s="2689">
        <f t="shared" ref="X220:X283" si="69">ROUND(Z220*B220,0)</f>
        <v>0</v>
      </c>
      <c r="Y220" s="2689">
        <f t="shared" ref="Y220:Y283" si="70">ROUND(Z220*B220/10000,0)</f>
        <v>0</v>
      </c>
      <c r="Z220" s="909"/>
    </row>
    <row r="221" spans="1:26">
      <c r="A221" s="31"/>
      <c r="B221" s="19"/>
      <c r="C221" s="12">
        <f t="shared" si="59"/>
        <v>1</v>
      </c>
      <c r="D221" s="578"/>
      <c r="E221" s="12">
        <f t="shared" si="60"/>
        <v>1</v>
      </c>
      <c r="F221" s="578"/>
      <c r="G221" s="12">
        <f t="shared" si="61"/>
        <v>1</v>
      </c>
      <c r="H221" s="578"/>
      <c r="I221" s="12">
        <f t="shared" si="62"/>
        <v>1</v>
      </c>
      <c r="J221" s="578"/>
      <c r="K221" s="12">
        <f t="shared" si="63"/>
        <v>1</v>
      </c>
      <c r="L221" s="578"/>
      <c r="M221" s="12">
        <f t="shared" si="64"/>
        <v>1</v>
      </c>
      <c r="N221" s="578"/>
      <c r="O221" s="12">
        <f t="shared" si="65"/>
        <v>1</v>
      </c>
      <c r="P221" s="578"/>
      <c r="Q221" s="12">
        <f t="shared" si="66"/>
        <v>1</v>
      </c>
      <c r="R221" s="12">
        <f t="shared" ref="R221:R284" si="71">IF(B221="",0,ROUND($R$27*C221*E221*G221*I221*K221*M221*O221*Q221,0))</f>
        <v>0</v>
      </c>
      <c r="S221" s="246">
        <f t="shared" ref="S221:S284" si="72">ROUND(R221*B221,0)</f>
        <v>0</v>
      </c>
      <c r="T221" s="821">
        <f t="shared" ref="T221:T284" si="73">ROUND(R221*B221/10000,0)</f>
        <v>0</v>
      </c>
      <c r="U221" s="2689">
        <f t="shared" si="67"/>
        <v>0</v>
      </c>
      <c r="V221" s="2689">
        <f t="shared" si="68"/>
        <v>0</v>
      </c>
      <c r="W221" s="909"/>
      <c r="X221" s="2689">
        <f t="shared" si="69"/>
        <v>0</v>
      </c>
      <c r="Y221" s="2689">
        <f t="shared" si="70"/>
        <v>0</v>
      </c>
      <c r="Z221" s="909"/>
    </row>
    <row r="222" spans="1:26">
      <c r="A222" s="31"/>
      <c r="B222" s="19"/>
      <c r="C222" s="12">
        <f t="shared" si="59"/>
        <v>1</v>
      </c>
      <c r="D222" s="578"/>
      <c r="E222" s="12">
        <f t="shared" si="60"/>
        <v>1</v>
      </c>
      <c r="F222" s="578"/>
      <c r="G222" s="12">
        <f t="shared" si="61"/>
        <v>1</v>
      </c>
      <c r="H222" s="578"/>
      <c r="I222" s="12">
        <f t="shared" si="62"/>
        <v>1</v>
      </c>
      <c r="J222" s="578"/>
      <c r="K222" s="12">
        <f t="shared" si="63"/>
        <v>1</v>
      </c>
      <c r="L222" s="578"/>
      <c r="M222" s="12">
        <f t="shared" si="64"/>
        <v>1</v>
      </c>
      <c r="N222" s="578"/>
      <c r="O222" s="12">
        <f t="shared" si="65"/>
        <v>1</v>
      </c>
      <c r="P222" s="578"/>
      <c r="Q222" s="12">
        <f t="shared" si="66"/>
        <v>1</v>
      </c>
      <c r="R222" s="12">
        <f t="shared" si="71"/>
        <v>0</v>
      </c>
      <c r="S222" s="246">
        <f t="shared" si="72"/>
        <v>0</v>
      </c>
      <c r="T222" s="821">
        <f t="shared" si="73"/>
        <v>0</v>
      </c>
      <c r="U222" s="2689">
        <f t="shared" si="67"/>
        <v>0</v>
      </c>
      <c r="V222" s="2689">
        <f t="shared" si="68"/>
        <v>0</v>
      </c>
      <c r="W222" s="909"/>
      <c r="X222" s="2689">
        <f t="shared" si="69"/>
        <v>0</v>
      </c>
      <c r="Y222" s="2689">
        <f t="shared" si="70"/>
        <v>0</v>
      </c>
      <c r="Z222" s="909"/>
    </row>
    <row r="223" spans="1:26">
      <c r="A223" s="31"/>
      <c r="B223" s="19"/>
      <c r="C223" s="12">
        <f t="shared" si="59"/>
        <v>1</v>
      </c>
      <c r="D223" s="578"/>
      <c r="E223" s="12">
        <f t="shared" si="60"/>
        <v>1</v>
      </c>
      <c r="F223" s="578"/>
      <c r="G223" s="12">
        <f t="shared" si="61"/>
        <v>1</v>
      </c>
      <c r="H223" s="578"/>
      <c r="I223" s="12">
        <f t="shared" si="62"/>
        <v>1</v>
      </c>
      <c r="J223" s="578"/>
      <c r="K223" s="12">
        <f t="shared" si="63"/>
        <v>1</v>
      </c>
      <c r="L223" s="578"/>
      <c r="M223" s="12">
        <f t="shared" si="64"/>
        <v>1</v>
      </c>
      <c r="N223" s="578"/>
      <c r="O223" s="12">
        <f t="shared" si="65"/>
        <v>1</v>
      </c>
      <c r="P223" s="578"/>
      <c r="Q223" s="12">
        <f t="shared" si="66"/>
        <v>1</v>
      </c>
      <c r="R223" s="12">
        <f t="shared" si="71"/>
        <v>0</v>
      </c>
      <c r="S223" s="246">
        <f t="shared" si="72"/>
        <v>0</v>
      </c>
      <c r="T223" s="821">
        <f t="shared" si="73"/>
        <v>0</v>
      </c>
      <c r="U223" s="2689">
        <f t="shared" si="67"/>
        <v>0</v>
      </c>
      <c r="V223" s="2689">
        <f t="shared" si="68"/>
        <v>0</v>
      </c>
      <c r="W223" s="909"/>
      <c r="X223" s="2689">
        <f t="shared" si="69"/>
        <v>0</v>
      </c>
      <c r="Y223" s="2689">
        <f t="shared" si="70"/>
        <v>0</v>
      </c>
      <c r="Z223" s="909"/>
    </row>
    <row r="224" spans="1:26">
      <c r="A224" s="31"/>
      <c r="B224" s="19"/>
      <c r="C224" s="12">
        <f t="shared" si="59"/>
        <v>1</v>
      </c>
      <c r="D224" s="578"/>
      <c r="E224" s="12">
        <f t="shared" si="60"/>
        <v>1</v>
      </c>
      <c r="F224" s="578"/>
      <c r="G224" s="12">
        <f t="shared" si="61"/>
        <v>1</v>
      </c>
      <c r="H224" s="578"/>
      <c r="I224" s="12">
        <f t="shared" si="62"/>
        <v>1</v>
      </c>
      <c r="J224" s="578"/>
      <c r="K224" s="12">
        <f t="shared" si="63"/>
        <v>1</v>
      </c>
      <c r="L224" s="578"/>
      <c r="M224" s="12">
        <f t="shared" si="64"/>
        <v>1</v>
      </c>
      <c r="N224" s="578"/>
      <c r="O224" s="12">
        <f t="shared" si="65"/>
        <v>1</v>
      </c>
      <c r="P224" s="578"/>
      <c r="Q224" s="12">
        <f t="shared" si="66"/>
        <v>1</v>
      </c>
      <c r="R224" s="12">
        <f t="shared" si="71"/>
        <v>0</v>
      </c>
      <c r="S224" s="246">
        <f t="shared" si="72"/>
        <v>0</v>
      </c>
      <c r="T224" s="821">
        <f t="shared" si="73"/>
        <v>0</v>
      </c>
      <c r="U224" s="2689">
        <f t="shared" si="67"/>
        <v>0</v>
      </c>
      <c r="V224" s="2689">
        <f t="shared" si="68"/>
        <v>0</v>
      </c>
      <c r="W224" s="909"/>
      <c r="X224" s="2689">
        <f t="shared" si="69"/>
        <v>0</v>
      </c>
      <c r="Y224" s="2689">
        <f t="shared" si="70"/>
        <v>0</v>
      </c>
      <c r="Z224" s="909"/>
    </row>
    <row r="225" spans="1:26">
      <c r="A225" s="31"/>
      <c r="B225" s="19"/>
      <c r="C225" s="12">
        <f t="shared" si="59"/>
        <v>1</v>
      </c>
      <c r="D225" s="578"/>
      <c r="E225" s="12">
        <f t="shared" si="60"/>
        <v>1</v>
      </c>
      <c r="F225" s="578"/>
      <c r="G225" s="12">
        <f t="shared" si="61"/>
        <v>1</v>
      </c>
      <c r="H225" s="578"/>
      <c r="I225" s="12">
        <f t="shared" si="62"/>
        <v>1</v>
      </c>
      <c r="J225" s="578"/>
      <c r="K225" s="12">
        <f t="shared" si="63"/>
        <v>1</v>
      </c>
      <c r="L225" s="578"/>
      <c r="M225" s="12">
        <f t="shared" si="64"/>
        <v>1</v>
      </c>
      <c r="N225" s="578"/>
      <c r="O225" s="12">
        <f t="shared" si="65"/>
        <v>1</v>
      </c>
      <c r="P225" s="578"/>
      <c r="Q225" s="12">
        <f t="shared" si="66"/>
        <v>1</v>
      </c>
      <c r="R225" s="12">
        <f t="shared" si="71"/>
        <v>0</v>
      </c>
      <c r="S225" s="246">
        <f t="shared" si="72"/>
        <v>0</v>
      </c>
      <c r="T225" s="821">
        <f t="shared" si="73"/>
        <v>0</v>
      </c>
      <c r="U225" s="2689">
        <f t="shared" si="67"/>
        <v>0</v>
      </c>
      <c r="V225" s="2689">
        <f t="shared" si="68"/>
        <v>0</v>
      </c>
      <c r="W225" s="909"/>
      <c r="X225" s="2689">
        <f t="shared" si="69"/>
        <v>0</v>
      </c>
      <c r="Y225" s="2689">
        <f t="shared" si="70"/>
        <v>0</v>
      </c>
      <c r="Z225" s="909"/>
    </row>
    <row r="226" spans="1:26">
      <c r="A226" s="31"/>
      <c r="B226" s="19"/>
      <c r="C226" s="12">
        <f t="shared" si="59"/>
        <v>1</v>
      </c>
      <c r="D226" s="578"/>
      <c r="E226" s="12">
        <f t="shared" si="60"/>
        <v>1</v>
      </c>
      <c r="F226" s="578"/>
      <c r="G226" s="12">
        <f t="shared" si="61"/>
        <v>1</v>
      </c>
      <c r="H226" s="578"/>
      <c r="I226" s="12">
        <f t="shared" si="62"/>
        <v>1</v>
      </c>
      <c r="J226" s="578"/>
      <c r="K226" s="12">
        <f t="shared" si="63"/>
        <v>1</v>
      </c>
      <c r="L226" s="578"/>
      <c r="M226" s="12">
        <f t="shared" si="64"/>
        <v>1</v>
      </c>
      <c r="N226" s="578"/>
      <c r="O226" s="12">
        <f t="shared" si="65"/>
        <v>1</v>
      </c>
      <c r="P226" s="578"/>
      <c r="Q226" s="12">
        <f t="shared" si="66"/>
        <v>1</v>
      </c>
      <c r="R226" s="12">
        <f t="shared" si="71"/>
        <v>0</v>
      </c>
      <c r="S226" s="246">
        <f t="shared" si="72"/>
        <v>0</v>
      </c>
      <c r="T226" s="821">
        <f t="shared" si="73"/>
        <v>0</v>
      </c>
      <c r="U226" s="2689">
        <f t="shared" si="67"/>
        <v>0</v>
      </c>
      <c r="V226" s="2689">
        <f t="shared" si="68"/>
        <v>0</v>
      </c>
      <c r="W226" s="909"/>
      <c r="X226" s="2689">
        <f t="shared" si="69"/>
        <v>0</v>
      </c>
      <c r="Y226" s="2689">
        <f t="shared" si="70"/>
        <v>0</v>
      </c>
      <c r="Z226" s="909"/>
    </row>
    <row r="227" spans="1:26">
      <c r="A227" s="31"/>
      <c r="B227" s="19"/>
      <c r="C227" s="12">
        <f t="shared" si="59"/>
        <v>1</v>
      </c>
      <c r="D227" s="578"/>
      <c r="E227" s="12">
        <f t="shared" si="60"/>
        <v>1</v>
      </c>
      <c r="F227" s="578"/>
      <c r="G227" s="12">
        <f t="shared" si="61"/>
        <v>1</v>
      </c>
      <c r="H227" s="578"/>
      <c r="I227" s="12">
        <f t="shared" si="62"/>
        <v>1</v>
      </c>
      <c r="J227" s="578"/>
      <c r="K227" s="12">
        <f t="shared" si="63"/>
        <v>1</v>
      </c>
      <c r="L227" s="578"/>
      <c r="M227" s="12">
        <f t="shared" si="64"/>
        <v>1</v>
      </c>
      <c r="N227" s="578"/>
      <c r="O227" s="12">
        <f t="shared" si="65"/>
        <v>1</v>
      </c>
      <c r="P227" s="578"/>
      <c r="Q227" s="12">
        <f t="shared" si="66"/>
        <v>1</v>
      </c>
      <c r="R227" s="12">
        <f t="shared" si="71"/>
        <v>0</v>
      </c>
      <c r="S227" s="246">
        <f t="shared" si="72"/>
        <v>0</v>
      </c>
      <c r="T227" s="821">
        <f t="shared" si="73"/>
        <v>0</v>
      </c>
      <c r="U227" s="2689">
        <f t="shared" si="67"/>
        <v>0</v>
      </c>
      <c r="V227" s="2689">
        <f t="shared" si="68"/>
        <v>0</v>
      </c>
      <c r="W227" s="909"/>
      <c r="X227" s="2689">
        <f t="shared" si="69"/>
        <v>0</v>
      </c>
      <c r="Y227" s="2689">
        <f t="shared" si="70"/>
        <v>0</v>
      </c>
      <c r="Z227" s="909"/>
    </row>
    <row r="228" spans="1:26">
      <c r="A228" s="31"/>
      <c r="B228" s="19"/>
      <c r="C228" s="12">
        <f t="shared" si="59"/>
        <v>1</v>
      </c>
      <c r="D228" s="578"/>
      <c r="E228" s="12">
        <f t="shared" si="60"/>
        <v>1</v>
      </c>
      <c r="F228" s="578"/>
      <c r="G228" s="12">
        <f t="shared" si="61"/>
        <v>1</v>
      </c>
      <c r="H228" s="578"/>
      <c r="I228" s="12">
        <f t="shared" si="62"/>
        <v>1</v>
      </c>
      <c r="J228" s="578"/>
      <c r="K228" s="12">
        <f t="shared" si="63"/>
        <v>1</v>
      </c>
      <c r="L228" s="578"/>
      <c r="M228" s="12">
        <f t="shared" si="64"/>
        <v>1</v>
      </c>
      <c r="N228" s="578"/>
      <c r="O228" s="12">
        <f t="shared" si="65"/>
        <v>1</v>
      </c>
      <c r="P228" s="578"/>
      <c r="Q228" s="12">
        <f t="shared" si="66"/>
        <v>1</v>
      </c>
      <c r="R228" s="12">
        <f t="shared" si="71"/>
        <v>0</v>
      </c>
      <c r="S228" s="246">
        <f t="shared" si="72"/>
        <v>0</v>
      </c>
      <c r="T228" s="821">
        <f t="shared" si="73"/>
        <v>0</v>
      </c>
      <c r="U228" s="2689">
        <f t="shared" si="67"/>
        <v>0</v>
      </c>
      <c r="V228" s="2689">
        <f t="shared" si="68"/>
        <v>0</v>
      </c>
      <c r="W228" s="909"/>
      <c r="X228" s="2689">
        <f t="shared" si="69"/>
        <v>0</v>
      </c>
      <c r="Y228" s="2689">
        <f t="shared" si="70"/>
        <v>0</v>
      </c>
      <c r="Z228" s="909"/>
    </row>
    <row r="229" spans="1:26">
      <c r="A229" s="31"/>
      <c r="B229" s="19"/>
      <c r="C229" s="12">
        <f t="shared" si="59"/>
        <v>1</v>
      </c>
      <c r="D229" s="578"/>
      <c r="E229" s="12">
        <f t="shared" si="60"/>
        <v>1</v>
      </c>
      <c r="F229" s="578"/>
      <c r="G229" s="12">
        <f t="shared" si="61"/>
        <v>1</v>
      </c>
      <c r="H229" s="578"/>
      <c r="I229" s="12">
        <f t="shared" si="62"/>
        <v>1</v>
      </c>
      <c r="J229" s="578"/>
      <c r="K229" s="12">
        <f t="shared" si="63"/>
        <v>1</v>
      </c>
      <c r="L229" s="578"/>
      <c r="M229" s="12">
        <f t="shared" si="64"/>
        <v>1</v>
      </c>
      <c r="N229" s="578"/>
      <c r="O229" s="12">
        <f t="shared" si="65"/>
        <v>1</v>
      </c>
      <c r="P229" s="578"/>
      <c r="Q229" s="12">
        <f t="shared" si="66"/>
        <v>1</v>
      </c>
      <c r="R229" s="12">
        <f t="shared" si="71"/>
        <v>0</v>
      </c>
      <c r="S229" s="246">
        <f t="shared" si="72"/>
        <v>0</v>
      </c>
      <c r="T229" s="821">
        <f t="shared" si="73"/>
        <v>0</v>
      </c>
      <c r="U229" s="2689">
        <f t="shared" si="67"/>
        <v>0</v>
      </c>
      <c r="V229" s="2689">
        <f t="shared" si="68"/>
        <v>0</v>
      </c>
      <c r="W229" s="909"/>
      <c r="X229" s="2689">
        <f t="shared" si="69"/>
        <v>0</v>
      </c>
      <c r="Y229" s="2689">
        <f t="shared" si="70"/>
        <v>0</v>
      </c>
      <c r="Z229" s="909"/>
    </row>
    <row r="230" spans="1:26">
      <c r="A230" s="31"/>
      <c r="B230" s="19"/>
      <c r="C230" s="12">
        <f t="shared" si="59"/>
        <v>1</v>
      </c>
      <c r="D230" s="578"/>
      <c r="E230" s="12">
        <f t="shared" si="60"/>
        <v>1</v>
      </c>
      <c r="F230" s="578"/>
      <c r="G230" s="12">
        <f t="shared" si="61"/>
        <v>1</v>
      </c>
      <c r="H230" s="578"/>
      <c r="I230" s="12">
        <f t="shared" si="62"/>
        <v>1</v>
      </c>
      <c r="J230" s="578"/>
      <c r="K230" s="12">
        <f t="shared" si="63"/>
        <v>1</v>
      </c>
      <c r="L230" s="578"/>
      <c r="M230" s="12">
        <f t="shared" si="64"/>
        <v>1</v>
      </c>
      <c r="N230" s="578"/>
      <c r="O230" s="12">
        <f t="shared" si="65"/>
        <v>1</v>
      </c>
      <c r="P230" s="578"/>
      <c r="Q230" s="12">
        <f t="shared" si="66"/>
        <v>1</v>
      </c>
      <c r="R230" s="12">
        <f t="shared" si="71"/>
        <v>0</v>
      </c>
      <c r="S230" s="246">
        <f t="shared" si="72"/>
        <v>0</v>
      </c>
      <c r="T230" s="821">
        <f t="shared" si="73"/>
        <v>0</v>
      </c>
      <c r="U230" s="2689">
        <f t="shared" si="67"/>
        <v>0</v>
      </c>
      <c r="V230" s="2689">
        <f t="shared" si="68"/>
        <v>0</v>
      </c>
      <c r="W230" s="909"/>
      <c r="X230" s="2689">
        <f t="shared" si="69"/>
        <v>0</v>
      </c>
      <c r="Y230" s="2689">
        <f t="shared" si="70"/>
        <v>0</v>
      </c>
      <c r="Z230" s="909"/>
    </row>
    <row r="231" spans="1:26">
      <c r="A231" s="31"/>
      <c r="B231" s="19"/>
      <c r="C231" s="12">
        <f t="shared" si="59"/>
        <v>1</v>
      </c>
      <c r="D231" s="578"/>
      <c r="E231" s="12">
        <f t="shared" si="60"/>
        <v>1</v>
      </c>
      <c r="F231" s="578"/>
      <c r="G231" s="12">
        <f t="shared" si="61"/>
        <v>1</v>
      </c>
      <c r="H231" s="578"/>
      <c r="I231" s="12">
        <f t="shared" si="62"/>
        <v>1</v>
      </c>
      <c r="J231" s="578"/>
      <c r="K231" s="12">
        <f t="shared" si="63"/>
        <v>1</v>
      </c>
      <c r="L231" s="578"/>
      <c r="M231" s="12">
        <f t="shared" si="64"/>
        <v>1</v>
      </c>
      <c r="N231" s="578"/>
      <c r="O231" s="12">
        <f t="shared" si="65"/>
        <v>1</v>
      </c>
      <c r="P231" s="578"/>
      <c r="Q231" s="12">
        <f t="shared" si="66"/>
        <v>1</v>
      </c>
      <c r="R231" s="12">
        <f t="shared" si="71"/>
        <v>0</v>
      </c>
      <c r="S231" s="246">
        <f t="shared" si="72"/>
        <v>0</v>
      </c>
      <c r="T231" s="821">
        <f t="shared" si="73"/>
        <v>0</v>
      </c>
      <c r="U231" s="2689">
        <f t="shared" si="67"/>
        <v>0</v>
      </c>
      <c r="V231" s="2689">
        <f t="shared" si="68"/>
        <v>0</v>
      </c>
      <c r="W231" s="909"/>
      <c r="X231" s="2689">
        <f t="shared" si="69"/>
        <v>0</v>
      </c>
      <c r="Y231" s="2689">
        <f t="shared" si="70"/>
        <v>0</v>
      </c>
      <c r="Z231" s="909"/>
    </row>
    <row r="232" spans="1:26">
      <c r="A232" s="31"/>
      <c r="B232" s="19"/>
      <c r="C232" s="12">
        <f t="shared" si="59"/>
        <v>1</v>
      </c>
      <c r="D232" s="578"/>
      <c r="E232" s="12">
        <f t="shared" si="60"/>
        <v>1</v>
      </c>
      <c r="F232" s="578"/>
      <c r="G232" s="12">
        <f t="shared" si="61"/>
        <v>1</v>
      </c>
      <c r="H232" s="578"/>
      <c r="I232" s="12">
        <f t="shared" si="62"/>
        <v>1</v>
      </c>
      <c r="J232" s="578"/>
      <c r="K232" s="12">
        <f t="shared" si="63"/>
        <v>1</v>
      </c>
      <c r="L232" s="578"/>
      <c r="M232" s="12">
        <f t="shared" si="64"/>
        <v>1</v>
      </c>
      <c r="N232" s="578"/>
      <c r="O232" s="12">
        <f t="shared" si="65"/>
        <v>1</v>
      </c>
      <c r="P232" s="578"/>
      <c r="Q232" s="12">
        <f t="shared" si="66"/>
        <v>1</v>
      </c>
      <c r="R232" s="12">
        <f t="shared" si="71"/>
        <v>0</v>
      </c>
      <c r="S232" s="246">
        <f t="shared" si="72"/>
        <v>0</v>
      </c>
      <c r="T232" s="821">
        <f t="shared" si="73"/>
        <v>0</v>
      </c>
      <c r="U232" s="2689">
        <f t="shared" si="67"/>
        <v>0</v>
      </c>
      <c r="V232" s="2689">
        <f t="shared" si="68"/>
        <v>0</v>
      </c>
      <c r="W232" s="909"/>
      <c r="X232" s="2689">
        <f t="shared" si="69"/>
        <v>0</v>
      </c>
      <c r="Y232" s="2689">
        <f t="shared" si="70"/>
        <v>0</v>
      </c>
      <c r="Z232" s="909"/>
    </row>
    <row r="233" spans="1:26">
      <c r="A233" s="31"/>
      <c r="B233" s="19"/>
      <c r="C233" s="12">
        <f t="shared" si="59"/>
        <v>1</v>
      </c>
      <c r="D233" s="578"/>
      <c r="E233" s="12">
        <f t="shared" si="60"/>
        <v>1</v>
      </c>
      <c r="F233" s="578"/>
      <c r="G233" s="12">
        <f t="shared" si="61"/>
        <v>1</v>
      </c>
      <c r="H233" s="578"/>
      <c r="I233" s="12">
        <f t="shared" si="62"/>
        <v>1</v>
      </c>
      <c r="J233" s="578"/>
      <c r="K233" s="12">
        <f t="shared" si="63"/>
        <v>1</v>
      </c>
      <c r="L233" s="578"/>
      <c r="M233" s="12">
        <f t="shared" si="64"/>
        <v>1</v>
      </c>
      <c r="N233" s="578"/>
      <c r="O233" s="12">
        <f t="shared" si="65"/>
        <v>1</v>
      </c>
      <c r="P233" s="578"/>
      <c r="Q233" s="12">
        <f t="shared" si="66"/>
        <v>1</v>
      </c>
      <c r="R233" s="12">
        <f t="shared" si="71"/>
        <v>0</v>
      </c>
      <c r="S233" s="246">
        <f t="shared" si="72"/>
        <v>0</v>
      </c>
      <c r="T233" s="821">
        <f t="shared" si="73"/>
        <v>0</v>
      </c>
      <c r="U233" s="2689">
        <f t="shared" si="67"/>
        <v>0</v>
      </c>
      <c r="V233" s="2689">
        <f t="shared" si="68"/>
        <v>0</v>
      </c>
      <c r="W233" s="909"/>
      <c r="X233" s="2689">
        <f t="shared" si="69"/>
        <v>0</v>
      </c>
      <c r="Y233" s="2689">
        <f t="shared" si="70"/>
        <v>0</v>
      </c>
      <c r="Z233" s="909"/>
    </row>
    <row r="234" spans="1:26">
      <c r="A234" s="31"/>
      <c r="B234" s="19"/>
      <c r="C234" s="12">
        <f t="shared" si="59"/>
        <v>1</v>
      </c>
      <c r="D234" s="578"/>
      <c r="E234" s="12">
        <f t="shared" si="60"/>
        <v>1</v>
      </c>
      <c r="F234" s="578"/>
      <c r="G234" s="12">
        <f t="shared" si="61"/>
        <v>1</v>
      </c>
      <c r="H234" s="578"/>
      <c r="I234" s="12">
        <f t="shared" si="62"/>
        <v>1</v>
      </c>
      <c r="J234" s="578"/>
      <c r="K234" s="12">
        <f t="shared" si="63"/>
        <v>1</v>
      </c>
      <c r="L234" s="578"/>
      <c r="M234" s="12">
        <f t="shared" si="64"/>
        <v>1</v>
      </c>
      <c r="N234" s="578"/>
      <c r="O234" s="12">
        <f t="shared" si="65"/>
        <v>1</v>
      </c>
      <c r="P234" s="578"/>
      <c r="Q234" s="12">
        <f t="shared" si="66"/>
        <v>1</v>
      </c>
      <c r="R234" s="12">
        <f t="shared" si="71"/>
        <v>0</v>
      </c>
      <c r="S234" s="246">
        <f t="shared" si="72"/>
        <v>0</v>
      </c>
      <c r="T234" s="821">
        <f t="shared" si="73"/>
        <v>0</v>
      </c>
      <c r="U234" s="2689">
        <f t="shared" si="67"/>
        <v>0</v>
      </c>
      <c r="V234" s="2689">
        <f t="shared" si="68"/>
        <v>0</v>
      </c>
      <c r="W234" s="909"/>
      <c r="X234" s="2689">
        <f t="shared" si="69"/>
        <v>0</v>
      </c>
      <c r="Y234" s="2689">
        <f t="shared" si="70"/>
        <v>0</v>
      </c>
      <c r="Z234" s="909"/>
    </row>
    <row r="235" spans="1:26">
      <c r="A235" s="31"/>
      <c r="B235" s="19"/>
      <c r="C235" s="12">
        <f t="shared" si="59"/>
        <v>1</v>
      </c>
      <c r="D235" s="578"/>
      <c r="E235" s="12">
        <f t="shared" si="60"/>
        <v>1</v>
      </c>
      <c r="F235" s="578"/>
      <c r="G235" s="12">
        <f t="shared" si="61"/>
        <v>1</v>
      </c>
      <c r="H235" s="578"/>
      <c r="I235" s="12">
        <f t="shared" si="62"/>
        <v>1</v>
      </c>
      <c r="J235" s="578"/>
      <c r="K235" s="12">
        <f t="shared" si="63"/>
        <v>1</v>
      </c>
      <c r="L235" s="578"/>
      <c r="M235" s="12">
        <f t="shared" si="64"/>
        <v>1</v>
      </c>
      <c r="N235" s="578"/>
      <c r="O235" s="12">
        <f t="shared" si="65"/>
        <v>1</v>
      </c>
      <c r="P235" s="578"/>
      <c r="Q235" s="12">
        <f t="shared" si="66"/>
        <v>1</v>
      </c>
      <c r="R235" s="12">
        <f t="shared" si="71"/>
        <v>0</v>
      </c>
      <c r="S235" s="246">
        <f t="shared" si="72"/>
        <v>0</v>
      </c>
      <c r="T235" s="821">
        <f t="shared" si="73"/>
        <v>0</v>
      </c>
      <c r="U235" s="2689">
        <f t="shared" si="67"/>
        <v>0</v>
      </c>
      <c r="V235" s="2689">
        <f t="shared" si="68"/>
        <v>0</v>
      </c>
      <c r="W235" s="909"/>
      <c r="X235" s="2689">
        <f t="shared" si="69"/>
        <v>0</v>
      </c>
      <c r="Y235" s="2689">
        <f t="shared" si="70"/>
        <v>0</v>
      </c>
      <c r="Z235" s="909"/>
    </row>
    <row r="236" spans="1:26">
      <c r="A236" s="31"/>
      <c r="B236" s="19"/>
      <c r="C236" s="12">
        <f t="shared" si="59"/>
        <v>1</v>
      </c>
      <c r="D236" s="578"/>
      <c r="E236" s="12">
        <f t="shared" si="60"/>
        <v>1</v>
      </c>
      <c r="F236" s="578"/>
      <c r="G236" s="12">
        <f t="shared" si="61"/>
        <v>1</v>
      </c>
      <c r="H236" s="578"/>
      <c r="I236" s="12">
        <f t="shared" si="62"/>
        <v>1</v>
      </c>
      <c r="J236" s="578"/>
      <c r="K236" s="12">
        <f t="shared" si="63"/>
        <v>1</v>
      </c>
      <c r="L236" s="578"/>
      <c r="M236" s="12">
        <f t="shared" si="64"/>
        <v>1</v>
      </c>
      <c r="N236" s="578"/>
      <c r="O236" s="12">
        <f t="shared" si="65"/>
        <v>1</v>
      </c>
      <c r="P236" s="578"/>
      <c r="Q236" s="12">
        <f t="shared" si="66"/>
        <v>1</v>
      </c>
      <c r="R236" s="12">
        <f t="shared" si="71"/>
        <v>0</v>
      </c>
      <c r="S236" s="246">
        <f t="shared" si="72"/>
        <v>0</v>
      </c>
      <c r="T236" s="821">
        <f t="shared" si="73"/>
        <v>0</v>
      </c>
      <c r="U236" s="2689">
        <f t="shared" si="67"/>
        <v>0</v>
      </c>
      <c r="V236" s="2689">
        <f t="shared" si="68"/>
        <v>0</v>
      </c>
      <c r="W236" s="909"/>
      <c r="X236" s="2689">
        <f t="shared" si="69"/>
        <v>0</v>
      </c>
      <c r="Y236" s="2689">
        <f t="shared" si="70"/>
        <v>0</v>
      </c>
      <c r="Z236" s="909"/>
    </row>
    <row r="237" spans="1:26">
      <c r="A237" s="31"/>
      <c r="B237" s="19"/>
      <c r="C237" s="12">
        <f t="shared" si="59"/>
        <v>1</v>
      </c>
      <c r="D237" s="578"/>
      <c r="E237" s="12">
        <f t="shared" si="60"/>
        <v>1</v>
      </c>
      <c r="F237" s="578"/>
      <c r="G237" s="12">
        <f t="shared" si="61"/>
        <v>1</v>
      </c>
      <c r="H237" s="578"/>
      <c r="I237" s="12">
        <f t="shared" si="62"/>
        <v>1</v>
      </c>
      <c r="J237" s="578"/>
      <c r="K237" s="12">
        <f t="shared" si="63"/>
        <v>1</v>
      </c>
      <c r="L237" s="578"/>
      <c r="M237" s="12">
        <f t="shared" si="64"/>
        <v>1</v>
      </c>
      <c r="N237" s="578"/>
      <c r="O237" s="12">
        <f t="shared" si="65"/>
        <v>1</v>
      </c>
      <c r="P237" s="578"/>
      <c r="Q237" s="12">
        <f t="shared" si="66"/>
        <v>1</v>
      </c>
      <c r="R237" s="12">
        <f t="shared" si="71"/>
        <v>0</v>
      </c>
      <c r="S237" s="246">
        <f t="shared" si="72"/>
        <v>0</v>
      </c>
      <c r="T237" s="821">
        <f t="shared" si="73"/>
        <v>0</v>
      </c>
      <c r="U237" s="2689">
        <f t="shared" si="67"/>
        <v>0</v>
      </c>
      <c r="V237" s="2689">
        <f t="shared" si="68"/>
        <v>0</v>
      </c>
      <c r="W237" s="909"/>
      <c r="X237" s="2689">
        <f t="shared" si="69"/>
        <v>0</v>
      </c>
      <c r="Y237" s="2689">
        <f t="shared" si="70"/>
        <v>0</v>
      </c>
      <c r="Z237" s="909"/>
    </row>
    <row r="238" spans="1:26">
      <c r="A238" s="31"/>
      <c r="B238" s="19"/>
      <c r="C238" s="12">
        <f t="shared" si="59"/>
        <v>1</v>
      </c>
      <c r="D238" s="578"/>
      <c r="E238" s="12">
        <f t="shared" si="60"/>
        <v>1</v>
      </c>
      <c r="F238" s="578"/>
      <c r="G238" s="12">
        <f t="shared" si="61"/>
        <v>1</v>
      </c>
      <c r="H238" s="578"/>
      <c r="I238" s="12">
        <f t="shared" si="62"/>
        <v>1</v>
      </c>
      <c r="J238" s="578"/>
      <c r="K238" s="12">
        <f t="shared" si="63"/>
        <v>1</v>
      </c>
      <c r="L238" s="578"/>
      <c r="M238" s="12">
        <f t="shared" si="64"/>
        <v>1</v>
      </c>
      <c r="N238" s="578"/>
      <c r="O238" s="12">
        <f t="shared" si="65"/>
        <v>1</v>
      </c>
      <c r="P238" s="578"/>
      <c r="Q238" s="12">
        <f t="shared" si="66"/>
        <v>1</v>
      </c>
      <c r="R238" s="12">
        <f t="shared" si="71"/>
        <v>0</v>
      </c>
      <c r="S238" s="246">
        <f t="shared" si="72"/>
        <v>0</v>
      </c>
      <c r="T238" s="821">
        <f t="shared" si="73"/>
        <v>0</v>
      </c>
      <c r="U238" s="2689">
        <f t="shared" si="67"/>
        <v>0</v>
      </c>
      <c r="V238" s="2689">
        <f t="shared" si="68"/>
        <v>0</v>
      </c>
      <c r="W238" s="909"/>
      <c r="X238" s="2689">
        <f t="shared" si="69"/>
        <v>0</v>
      </c>
      <c r="Y238" s="2689">
        <f t="shared" si="70"/>
        <v>0</v>
      </c>
      <c r="Z238" s="909"/>
    </row>
    <row r="239" spans="1:26">
      <c r="A239" s="31"/>
      <c r="B239" s="19"/>
      <c r="C239" s="12">
        <f t="shared" si="59"/>
        <v>1</v>
      </c>
      <c r="D239" s="578"/>
      <c r="E239" s="12">
        <f t="shared" si="60"/>
        <v>1</v>
      </c>
      <c r="F239" s="578"/>
      <c r="G239" s="12">
        <f t="shared" si="61"/>
        <v>1</v>
      </c>
      <c r="H239" s="578"/>
      <c r="I239" s="12">
        <f t="shared" si="62"/>
        <v>1</v>
      </c>
      <c r="J239" s="578"/>
      <c r="K239" s="12">
        <f t="shared" si="63"/>
        <v>1</v>
      </c>
      <c r="L239" s="578"/>
      <c r="M239" s="12">
        <f t="shared" si="64"/>
        <v>1</v>
      </c>
      <c r="N239" s="578"/>
      <c r="O239" s="12">
        <f t="shared" si="65"/>
        <v>1</v>
      </c>
      <c r="P239" s="578"/>
      <c r="Q239" s="12">
        <f t="shared" si="66"/>
        <v>1</v>
      </c>
      <c r="R239" s="12">
        <f t="shared" si="71"/>
        <v>0</v>
      </c>
      <c r="S239" s="246">
        <f t="shared" si="72"/>
        <v>0</v>
      </c>
      <c r="T239" s="821">
        <f t="shared" si="73"/>
        <v>0</v>
      </c>
      <c r="U239" s="2689">
        <f t="shared" si="67"/>
        <v>0</v>
      </c>
      <c r="V239" s="2689">
        <f t="shared" si="68"/>
        <v>0</v>
      </c>
      <c r="W239" s="909"/>
      <c r="X239" s="2689">
        <f t="shared" si="69"/>
        <v>0</v>
      </c>
      <c r="Y239" s="2689">
        <f t="shared" si="70"/>
        <v>0</v>
      </c>
      <c r="Z239" s="909"/>
    </row>
    <row r="240" spans="1:26">
      <c r="A240" s="31"/>
      <c r="B240" s="19"/>
      <c r="C240" s="12">
        <f t="shared" si="59"/>
        <v>1</v>
      </c>
      <c r="D240" s="578"/>
      <c r="E240" s="12">
        <f t="shared" si="60"/>
        <v>1</v>
      </c>
      <c r="F240" s="578"/>
      <c r="G240" s="12">
        <f t="shared" si="61"/>
        <v>1</v>
      </c>
      <c r="H240" s="578"/>
      <c r="I240" s="12">
        <f t="shared" si="62"/>
        <v>1</v>
      </c>
      <c r="J240" s="578"/>
      <c r="K240" s="12">
        <f t="shared" si="63"/>
        <v>1</v>
      </c>
      <c r="L240" s="578"/>
      <c r="M240" s="12">
        <f t="shared" si="64"/>
        <v>1</v>
      </c>
      <c r="N240" s="578"/>
      <c r="O240" s="12">
        <f t="shared" si="65"/>
        <v>1</v>
      </c>
      <c r="P240" s="578"/>
      <c r="Q240" s="12">
        <f t="shared" si="66"/>
        <v>1</v>
      </c>
      <c r="R240" s="12">
        <f t="shared" si="71"/>
        <v>0</v>
      </c>
      <c r="S240" s="246">
        <f t="shared" si="72"/>
        <v>0</v>
      </c>
      <c r="T240" s="821">
        <f t="shared" si="73"/>
        <v>0</v>
      </c>
      <c r="U240" s="2689">
        <f t="shared" si="67"/>
        <v>0</v>
      </c>
      <c r="V240" s="2689">
        <f t="shared" si="68"/>
        <v>0</v>
      </c>
      <c r="W240" s="909"/>
      <c r="X240" s="2689">
        <f t="shared" si="69"/>
        <v>0</v>
      </c>
      <c r="Y240" s="2689">
        <f t="shared" si="70"/>
        <v>0</v>
      </c>
      <c r="Z240" s="909"/>
    </row>
    <row r="241" spans="1:26">
      <c r="A241" s="31"/>
      <c r="B241" s="19"/>
      <c r="C241" s="12">
        <f t="shared" si="59"/>
        <v>1</v>
      </c>
      <c r="D241" s="578"/>
      <c r="E241" s="12">
        <f t="shared" si="60"/>
        <v>1</v>
      </c>
      <c r="F241" s="578"/>
      <c r="G241" s="12">
        <f t="shared" si="61"/>
        <v>1</v>
      </c>
      <c r="H241" s="578"/>
      <c r="I241" s="12">
        <f t="shared" si="62"/>
        <v>1</v>
      </c>
      <c r="J241" s="578"/>
      <c r="K241" s="12">
        <f t="shared" si="63"/>
        <v>1</v>
      </c>
      <c r="L241" s="578"/>
      <c r="M241" s="12">
        <f t="shared" si="64"/>
        <v>1</v>
      </c>
      <c r="N241" s="578"/>
      <c r="O241" s="12">
        <f t="shared" si="65"/>
        <v>1</v>
      </c>
      <c r="P241" s="578"/>
      <c r="Q241" s="12">
        <f t="shared" si="66"/>
        <v>1</v>
      </c>
      <c r="R241" s="12">
        <f t="shared" si="71"/>
        <v>0</v>
      </c>
      <c r="S241" s="246">
        <f t="shared" si="72"/>
        <v>0</v>
      </c>
      <c r="T241" s="821">
        <f t="shared" si="73"/>
        <v>0</v>
      </c>
      <c r="U241" s="2689">
        <f t="shared" si="67"/>
        <v>0</v>
      </c>
      <c r="V241" s="2689">
        <f t="shared" si="68"/>
        <v>0</v>
      </c>
      <c r="W241" s="909"/>
      <c r="X241" s="2689">
        <f t="shared" si="69"/>
        <v>0</v>
      </c>
      <c r="Y241" s="2689">
        <f t="shared" si="70"/>
        <v>0</v>
      </c>
      <c r="Z241" s="909"/>
    </row>
    <row r="242" spans="1:26">
      <c r="A242" s="31"/>
      <c r="B242" s="19"/>
      <c r="C242" s="12">
        <f t="shared" si="59"/>
        <v>1</v>
      </c>
      <c r="D242" s="578"/>
      <c r="E242" s="12">
        <f t="shared" si="60"/>
        <v>1</v>
      </c>
      <c r="F242" s="578"/>
      <c r="G242" s="12">
        <f t="shared" si="61"/>
        <v>1</v>
      </c>
      <c r="H242" s="578"/>
      <c r="I242" s="12">
        <f t="shared" si="62"/>
        <v>1</v>
      </c>
      <c r="J242" s="578"/>
      <c r="K242" s="12">
        <f t="shared" si="63"/>
        <v>1</v>
      </c>
      <c r="L242" s="578"/>
      <c r="M242" s="12">
        <f t="shared" si="64"/>
        <v>1</v>
      </c>
      <c r="N242" s="578"/>
      <c r="O242" s="12">
        <f t="shared" si="65"/>
        <v>1</v>
      </c>
      <c r="P242" s="578"/>
      <c r="Q242" s="12">
        <f t="shared" si="66"/>
        <v>1</v>
      </c>
      <c r="R242" s="12">
        <f t="shared" si="71"/>
        <v>0</v>
      </c>
      <c r="S242" s="246">
        <f t="shared" si="72"/>
        <v>0</v>
      </c>
      <c r="T242" s="821">
        <f t="shared" si="73"/>
        <v>0</v>
      </c>
      <c r="U242" s="2689">
        <f t="shared" si="67"/>
        <v>0</v>
      </c>
      <c r="V242" s="2689">
        <f t="shared" si="68"/>
        <v>0</v>
      </c>
      <c r="W242" s="909"/>
      <c r="X242" s="2689">
        <f t="shared" si="69"/>
        <v>0</v>
      </c>
      <c r="Y242" s="2689">
        <f t="shared" si="70"/>
        <v>0</v>
      </c>
      <c r="Z242" s="909"/>
    </row>
    <row r="243" spans="1:26">
      <c r="A243" s="31"/>
      <c r="B243" s="19"/>
      <c r="C243" s="12">
        <f t="shared" si="59"/>
        <v>1</v>
      </c>
      <c r="D243" s="578"/>
      <c r="E243" s="12">
        <f t="shared" si="60"/>
        <v>1</v>
      </c>
      <c r="F243" s="578"/>
      <c r="G243" s="12">
        <f t="shared" si="61"/>
        <v>1</v>
      </c>
      <c r="H243" s="578"/>
      <c r="I243" s="12">
        <f t="shared" si="62"/>
        <v>1</v>
      </c>
      <c r="J243" s="578"/>
      <c r="K243" s="12">
        <f t="shared" si="63"/>
        <v>1</v>
      </c>
      <c r="L243" s="578"/>
      <c r="M243" s="12">
        <f t="shared" si="64"/>
        <v>1</v>
      </c>
      <c r="N243" s="578"/>
      <c r="O243" s="12">
        <f t="shared" si="65"/>
        <v>1</v>
      </c>
      <c r="P243" s="578"/>
      <c r="Q243" s="12">
        <f t="shared" si="66"/>
        <v>1</v>
      </c>
      <c r="R243" s="12">
        <f t="shared" si="71"/>
        <v>0</v>
      </c>
      <c r="S243" s="246">
        <f t="shared" si="72"/>
        <v>0</v>
      </c>
      <c r="T243" s="821">
        <f t="shared" si="73"/>
        <v>0</v>
      </c>
      <c r="U243" s="2689">
        <f t="shared" si="67"/>
        <v>0</v>
      </c>
      <c r="V243" s="2689">
        <f t="shared" si="68"/>
        <v>0</v>
      </c>
      <c r="W243" s="909"/>
      <c r="X243" s="2689">
        <f t="shared" si="69"/>
        <v>0</v>
      </c>
      <c r="Y243" s="2689">
        <f t="shared" si="70"/>
        <v>0</v>
      </c>
      <c r="Z243" s="909"/>
    </row>
    <row r="244" spans="1:26">
      <c r="A244" s="31"/>
      <c r="B244" s="19"/>
      <c r="C244" s="12">
        <f t="shared" si="59"/>
        <v>1</v>
      </c>
      <c r="D244" s="578"/>
      <c r="E244" s="12">
        <f t="shared" si="60"/>
        <v>1</v>
      </c>
      <c r="F244" s="578"/>
      <c r="G244" s="12">
        <f t="shared" si="61"/>
        <v>1</v>
      </c>
      <c r="H244" s="578"/>
      <c r="I244" s="12">
        <f t="shared" si="62"/>
        <v>1</v>
      </c>
      <c r="J244" s="578"/>
      <c r="K244" s="12">
        <f t="shared" si="63"/>
        <v>1</v>
      </c>
      <c r="L244" s="578"/>
      <c r="M244" s="12">
        <f t="shared" si="64"/>
        <v>1</v>
      </c>
      <c r="N244" s="578"/>
      <c r="O244" s="12">
        <f t="shared" si="65"/>
        <v>1</v>
      </c>
      <c r="P244" s="578"/>
      <c r="Q244" s="12">
        <f t="shared" si="66"/>
        <v>1</v>
      </c>
      <c r="R244" s="12">
        <f t="shared" si="71"/>
        <v>0</v>
      </c>
      <c r="S244" s="246">
        <f t="shared" si="72"/>
        <v>0</v>
      </c>
      <c r="T244" s="821">
        <f t="shared" si="73"/>
        <v>0</v>
      </c>
      <c r="U244" s="2689">
        <f t="shared" si="67"/>
        <v>0</v>
      </c>
      <c r="V244" s="2689">
        <f t="shared" si="68"/>
        <v>0</v>
      </c>
      <c r="W244" s="909"/>
      <c r="X244" s="2689">
        <f t="shared" si="69"/>
        <v>0</v>
      </c>
      <c r="Y244" s="2689">
        <f t="shared" si="70"/>
        <v>0</v>
      </c>
      <c r="Z244" s="909"/>
    </row>
    <row r="245" spans="1:26">
      <c r="A245" s="31"/>
      <c r="B245" s="19"/>
      <c r="C245" s="12">
        <f t="shared" si="59"/>
        <v>1</v>
      </c>
      <c r="D245" s="578"/>
      <c r="E245" s="12">
        <f t="shared" si="60"/>
        <v>1</v>
      </c>
      <c r="F245" s="578"/>
      <c r="G245" s="12">
        <f t="shared" si="61"/>
        <v>1</v>
      </c>
      <c r="H245" s="578"/>
      <c r="I245" s="12">
        <f t="shared" si="62"/>
        <v>1</v>
      </c>
      <c r="J245" s="578"/>
      <c r="K245" s="12">
        <f t="shared" si="63"/>
        <v>1</v>
      </c>
      <c r="L245" s="578"/>
      <c r="M245" s="12">
        <f t="shared" si="64"/>
        <v>1</v>
      </c>
      <c r="N245" s="578"/>
      <c r="O245" s="12">
        <f t="shared" si="65"/>
        <v>1</v>
      </c>
      <c r="P245" s="578"/>
      <c r="Q245" s="12">
        <f t="shared" si="66"/>
        <v>1</v>
      </c>
      <c r="R245" s="12">
        <f t="shared" si="71"/>
        <v>0</v>
      </c>
      <c r="S245" s="246">
        <f t="shared" si="72"/>
        <v>0</v>
      </c>
      <c r="T245" s="821">
        <f t="shared" si="73"/>
        <v>0</v>
      </c>
      <c r="U245" s="2689">
        <f t="shared" si="67"/>
        <v>0</v>
      </c>
      <c r="V245" s="2689">
        <f t="shared" si="68"/>
        <v>0</v>
      </c>
      <c r="W245" s="909"/>
      <c r="X245" s="2689">
        <f t="shared" si="69"/>
        <v>0</v>
      </c>
      <c r="Y245" s="2689">
        <f t="shared" si="70"/>
        <v>0</v>
      </c>
      <c r="Z245" s="909"/>
    </row>
    <row r="246" spans="1:26">
      <c r="A246" s="31"/>
      <c r="B246" s="19"/>
      <c r="C246" s="12">
        <f t="shared" si="59"/>
        <v>1</v>
      </c>
      <c r="D246" s="578"/>
      <c r="E246" s="12">
        <f t="shared" si="60"/>
        <v>1</v>
      </c>
      <c r="F246" s="578"/>
      <c r="G246" s="12">
        <f t="shared" si="61"/>
        <v>1</v>
      </c>
      <c r="H246" s="578"/>
      <c r="I246" s="12">
        <f t="shared" si="62"/>
        <v>1</v>
      </c>
      <c r="J246" s="578"/>
      <c r="K246" s="12">
        <f t="shared" si="63"/>
        <v>1</v>
      </c>
      <c r="L246" s="578"/>
      <c r="M246" s="12">
        <f t="shared" si="64"/>
        <v>1</v>
      </c>
      <c r="N246" s="578"/>
      <c r="O246" s="12">
        <f t="shared" si="65"/>
        <v>1</v>
      </c>
      <c r="P246" s="578"/>
      <c r="Q246" s="12">
        <f t="shared" si="66"/>
        <v>1</v>
      </c>
      <c r="R246" s="12">
        <f t="shared" si="71"/>
        <v>0</v>
      </c>
      <c r="S246" s="246">
        <f t="shared" si="72"/>
        <v>0</v>
      </c>
      <c r="T246" s="821">
        <f t="shared" si="73"/>
        <v>0</v>
      </c>
      <c r="U246" s="2689">
        <f t="shared" si="67"/>
        <v>0</v>
      </c>
      <c r="V246" s="2689">
        <f t="shared" si="68"/>
        <v>0</v>
      </c>
      <c r="W246" s="909"/>
      <c r="X246" s="2689">
        <f t="shared" si="69"/>
        <v>0</v>
      </c>
      <c r="Y246" s="2689">
        <f t="shared" si="70"/>
        <v>0</v>
      </c>
      <c r="Z246" s="909"/>
    </row>
    <row r="247" spans="1:26">
      <c r="A247" s="31"/>
      <c r="B247" s="19"/>
      <c r="C247" s="12">
        <f t="shared" si="59"/>
        <v>1</v>
      </c>
      <c r="D247" s="578"/>
      <c r="E247" s="12">
        <f t="shared" si="60"/>
        <v>1</v>
      </c>
      <c r="F247" s="578"/>
      <c r="G247" s="12">
        <f t="shared" si="61"/>
        <v>1</v>
      </c>
      <c r="H247" s="578"/>
      <c r="I247" s="12">
        <f t="shared" si="62"/>
        <v>1</v>
      </c>
      <c r="J247" s="578"/>
      <c r="K247" s="12">
        <f t="shared" si="63"/>
        <v>1</v>
      </c>
      <c r="L247" s="578"/>
      <c r="M247" s="12">
        <f t="shared" si="64"/>
        <v>1</v>
      </c>
      <c r="N247" s="578"/>
      <c r="O247" s="12">
        <f t="shared" si="65"/>
        <v>1</v>
      </c>
      <c r="P247" s="578"/>
      <c r="Q247" s="12">
        <f t="shared" si="66"/>
        <v>1</v>
      </c>
      <c r="R247" s="12">
        <f t="shared" si="71"/>
        <v>0</v>
      </c>
      <c r="S247" s="246">
        <f t="shared" si="72"/>
        <v>0</v>
      </c>
      <c r="T247" s="821">
        <f t="shared" si="73"/>
        <v>0</v>
      </c>
      <c r="U247" s="2689">
        <f t="shared" si="67"/>
        <v>0</v>
      </c>
      <c r="V247" s="2689">
        <f t="shared" si="68"/>
        <v>0</v>
      </c>
      <c r="W247" s="909"/>
      <c r="X247" s="2689">
        <f t="shared" si="69"/>
        <v>0</v>
      </c>
      <c r="Y247" s="2689">
        <f t="shared" si="70"/>
        <v>0</v>
      </c>
      <c r="Z247" s="909"/>
    </row>
    <row r="248" spans="1:26">
      <c r="A248" s="31"/>
      <c r="B248" s="19"/>
      <c r="C248" s="12">
        <f t="shared" si="59"/>
        <v>1</v>
      </c>
      <c r="D248" s="578"/>
      <c r="E248" s="12">
        <f t="shared" si="60"/>
        <v>1</v>
      </c>
      <c r="F248" s="578"/>
      <c r="G248" s="12">
        <f t="shared" si="61"/>
        <v>1</v>
      </c>
      <c r="H248" s="578"/>
      <c r="I248" s="12">
        <f t="shared" si="62"/>
        <v>1</v>
      </c>
      <c r="J248" s="578"/>
      <c r="K248" s="12">
        <f t="shared" si="63"/>
        <v>1</v>
      </c>
      <c r="L248" s="578"/>
      <c r="M248" s="12">
        <f t="shared" si="64"/>
        <v>1</v>
      </c>
      <c r="N248" s="578"/>
      <c r="O248" s="12">
        <f t="shared" si="65"/>
        <v>1</v>
      </c>
      <c r="P248" s="578"/>
      <c r="Q248" s="12">
        <f t="shared" si="66"/>
        <v>1</v>
      </c>
      <c r="R248" s="12">
        <f t="shared" si="71"/>
        <v>0</v>
      </c>
      <c r="S248" s="246">
        <f t="shared" si="72"/>
        <v>0</v>
      </c>
      <c r="T248" s="821">
        <f t="shared" si="73"/>
        <v>0</v>
      </c>
      <c r="U248" s="2689">
        <f t="shared" si="67"/>
        <v>0</v>
      </c>
      <c r="V248" s="2689">
        <f t="shared" si="68"/>
        <v>0</v>
      </c>
      <c r="W248" s="909"/>
      <c r="X248" s="2689">
        <f t="shared" si="69"/>
        <v>0</v>
      </c>
      <c r="Y248" s="2689">
        <f t="shared" si="70"/>
        <v>0</v>
      </c>
      <c r="Z248" s="909"/>
    </row>
    <row r="249" spans="1:26">
      <c r="A249" s="31"/>
      <c r="B249" s="19"/>
      <c r="C249" s="12">
        <f t="shared" si="59"/>
        <v>1</v>
      </c>
      <c r="D249" s="578"/>
      <c r="E249" s="12">
        <f t="shared" si="60"/>
        <v>1</v>
      </c>
      <c r="F249" s="578"/>
      <c r="G249" s="12">
        <f t="shared" si="61"/>
        <v>1</v>
      </c>
      <c r="H249" s="578"/>
      <c r="I249" s="12">
        <f t="shared" si="62"/>
        <v>1</v>
      </c>
      <c r="J249" s="578"/>
      <c r="K249" s="12">
        <f t="shared" si="63"/>
        <v>1</v>
      </c>
      <c r="L249" s="578"/>
      <c r="M249" s="12">
        <f t="shared" si="64"/>
        <v>1</v>
      </c>
      <c r="N249" s="578"/>
      <c r="O249" s="12">
        <f t="shared" si="65"/>
        <v>1</v>
      </c>
      <c r="P249" s="578"/>
      <c r="Q249" s="12">
        <f t="shared" si="66"/>
        <v>1</v>
      </c>
      <c r="R249" s="12">
        <f t="shared" si="71"/>
        <v>0</v>
      </c>
      <c r="S249" s="246">
        <f t="shared" si="72"/>
        <v>0</v>
      </c>
      <c r="T249" s="821">
        <f t="shared" si="73"/>
        <v>0</v>
      </c>
      <c r="U249" s="2689">
        <f t="shared" si="67"/>
        <v>0</v>
      </c>
      <c r="V249" s="2689">
        <f t="shared" si="68"/>
        <v>0</v>
      </c>
      <c r="W249" s="909"/>
      <c r="X249" s="2689">
        <f t="shared" si="69"/>
        <v>0</v>
      </c>
      <c r="Y249" s="2689">
        <f t="shared" si="70"/>
        <v>0</v>
      </c>
      <c r="Z249" s="909"/>
    </row>
    <row r="250" spans="1:26">
      <c r="A250" s="31"/>
      <c r="B250" s="19"/>
      <c r="C250" s="12">
        <f t="shared" si="59"/>
        <v>1</v>
      </c>
      <c r="D250" s="578"/>
      <c r="E250" s="12">
        <f t="shared" si="60"/>
        <v>1</v>
      </c>
      <c r="F250" s="578"/>
      <c r="G250" s="12">
        <f t="shared" si="61"/>
        <v>1</v>
      </c>
      <c r="H250" s="578"/>
      <c r="I250" s="12">
        <f t="shared" si="62"/>
        <v>1</v>
      </c>
      <c r="J250" s="578"/>
      <c r="K250" s="12">
        <f t="shared" si="63"/>
        <v>1</v>
      </c>
      <c r="L250" s="578"/>
      <c r="M250" s="12">
        <f t="shared" si="64"/>
        <v>1</v>
      </c>
      <c r="N250" s="578"/>
      <c r="O250" s="12">
        <f t="shared" si="65"/>
        <v>1</v>
      </c>
      <c r="P250" s="578"/>
      <c r="Q250" s="12">
        <f t="shared" si="66"/>
        <v>1</v>
      </c>
      <c r="R250" s="12">
        <f t="shared" si="71"/>
        <v>0</v>
      </c>
      <c r="S250" s="246">
        <f t="shared" si="72"/>
        <v>0</v>
      </c>
      <c r="T250" s="821">
        <f t="shared" si="73"/>
        <v>0</v>
      </c>
      <c r="U250" s="2689">
        <f t="shared" si="67"/>
        <v>0</v>
      </c>
      <c r="V250" s="2689">
        <f t="shared" si="68"/>
        <v>0</v>
      </c>
      <c r="W250" s="909"/>
      <c r="X250" s="2689">
        <f t="shared" si="69"/>
        <v>0</v>
      </c>
      <c r="Y250" s="2689">
        <f t="shared" si="70"/>
        <v>0</v>
      </c>
      <c r="Z250" s="909"/>
    </row>
    <row r="251" spans="1:26">
      <c r="A251" s="31"/>
      <c r="B251" s="19"/>
      <c r="C251" s="12">
        <f t="shared" si="59"/>
        <v>1</v>
      </c>
      <c r="D251" s="578"/>
      <c r="E251" s="12">
        <f t="shared" si="60"/>
        <v>1</v>
      </c>
      <c r="F251" s="578"/>
      <c r="G251" s="12">
        <f t="shared" si="61"/>
        <v>1</v>
      </c>
      <c r="H251" s="578"/>
      <c r="I251" s="12">
        <f t="shared" si="62"/>
        <v>1</v>
      </c>
      <c r="J251" s="578"/>
      <c r="K251" s="12">
        <f t="shared" si="63"/>
        <v>1</v>
      </c>
      <c r="L251" s="578"/>
      <c r="M251" s="12">
        <f t="shared" si="64"/>
        <v>1</v>
      </c>
      <c r="N251" s="578"/>
      <c r="O251" s="12">
        <f t="shared" si="65"/>
        <v>1</v>
      </c>
      <c r="P251" s="578"/>
      <c r="Q251" s="12">
        <f t="shared" si="66"/>
        <v>1</v>
      </c>
      <c r="R251" s="12">
        <f t="shared" si="71"/>
        <v>0</v>
      </c>
      <c r="S251" s="246">
        <f t="shared" si="72"/>
        <v>0</v>
      </c>
      <c r="T251" s="821">
        <f t="shared" si="73"/>
        <v>0</v>
      </c>
      <c r="U251" s="2689">
        <f t="shared" si="67"/>
        <v>0</v>
      </c>
      <c r="V251" s="2689">
        <f t="shared" si="68"/>
        <v>0</v>
      </c>
      <c r="W251" s="909"/>
      <c r="X251" s="2689">
        <f t="shared" si="69"/>
        <v>0</v>
      </c>
      <c r="Y251" s="2689">
        <f t="shared" si="70"/>
        <v>0</v>
      </c>
      <c r="Z251" s="909"/>
    </row>
    <row r="252" spans="1:26">
      <c r="A252" s="31"/>
      <c r="B252" s="19"/>
      <c r="C252" s="12">
        <f t="shared" si="59"/>
        <v>1</v>
      </c>
      <c r="D252" s="578"/>
      <c r="E252" s="12">
        <f t="shared" si="60"/>
        <v>1</v>
      </c>
      <c r="F252" s="578"/>
      <c r="G252" s="12">
        <f t="shared" si="61"/>
        <v>1</v>
      </c>
      <c r="H252" s="578"/>
      <c r="I252" s="12">
        <f t="shared" si="62"/>
        <v>1</v>
      </c>
      <c r="J252" s="578"/>
      <c r="K252" s="12">
        <f t="shared" si="63"/>
        <v>1</v>
      </c>
      <c r="L252" s="578"/>
      <c r="M252" s="12">
        <f t="shared" si="64"/>
        <v>1</v>
      </c>
      <c r="N252" s="578"/>
      <c r="O252" s="12">
        <f t="shared" si="65"/>
        <v>1</v>
      </c>
      <c r="P252" s="578"/>
      <c r="Q252" s="12">
        <f t="shared" si="66"/>
        <v>1</v>
      </c>
      <c r="R252" s="12">
        <f t="shared" si="71"/>
        <v>0</v>
      </c>
      <c r="S252" s="246">
        <f t="shared" si="72"/>
        <v>0</v>
      </c>
      <c r="T252" s="821">
        <f t="shared" si="73"/>
        <v>0</v>
      </c>
      <c r="U252" s="2689">
        <f t="shared" si="67"/>
        <v>0</v>
      </c>
      <c r="V252" s="2689">
        <f t="shared" si="68"/>
        <v>0</v>
      </c>
      <c r="W252" s="909"/>
      <c r="X252" s="2689">
        <f t="shared" si="69"/>
        <v>0</v>
      </c>
      <c r="Y252" s="2689">
        <f t="shared" si="70"/>
        <v>0</v>
      </c>
      <c r="Z252" s="909"/>
    </row>
    <row r="253" spans="1:26">
      <c r="A253" s="31"/>
      <c r="B253" s="19"/>
      <c r="C253" s="12">
        <f t="shared" si="59"/>
        <v>1</v>
      </c>
      <c r="D253" s="578"/>
      <c r="E253" s="12">
        <f t="shared" si="60"/>
        <v>1</v>
      </c>
      <c r="F253" s="578"/>
      <c r="G253" s="12">
        <f t="shared" si="61"/>
        <v>1</v>
      </c>
      <c r="H253" s="578"/>
      <c r="I253" s="12">
        <f t="shared" si="62"/>
        <v>1</v>
      </c>
      <c r="J253" s="578"/>
      <c r="K253" s="12">
        <f t="shared" si="63"/>
        <v>1</v>
      </c>
      <c r="L253" s="578"/>
      <c r="M253" s="12">
        <f t="shared" si="64"/>
        <v>1</v>
      </c>
      <c r="N253" s="578"/>
      <c r="O253" s="12">
        <f t="shared" si="65"/>
        <v>1</v>
      </c>
      <c r="P253" s="578"/>
      <c r="Q253" s="12">
        <f t="shared" si="66"/>
        <v>1</v>
      </c>
      <c r="R253" s="12">
        <f t="shared" si="71"/>
        <v>0</v>
      </c>
      <c r="S253" s="246">
        <f t="shared" si="72"/>
        <v>0</v>
      </c>
      <c r="T253" s="821">
        <f t="shared" si="73"/>
        <v>0</v>
      </c>
      <c r="U253" s="2689">
        <f t="shared" si="67"/>
        <v>0</v>
      </c>
      <c r="V253" s="2689">
        <f t="shared" si="68"/>
        <v>0</v>
      </c>
      <c r="W253" s="909"/>
      <c r="X253" s="2689">
        <f t="shared" si="69"/>
        <v>0</v>
      </c>
      <c r="Y253" s="2689">
        <f t="shared" si="70"/>
        <v>0</v>
      </c>
      <c r="Z253" s="909"/>
    </row>
    <row r="254" spans="1:26">
      <c r="A254" s="31"/>
      <c r="B254" s="19"/>
      <c r="C254" s="12">
        <f t="shared" si="59"/>
        <v>1</v>
      </c>
      <c r="D254" s="578"/>
      <c r="E254" s="12">
        <f t="shared" si="60"/>
        <v>1</v>
      </c>
      <c r="F254" s="578"/>
      <c r="G254" s="12">
        <f t="shared" si="61"/>
        <v>1</v>
      </c>
      <c r="H254" s="578"/>
      <c r="I254" s="12">
        <f t="shared" si="62"/>
        <v>1</v>
      </c>
      <c r="J254" s="578"/>
      <c r="K254" s="12">
        <f t="shared" si="63"/>
        <v>1</v>
      </c>
      <c r="L254" s="578"/>
      <c r="M254" s="12">
        <f t="shared" si="64"/>
        <v>1</v>
      </c>
      <c r="N254" s="578"/>
      <c r="O254" s="12">
        <f t="shared" si="65"/>
        <v>1</v>
      </c>
      <c r="P254" s="578"/>
      <c r="Q254" s="12">
        <f t="shared" si="66"/>
        <v>1</v>
      </c>
      <c r="R254" s="12">
        <f t="shared" si="71"/>
        <v>0</v>
      </c>
      <c r="S254" s="246">
        <f t="shared" si="72"/>
        <v>0</v>
      </c>
      <c r="T254" s="821">
        <f t="shared" si="73"/>
        <v>0</v>
      </c>
      <c r="U254" s="2689">
        <f t="shared" si="67"/>
        <v>0</v>
      </c>
      <c r="V254" s="2689">
        <f t="shared" si="68"/>
        <v>0</v>
      </c>
      <c r="W254" s="909"/>
      <c r="X254" s="2689">
        <f t="shared" si="69"/>
        <v>0</v>
      </c>
      <c r="Y254" s="2689">
        <f t="shared" si="70"/>
        <v>0</v>
      </c>
      <c r="Z254" s="909"/>
    </row>
    <row r="255" spans="1:26">
      <c r="A255" s="31"/>
      <c r="B255" s="19"/>
      <c r="C255" s="12">
        <f t="shared" si="59"/>
        <v>1</v>
      </c>
      <c r="D255" s="578"/>
      <c r="E255" s="12">
        <f t="shared" si="60"/>
        <v>1</v>
      </c>
      <c r="F255" s="578"/>
      <c r="G255" s="12">
        <f t="shared" si="61"/>
        <v>1</v>
      </c>
      <c r="H255" s="578"/>
      <c r="I255" s="12">
        <f t="shared" si="62"/>
        <v>1</v>
      </c>
      <c r="J255" s="578"/>
      <c r="K255" s="12">
        <f t="shared" si="63"/>
        <v>1</v>
      </c>
      <c r="L255" s="578"/>
      <c r="M255" s="12">
        <f t="shared" si="64"/>
        <v>1</v>
      </c>
      <c r="N255" s="578"/>
      <c r="O255" s="12">
        <f t="shared" si="65"/>
        <v>1</v>
      </c>
      <c r="P255" s="578"/>
      <c r="Q255" s="12">
        <f t="shared" si="66"/>
        <v>1</v>
      </c>
      <c r="R255" s="12">
        <f t="shared" si="71"/>
        <v>0</v>
      </c>
      <c r="S255" s="246">
        <f t="shared" si="72"/>
        <v>0</v>
      </c>
      <c r="T255" s="821">
        <f t="shared" si="73"/>
        <v>0</v>
      </c>
      <c r="U255" s="2689">
        <f t="shared" si="67"/>
        <v>0</v>
      </c>
      <c r="V255" s="2689">
        <f t="shared" si="68"/>
        <v>0</v>
      </c>
      <c r="W255" s="909"/>
      <c r="X255" s="2689">
        <f t="shared" si="69"/>
        <v>0</v>
      </c>
      <c r="Y255" s="2689">
        <f t="shared" si="70"/>
        <v>0</v>
      </c>
      <c r="Z255" s="909"/>
    </row>
    <row r="256" spans="1:26">
      <c r="A256" s="31"/>
      <c r="B256" s="19"/>
      <c r="C256" s="12">
        <f t="shared" si="59"/>
        <v>1</v>
      </c>
      <c r="D256" s="578"/>
      <c r="E256" s="12">
        <f t="shared" si="60"/>
        <v>1</v>
      </c>
      <c r="F256" s="578"/>
      <c r="G256" s="12">
        <f t="shared" si="61"/>
        <v>1</v>
      </c>
      <c r="H256" s="578"/>
      <c r="I256" s="12">
        <f t="shared" si="62"/>
        <v>1</v>
      </c>
      <c r="J256" s="578"/>
      <c r="K256" s="12">
        <f t="shared" si="63"/>
        <v>1</v>
      </c>
      <c r="L256" s="578"/>
      <c r="M256" s="12">
        <f t="shared" si="64"/>
        <v>1</v>
      </c>
      <c r="N256" s="578"/>
      <c r="O256" s="12">
        <f t="shared" si="65"/>
        <v>1</v>
      </c>
      <c r="P256" s="578"/>
      <c r="Q256" s="12">
        <f t="shared" si="66"/>
        <v>1</v>
      </c>
      <c r="R256" s="12">
        <f t="shared" si="71"/>
        <v>0</v>
      </c>
      <c r="S256" s="246">
        <f t="shared" si="72"/>
        <v>0</v>
      </c>
      <c r="T256" s="821">
        <f t="shared" si="73"/>
        <v>0</v>
      </c>
      <c r="U256" s="2689">
        <f t="shared" si="67"/>
        <v>0</v>
      </c>
      <c r="V256" s="2689">
        <f t="shared" si="68"/>
        <v>0</v>
      </c>
      <c r="W256" s="909"/>
      <c r="X256" s="2689">
        <f t="shared" si="69"/>
        <v>0</v>
      </c>
      <c r="Y256" s="2689">
        <f t="shared" si="70"/>
        <v>0</v>
      </c>
      <c r="Z256" s="909"/>
    </row>
    <row r="257" spans="1:26">
      <c r="A257" s="31"/>
      <c r="B257" s="19"/>
      <c r="C257" s="12">
        <f t="shared" si="59"/>
        <v>1</v>
      </c>
      <c r="D257" s="578"/>
      <c r="E257" s="12">
        <f t="shared" si="60"/>
        <v>1</v>
      </c>
      <c r="F257" s="578"/>
      <c r="G257" s="12">
        <f t="shared" si="61"/>
        <v>1</v>
      </c>
      <c r="H257" s="578"/>
      <c r="I257" s="12">
        <f t="shared" si="62"/>
        <v>1</v>
      </c>
      <c r="J257" s="578"/>
      <c r="K257" s="12">
        <f t="shared" si="63"/>
        <v>1</v>
      </c>
      <c r="L257" s="578"/>
      <c r="M257" s="12">
        <f t="shared" si="64"/>
        <v>1</v>
      </c>
      <c r="N257" s="578"/>
      <c r="O257" s="12">
        <f t="shared" si="65"/>
        <v>1</v>
      </c>
      <c r="P257" s="578"/>
      <c r="Q257" s="12">
        <f t="shared" si="66"/>
        <v>1</v>
      </c>
      <c r="R257" s="12">
        <f t="shared" si="71"/>
        <v>0</v>
      </c>
      <c r="S257" s="246">
        <f t="shared" si="72"/>
        <v>0</v>
      </c>
      <c r="T257" s="821">
        <f t="shared" si="73"/>
        <v>0</v>
      </c>
      <c r="U257" s="2689">
        <f t="shared" si="67"/>
        <v>0</v>
      </c>
      <c r="V257" s="2689">
        <f t="shared" si="68"/>
        <v>0</v>
      </c>
      <c r="W257" s="909"/>
      <c r="X257" s="2689">
        <f t="shared" si="69"/>
        <v>0</v>
      </c>
      <c r="Y257" s="2689">
        <f t="shared" si="70"/>
        <v>0</v>
      </c>
      <c r="Z257" s="909"/>
    </row>
    <row r="258" spans="1:26">
      <c r="A258" s="31"/>
      <c r="B258" s="19"/>
      <c r="C258" s="12">
        <f t="shared" si="59"/>
        <v>1</v>
      </c>
      <c r="D258" s="578"/>
      <c r="E258" s="12">
        <f t="shared" si="60"/>
        <v>1</v>
      </c>
      <c r="F258" s="578"/>
      <c r="G258" s="12">
        <f t="shared" si="61"/>
        <v>1</v>
      </c>
      <c r="H258" s="578"/>
      <c r="I258" s="12">
        <f t="shared" si="62"/>
        <v>1</v>
      </c>
      <c r="J258" s="578"/>
      <c r="K258" s="12">
        <f t="shared" si="63"/>
        <v>1</v>
      </c>
      <c r="L258" s="578"/>
      <c r="M258" s="12">
        <f t="shared" si="64"/>
        <v>1</v>
      </c>
      <c r="N258" s="578"/>
      <c r="O258" s="12">
        <f t="shared" si="65"/>
        <v>1</v>
      </c>
      <c r="P258" s="578"/>
      <c r="Q258" s="12">
        <f t="shared" si="66"/>
        <v>1</v>
      </c>
      <c r="R258" s="12">
        <f t="shared" si="71"/>
        <v>0</v>
      </c>
      <c r="S258" s="246">
        <f t="shared" si="72"/>
        <v>0</v>
      </c>
      <c r="T258" s="821">
        <f t="shared" si="73"/>
        <v>0</v>
      </c>
      <c r="U258" s="2689">
        <f t="shared" si="67"/>
        <v>0</v>
      </c>
      <c r="V258" s="2689">
        <f t="shared" si="68"/>
        <v>0</v>
      </c>
      <c r="W258" s="909"/>
      <c r="X258" s="2689">
        <f t="shared" si="69"/>
        <v>0</v>
      </c>
      <c r="Y258" s="2689">
        <f t="shared" si="70"/>
        <v>0</v>
      </c>
      <c r="Z258" s="909"/>
    </row>
    <row r="259" spans="1:26">
      <c r="A259" s="31"/>
      <c r="B259" s="19"/>
      <c r="C259" s="12">
        <f t="shared" si="59"/>
        <v>1</v>
      </c>
      <c r="D259" s="578"/>
      <c r="E259" s="12">
        <f t="shared" si="60"/>
        <v>1</v>
      </c>
      <c r="F259" s="578"/>
      <c r="G259" s="12">
        <f t="shared" si="61"/>
        <v>1</v>
      </c>
      <c r="H259" s="578"/>
      <c r="I259" s="12">
        <f t="shared" si="62"/>
        <v>1</v>
      </c>
      <c r="J259" s="578"/>
      <c r="K259" s="12">
        <f t="shared" si="63"/>
        <v>1</v>
      </c>
      <c r="L259" s="578"/>
      <c r="M259" s="12">
        <f t="shared" si="64"/>
        <v>1</v>
      </c>
      <c r="N259" s="578"/>
      <c r="O259" s="12">
        <f t="shared" si="65"/>
        <v>1</v>
      </c>
      <c r="P259" s="578"/>
      <c r="Q259" s="12">
        <f t="shared" si="66"/>
        <v>1</v>
      </c>
      <c r="R259" s="12">
        <f t="shared" si="71"/>
        <v>0</v>
      </c>
      <c r="S259" s="246">
        <f t="shared" si="72"/>
        <v>0</v>
      </c>
      <c r="T259" s="821">
        <f t="shared" si="73"/>
        <v>0</v>
      </c>
      <c r="U259" s="2689">
        <f t="shared" si="67"/>
        <v>0</v>
      </c>
      <c r="V259" s="2689">
        <f t="shared" si="68"/>
        <v>0</v>
      </c>
      <c r="W259" s="909"/>
      <c r="X259" s="2689">
        <f t="shared" si="69"/>
        <v>0</v>
      </c>
      <c r="Y259" s="2689">
        <f t="shared" si="70"/>
        <v>0</v>
      </c>
      <c r="Z259" s="909"/>
    </row>
    <row r="260" spans="1:26">
      <c r="A260" s="31"/>
      <c r="B260" s="19"/>
      <c r="C260" s="12">
        <f t="shared" si="59"/>
        <v>1</v>
      </c>
      <c r="D260" s="578"/>
      <c r="E260" s="12">
        <f t="shared" si="60"/>
        <v>1</v>
      </c>
      <c r="F260" s="578"/>
      <c r="G260" s="12">
        <f t="shared" si="61"/>
        <v>1</v>
      </c>
      <c r="H260" s="578"/>
      <c r="I260" s="12">
        <f t="shared" si="62"/>
        <v>1</v>
      </c>
      <c r="J260" s="578"/>
      <c r="K260" s="12">
        <f t="shared" si="63"/>
        <v>1</v>
      </c>
      <c r="L260" s="578"/>
      <c r="M260" s="12">
        <f t="shared" si="64"/>
        <v>1</v>
      </c>
      <c r="N260" s="578"/>
      <c r="O260" s="12">
        <f t="shared" si="65"/>
        <v>1</v>
      </c>
      <c r="P260" s="578"/>
      <c r="Q260" s="12">
        <f t="shared" si="66"/>
        <v>1</v>
      </c>
      <c r="R260" s="12">
        <f t="shared" si="71"/>
        <v>0</v>
      </c>
      <c r="S260" s="246">
        <f t="shared" si="72"/>
        <v>0</v>
      </c>
      <c r="T260" s="821">
        <f t="shared" si="73"/>
        <v>0</v>
      </c>
      <c r="U260" s="2689">
        <f t="shared" si="67"/>
        <v>0</v>
      </c>
      <c r="V260" s="2689">
        <f t="shared" si="68"/>
        <v>0</v>
      </c>
      <c r="W260" s="909"/>
      <c r="X260" s="2689">
        <f t="shared" si="69"/>
        <v>0</v>
      </c>
      <c r="Y260" s="2689">
        <f t="shared" si="70"/>
        <v>0</v>
      </c>
      <c r="Z260" s="909"/>
    </row>
    <row r="261" spans="1:26">
      <c r="A261" s="31"/>
      <c r="B261" s="19"/>
      <c r="C261" s="12">
        <f t="shared" si="59"/>
        <v>1</v>
      </c>
      <c r="D261" s="578"/>
      <c r="E261" s="12">
        <f t="shared" si="60"/>
        <v>1</v>
      </c>
      <c r="F261" s="578"/>
      <c r="G261" s="12">
        <f t="shared" si="61"/>
        <v>1</v>
      </c>
      <c r="H261" s="578"/>
      <c r="I261" s="12">
        <f t="shared" si="62"/>
        <v>1</v>
      </c>
      <c r="J261" s="578"/>
      <c r="K261" s="12">
        <f t="shared" si="63"/>
        <v>1</v>
      </c>
      <c r="L261" s="578"/>
      <c r="M261" s="12">
        <f t="shared" si="64"/>
        <v>1</v>
      </c>
      <c r="N261" s="578"/>
      <c r="O261" s="12">
        <f t="shared" si="65"/>
        <v>1</v>
      </c>
      <c r="P261" s="578"/>
      <c r="Q261" s="12">
        <f t="shared" si="66"/>
        <v>1</v>
      </c>
      <c r="R261" s="12">
        <f t="shared" si="71"/>
        <v>0</v>
      </c>
      <c r="S261" s="246">
        <f t="shared" si="72"/>
        <v>0</v>
      </c>
      <c r="T261" s="821">
        <f t="shared" si="73"/>
        <v>0</v>
      </c>
      <c r="U261" s="2689">
        <f t="shared" si="67"/>
        <v>0</v>
      </c>
      <c r="V261" s="2689">
        <f t="shared" si="68"/>
        <v>0</v>
      </c>
      <c r="W261" s="909"/>
      <c r="X261" s="2689">
        <f t="shared" si="69"/>
        <v>0</v>
      </c>
      <c r="Y261" s="2689">
        <f t="shared" si="70"/>
        <v>0</v>
      </c>
      <c r="Z261" s="909"/>
    </row>
    <row r="262" spans="1:26">
      <c r="A262" s="31"/>
      <c r="B262" s="19"/>
      <c r="C262" s="12">
        <f t="shared" si="59"/>
        <v>1</v>
      </c>
      <c r="D262" s="578"/>
      <c r="E262" s="12">
        <f t="shared" si="60"/>
        <v>1</v>
      </c>
      <c r="F262" s="578"/>
      <c r="G262" s="12">
        <f t="shared" si="61"/>
        <v>1</v>
      </c>
      <c r="H262" s="578"/>
      <c r="I262" s="12">
        <f t="shared" si="62"/>
        <v>1</v>
      </c>
      <c r="J262" s="578"/>
      <c r="K262" s="12">
        <f t="shared" si="63"/>
        <v>1</v>
      </c>
      <c r="L262" s="578"/>
      <c r="M262" s="12">
        <f t="shared" si="64"/>
        <v>1</v>
      </c>
      <c r="N262" s="578"/>
      <c r="O262" s="12">
        <f t="shared" si="65"/>
        <v>1</v>
      </c>
      <c r="P262" s="578"/>
      <c r="Q262" s="12">
        <f t="shared" si="66"/>
        <v>1</v>
      </c>
      <c r="R262" s="12">
        <f t="shared" si="71"/>
        <v>0</v>
      </c>
      <c r="S262" s="246">
        <f t="shared" si="72"/>
        <v>0</v>
      </c>
      <c r="T262" s="821">
        <f t="shared" si="73"/>
        <v>0</v>
      </c>
      <c r="U262" s="2689">
        <f t="shared" si="67"/>
        <v>0</v>
      </c>
      <c r="V262" s="2689">
        <f t="shared" si="68"/>
        <v>0</v>
      </c>
      <c r="W262" s="909"/>
      <c r="X262" s="2689">
        <f t="shared" si="69"/>
        <v>0</v>
      </c>
      <c r="Y262" s="2689">
        <f t="shared" si="70"/>
        <v>0</v>
      </c>
      <c r="Z262" s="909"/>
    </row>
    <row r="263" spans="1:26">
      <c r="A263" s="31"/>
      <c r="B263" s="19"/>
      <c r="C263" s="12">
        <f t="shared" si="59"/>
        <v>1</v>
      </c>
      <c r="D263" s="578"/>
      <c r="E263" s="12">
        <f t="shared" si="60"/>
        <v>1</v>
      </c>
      <c r="F263" s="578"/>
      <c r="G263" s="12">
        <f t="shared" si="61"/>
        <v>1</v>
      </c>
      <c r="H263" s="578"/>
      <c r="I263" s="12">
        <f t="shared" si="62"/>
        <v>1</v>
      </c>
      <c r="J263" s="578"/>
      <c r="K263" s="12">
        <f t="shared" si="63"/>
        <v>1</v>
      </c>
      <c r="L263" s="578"/>
      <c r="M263" s="12">
        <f t="shared" si="64"/>
        <v>1</v>
      </c>
      <c r="N263" s="578"/>
      <c r="O263" s="12">
        <f t="shared" si="65"/>
        <v>1</v>
      </c>
      <c r="P263" s="578"/>
      <c r="Q263" s="12">
        <f t="shared" si="66"/>
        <v>1</v>
      </c>
      <c r="R263" s="12">
        <f t="shared" si="71"/>
        <v>0</v>
      </c>
      <c r="S263" s="246">
        <f t="shared" si="72"/>
        <v>0</v>
      </c>
      <c r="T263" s="821">
        <f t="shared" si="73"/>
        <v>0</v>
      </c>
      <c r="U263" s="2689">
        <f t="shared" si="67"/>
        <v>0</v>
      </c>
      <c r="V263" s="2689">
        <f t="shared" si="68"/>
        <v>0</v>
      </c>
      <c r="W263" s="909"/>
      <c r="X263" s="2689">
        <f t="shared" si="69"/>
        <v>0</v>
      </c>
      <c r="Y263" s="2689">
        <f t="shared" si="70"/>
        <v>0</v>
      </c>
      <c r="Z263" s="909"/>
    </row>
    <row r="264" spans="1:26">
      <c r="A264" s="31"/>
      <c r="B264" s="19"/>
      <c r="C264" s="12">
        <f t="shared" si="59"/>
        <v>1</v>
      </c>
      <c r="D264" s="578"/>
      <c r="E264" s="12">
        <f t="shared" si="60"/>
        <v>1</v>
      </c>
      <c r="F264" s="578"/>
      <c r="G264" s="12">
        <f t="shared" si="61"/>
        <v>1</v>
      </c>
      <c r="H264" s="578"/>
      <c r="I264" s="12">
        <f t="shared" si="62"/>
        <v>1</v>
      </c>
      <c r="J264" s="578"/>
      <c r="K264" s="12">
        <f t="shared" si="63"/>
        <v>1</v>
      </c>
      <c r="L264" s="578"/>
      <c r="M264" s="12">
        <f t="shared" si="64"/>
        <v>1</v>
      </c>
      <c r="N264" s="578"/>
      <c r="O264" s="12">
        <f t="shared" si="65"/>
        <v>1</v>
      </c>
      <c r="P264" s="578"/>
      <c r="Q264" s="12">
        <f t="shared" si="66"/>
        <v>1</v>
      </c>
      <c r="R264" s="12">
        <f t="shared" si="71"/>
        <v>0</v>
      </c>
      <c r="S264" s="246">
        <f t="shared" si="72"/>
        <v>0</v>
      </c>
      <c r="T264" s="821">
        <f t="shared" si="73"/>
        <v>0</v>
      </c>
      <c r="U264" s="2689">
        <f t="shared" si="67"/>
        <v>0</v>
      </c>
      <c r="V264" s="2689">
        <f t="shared" si="68"/>
        <v>0</v>
      </c>
      <c r="W264" s="909"/>
      <c r="X264" s="2689">
        <f t="shared" si="69"/>
        <v>0</v>
      </c>
      <c r="Y264" s="2689">
        <f t="shared" si="70"/>
        <v>0</v>
      </c>
      <c r="Z264" s="909"/>
    </row>
    <row r="265" spans="1:26">
      <c r="A265" s="31"/>
      <c r="B265" s="19"/>
      <c r="C265" s="12">
        <f t="shared" si="59"/>
        <v>1</v>
      </c>
      <c r="D265" s="578"/>
      <c r="E265" s="12">
        <f t="shared" si="60"/>
        <v>1</v>
      </c>
      <c r="F265" s="578"/>
      <c r="G265" s="12">
        <f t="shared" si="61"/>
        <v>1</v>
      </c>
      <c r="H265" s="578"/>
      <c r="I265" s="12">
        <f t="shared" si="62"/>
        <v>1</v>
      </c>
      <c r="J265" s="578"/>
      <c r="K265" s="12">
        <f t="shared" si="63"/>
        <v>1</v>
      </c>
      <c r="L265" s="578"/>
      <c r="M265" s="12">
        <f t="shared" si="64"/>
        <v>1</v>
      </c>
      <c r="N265" s="578"/>
      <c r="O265" s="12">
        <f t="shared" si="65"/>
        <v>1</v>
      </c>
      <c r="P265" s="578"/>
      <c r="Q265" s="12">
        <f t="shared" si="66"/>
        <v>1</v>
      </c>
      <c r="R265" s="12">
        <f t="shared" si="71"/>
        <v>0</v>
      </c>
      <c r="S265" s="246">
        <f t="shared" si="72"/>
        <v>0</v>
      </c>
      <c r="T265" s="821">
        <f t="shared" si="73"/>
        <v>0</v>
      </c>
      <c r="U265" s="2689">
        <f t="shared" si="67"/>
        <v>0</v>
      </c>
      <c r="V265" s="2689">
        <f t="shared" si="68"/>
        <v>0</v>
      </c>
      <c r="W265" s="909"/>
      <c r="X265" s="2689">
        <f t="shared" si="69"/>
        <v>0</v>
      </c>
      <c r="Y265" s="2689">
        <f t="shared" si="70"/>
        <v>0</v>
      </c>
      <c r="Z265" s="909"/>
    </row>
    <row r="266" spans="1:26">
      <c r="A266" s="31"/>
      <c r="B266" s="19"/>
      <c r="C266" s="12">
        <f t="shared" si="59"/>
        <v>1</v>
      </c>
      <c r="D266" s="578"/>
      <c r="E266" s="12">
        <f t="shared" si="60"/>
        <v>1</v>
      </c>
      <c r="F266" s="578"/>
      <c r="G266" s="12">
        <f t="shared" si="61"/>
        <v>1</v>
      </c>
      <c r="H266" s="578"/>
      <c r="I266" s="12">
        <f t="shared" si="62"/>
        <v>1</v>
      </c>
      <c r="J266" s="578"/>
      <c r="K266" s="12">
        <f t="shared" si="63"/>
        <v>1</v>
      </c>
      <c r="L266" s="578"/>
      <c r="M266" s="12">
        <f t="shared" si="64"/>
        <v>1</v>
      </c>
      <c r="N266" s="578"/>
      <c r="O266" s="12">
        <f t="shared" si="65"/>
        <v>1</v>
      </c>
      <c r="P266" s="578"/>
      <c r="Q266" s="12">
        <f t="shared" si="66"/>
        <v>1</v>
      </c>
      <c r="R266" s="12">
        <f t="shared" si="71"/>
        <v>0</v>
      </c>
      <c r="S266" s="246">
        <f t="shared" si="72"/>
        <v>0</v>
      </c>
      <c r="T266" s="821">
        <f t="shared" si="73"/>
        <v>0</v>
      </c>
      <c r="U266" s="2689">
        <f t="shared" si="67"/>
        <v>0</v>
      </c>
      <c r="V266" s="2689">
        <f t="shared" si="68"/>
        <v>0</v>
      </c>
      <c r="W266" s="909"/>
      <c r="X266" s="2689">
        <f t="shared" si="69"/>
        <v>0</v>
      </c>
      <c r="Y266" s="2689">
        <f t="shared" si="70"/>
        <v>0</v>
      </c>
      <c r="Z266" s="909"/>
    </row>
    <row r="267" spans="1:26">
      <c r="A267" s="31"/>
      <c r="B267" s="19"/>
      <c r="C267" s="12">
        <f t="shared" si="59"/>
        <v>1</v>
      </c>
      <c r="D267" s="578"/>
      <c r="E267" s="12">
        <f t="shared" si="60"/>
        <v>1</v>
      </c>
      <c r="F267" s="578"/>
      <c r="G267" s="12">
        <f t="shared" si="61"/>
        <v>1</v>
      </c>
      <c r="H267" s="578"/>
      <c r="I267" s="12">
        <f t="shared" si="62"/>
        <v>1</v>
      </c>
      <c r="J267" s="578"/>
      <c r="K267" s="12">
        <f t="shared" si="63"/>
        <v>1</v>
      </c>
      <c r="L267" s="578"/>
      <c r="M267" s="12">
        <f t="shared" si="64"/>
        <v>1</v>
      </c>
      <c r="N267" s="578"/>
      <c r="O267" s="12">
        <f t="shared" si="65"/>
        <v>1</v>
      </c>
      <c r="P267" s="578"/>
      <c r="Q267" s="12">
        <f t="shared" si="66"/>
        <v>1</v>
      </c>
      <c r="R267" s="12">
        <f t="shared" si="71"/>
        <v>0</v>
      </c>
      <c r="S267" s="246">
        <f t="shared" si="72"/>
        <v>0</v>
      </c>
      <c r="T267" s="821">
        <f t="shared" si="73"/>
        <v>0</v>
      </c>
      <c r="U267" s="2689">
        <f t="shared" si="67"/>
        <v>0</v>
      </c>
      <c r="V267" s="2689">
        <f t="shared" si="68"/>
        <v>0</v>
      </c>
      <c r="W267" s="909"/>
      <c r="X267" s="2689">
        <f t="shared" si="69"/>
        <v>0</v>
      </c>
      <c r="Y267" s="2689">
        <f t="shared" si="70"/>
        <v>0</v>
      </c>
      <c r="Z267" s="909"/>
    </row>
    <row r="268" spans="1:26">
      <c r="A268" s="31"/>
      <c r="B268" s="19"/>
      <c r="C268" s="12">
        <f t="shared" si="59"/>
        <v>1</v>
      </c>
      <c r="D268" s="578"/>
      <c r="E268" s="12">
        <f t="shared" si="60"/>
        <v>1</v>
      </c>
      <c r="F268" s="578"/>
      <c r="G268" s="12">
        <f t="shared" si="61"/>
        <v>1</v>
      </c>
      <c r="H268" s="578"/>
      <c r="I268" s="12">
        <f t="shared" si="62"/>
        <v>1</v>
      </c>
      <c r="J268" s="578"/>
      <c r="K268" s="12">
        <f t="shared" si="63"/>
        <v>1</v>
      </c>
      <c r="L268" s="578"/>
      <c r="M268" s="12">
        <f t="shared" si="64"/>
        <v>1</v>
      </c>
      <c r="N268" s="578"/>
      <c r="O268" s="12">
        <f t="shared" si="65"/>
        <v>1</v>
      </c>
      <c r="P268" s="578"/>
      <c r="Q268" s="12">
        <f t="shared" si="66"/>
        <v>1</v>
      </c>
      <c r="R268" s="12">
        <f t="shared" si="71"/>
        <v>0</v>
      </c>
      <c r="S268" s="246">
        <f t="shared" si="72"/>
        <v>0</v>
      </c>
      <c r="T268" s="821">
        <f t="shared" si="73"/>
        <v>0</v>
      </c>
      <c r="U268" s="2689">
        <f t="shared" si="67"/>
        <v>0</v>
      </c>
      <c r="V268" s="2689">
        <f t="shared" si="68"/>
        <v>0</v>
      </c>
      <c r="W268" s="909"/>
      <c r="X268" s="2689">
        <f t="shared" si="69"/>
        <v>0</v>
      </c>
      <c r="Y268" s="2689">
        <f t="shared" si="70"/>
        <v>0</v>
      </c>
      <c r="Z268" s="909"/>
    </row>
    <row r="269" spans="1:26">
      <c r="A269" s="31"/>
      <c r="B269" s="19"/>
      <c r="C269" s="12">
        <f t="shared" si="59"/>
        <v>1</v>
      </c>
      <c r="D269" s="578"/>
      <c r="E269" s="12">
        <f t="shared" si="60"/>
        <v>1</v>
      </c>
      <c r="F269" s="578"/>
      <c r="G269" s="12">
        <f t="shared" si="61"/>
        <v>1</v>
      </c>
      <c r="H269" s="578"/>
      <c r="I269" s="12">
        <f t="shared" si="62"/>
        <v>1</v>
      </c>
      <c r="J269" s="578"/>
      <c r="K269" s="12">
        <f t="shared" si="63"/>
        <v>1</v>
      </c>
      <c r="L269" s="578"/>
      <c r="M269" s="12">
        <f t="shared" si="64"/>
        <v>1</v>
      </c>
      <c r="N269" s="578"/>
      <c r="O269" s="12">
        <f t="shared" si="65"/>
        <v>1</v>
      </c>
      <c r="P269" s="578"/>
      <c r="Q269" s="12">
        <f t="shared" si="66"/>
        <v>1</v>
      </c>
      <c r="R269" s="12">
        <f t="shared" si="71"/>
        <v>0</v>
      </c>
      <c r="S269" s="246">
        <f t="shared" si="72"/>
        <v>0</v>
      </c>
      <c r="T269" s="821">
        <f t="shared" si="73"/>
        <v>0</v>
      </c>
      <c r="U269" s="2689">
        <f t="shared" si="67"/>
        <v>0</v>
      </c>
      <c r="V269" s="2689">
        <f t="shared" si="68"/>
        <v>0</v>
      </c>
      <c r="W269" s="909"/>
      <c r="X269" s="2689">
        <f t="shared" si="69"/>
        <v>0</v>
      </c>
      <c r="Y269" s="2689">
        <f t="shared" si="70"/>
        <v>0</v>
      </c>
      <c r="Z269" s="909"/>
    </row>
    <row r="270" spans="1:26">
      <c r="A270" s="31"/>
      <c r="B270" s="19"/>
      <c r="C270" s="12">
        <f t="shared" si="59"/>
        <v>1</v>
      </c>
      <c r="D270" s="578"/>
      <c r="E270" s="12">
        <f t="shared" si="60"/>
        <v>1</v>
      </c>
      <c r="F270" s="578"/>
      <c r="G270" s="12">
        <f t="shared" si="61"/>
        <v>1</v>
      </c>
      <c r="H270" s="578"/>
      <c r="I270" s="12">
        <f t="shared" si="62"/>
        <v>1</v>
      </c>
      <c r="J270" s="578"/>
      <c r="K270" s="12">
        <f t="shared" si="63"/>
        <v>1</v>
      </c>
      <c r="L270" s="578"/>
      <c r="M270" s="12">
        <f t="shared" si="64"/>
        <v>1</v>
      </c>
      <c r="N270" s="578"/>
      <c r="O270" s="12">
        <f t="shared" si="65"/>
        <v>1</v>
      </c>
      <c r="P270" s="578"/>
      <c r="Q270" s="12">
        <f t="shared" si="66"/>
        <v>1</v>
      </c>
      <c r="R270" s="12">
        <f t="shared" si="71"/>
        <v>0</v>
      </c>
      <c r="S270" s="246">
        <f t="shared" si="72"/>
        <v>0</v>
      </c>
      <c r="T270" s="821">
        <f t="shared" si="73"/>
        <v>0</v>
      </c>
      <c r="U270" s="2689">
        <f t="shared" si="67"/>
        <v>0</v>
      </c>
      <c r="V270" s="2689">
        <f t="shared" si="68"/>
        <v>0</v>
      </c>
      <c r="W270" s="909"/>
      <c r="X270" s="2689">
        <f t="shared" si="69"/>
        <v>0</v>
      </c>
      <c r="Y270" s="2689">
        <f t="shared" si="70"/>
        <v>0</v>
      </c>
      <c r="Z270" s="909"/>
    </row>
    <row r="271" spans="1:26">
      <c r="A271" s="31"/>
      <c r="B271" s="19"/>
      <c r="C271" s="12">
        <f t="shared" si="59"/>
        <v>1</v>
      </c>
      <c r="D271" s="578"/>
      <c r="E271" s="12">
        <f t="shared" si="60"/>
        <v>1</v>
      </c>
      <c r="F271" s="578"/>
      <c r="G271" s="12">
        <f t="shared" si="61"/>
        <v>1</v>
      </c>
      <c r="H271" s="578"/>
      <c r="I271" s="12">
        <f t="shared" si="62"/>
        <v>1</v>
      </c>
      <c r="J271" s="578"/>
      <c r="K271" s="12">
        <f t="shared" si="63"/>
        <v>1</v>
      </c>
      <c r="L271" s="578"/>
      <c r="M271" s="12">
        <f t="shared" si="64"/>
        <v>1</v>
      </c>
      <c r="N271" s="578"/>
      <c r="O271" s="12">
        <f t="shared" si="65"/>
        <v>1</v>
      </c>
      <c r="P271" s="578"/>
      <c r="Q271" s="12">
        <f t="shared" si="66"/>
        <v>1</v>
      </c>
      <c r="R271" s="12">
        <f t="shared" si="71"/>
        <v>0</v>
      </c>
      <c r="S271" s="246">
        <f t="shared" si="72"/>
        <v>0</v>
      </c>
      <c r="T271" s="821">
        <f t="shared" si="73"/>
        <v>0</v>
      </c>
      <c r="U271" s="2689">
        <f t="shared" si="67"/>
        <v>0</v>
      </c>
      <c r="V271" s="2689">
        <f t="shared" si="68"/>
        <v>0</v>
      </c>
      <c r="W271" s="909"/>
      <c r="X271" s="2689">
        <f t="shared" si="69"/>
        <v>0</v>
      </c>
      <c r="Y271" s="2689">
        <f t="shared" si="70"/>
        <v>0</v>
      </c>
      <c r="Z271" s="909"/>
    </row>
    <row r="272" spans="1:26">
      <c r="A272" s="31"/>
      <c r="B272" s="19"/>
      <c r="C272" s="12">
        <f t="shared" si="59"/>
        <v>1</v>
      </c>
      <c r="D272" s="578"/>
      <c r="E272" s="12">
        <f t="shared" si="60"/>
        <v>1</v>
      </c>
      <c r="F272" s="578"/>
      <c r="G272" s="12">
        <f t="shared" si="61"/>
        <v>1</v>
      </c>
      <c r="H272" s="578"/>
      <c r="I272" s="12">
        <f t="shared" si="62"/>
        <v>1</v>
      </c>
      <c r="J272" s="578"/>
      <c r="K272" s="12">
        <f t="shared" si="63"/>
        <v>1</v>
      </c>
      <c r="L272" s="578"/>
      <c r="M272" s="12">
        <f t="shared" si="64"/>
        <v>1</v>
      </c>
      <c r="N272" s="578"/>
      <c r="O272" s="12">
        <f t="shared" si="65"/>
        <v>1</v>
      </c>
      <c r="P272" s="578"/>
      <c r="Q272" s="12">
        <f t="shared" si="66"/>
        <v>1</v>
      </c>
      <c r="R272" s="12">
        <f t="shared" si="71"/>
        <v>0</v>
      </c>
      <c r="S272" s="246">
        <f t="shared" si="72"/>
        <v>0</v>
      </c>
      <c r="T272" s="821">
        <f t="shared" si="73"/>
        <v>0</v>
      </c>
      <c r="U272" s="2689">
        <f t="shared" si="67"/>
        <v>0</v>
      </c>
      <c r="V272" s="2689">
        <f t="shared" si="68"/>
        <v>0</v>
      </c>
      <c r="W272" s="909"/>
      <c r="X272" s="2689">
        <f t="shared" si="69"/>
        <v>0</v>
      </c>
      <c r="Y272" s="2689">
        <f t="shared" si="70"/>
        <v>0</v>
      </c>
      <c r="Z272" s="909"/>
    </row>
    <row r="273" spans="1:26">
      <c r="A273" s="31"/>
      <c r="B273" s="19"/>
      <c r="C273" s="12">
        <f t="shared" si="59"/>
        <v>1</v>
      </c>
      <c r="D273" s="578"/>
      <c r="E273" s="12">
        <f t="shared" si="60"/>
        <v>1</v>
      </c>
      <c r="F273" s="578"/>
      <c r="G273" s="12">
        <f t="shared" si="61"/>
        <v>1</v>
      </c>
      <c r="H273" s="578"/>
      <c r="I273" s="12">
        <f t="shared" si="62"/>
        <v>1</v>
      </c>
      <c r="J273" s="578"/>
      <c r="K273" s="12">
        <f t="shared" si="63"/>
        <v>1</v>
      </c>
      <c r="L273" s="578"/>
      <c r="M273" s="12">
        <f t="shared" si="64"/>
        <v>1</v>
      </c>
      <c r="N273" s="578"/>
      <c r="O273" s="12">
        <f t="shared" si="65"/>
        <v>1</v>
      </c>
      <c r="P273" s="578"/>
      <c r="Q273" s="12">
        <f t="shared" si="66"/>
        <v>1</v>
      </c>
      <c r="R273" s="12">
        <f t="shared" si="71"/>
        <v>0</v>
      </c>
      <c r="S273" s="246">
        <f t="shared" si="72"/>
        <v>0</v>
      </c>
      <c r="T273" s="821">
        <f t="shared" si="73"/>
        <v>0</v>
      </c>
      <c r="U273" s="2689">
        <f t="shared" si="67"/>
        <v>0</v>
      </c>
      <c r="V273" s="2689">
        <f t="shared" si="68"/>
        <v>0</v>
      </c>
      <c r="W273" s="909"/>
      <c r="X273" s="2689">
        <f t="shared" si="69"/>
        <v>0</v>
      </c>
      <c r="Y273" s="2689">
        <f t="shared" si="70"/>
        <v>0</v>
      </c>
      <c r="Z273" s="909"/>
    </row>
    <row r="274" spans="1:26">
      <c r="A274" s="31"/>
      <c r="B274" s="19"/>
      <c r="C274" s="12">
        <f t="shared" si="59"/>
        <v>1</v>
      </c>
      <c r="D274" s="578"/>
      <c r="E274" s="12">
        <f t="shared" si="60"/>
        <v>1</v>
      </c>
      <c r="F274" s="578"/>
      <c r="G274" s="12">
        <f t="shared" si="61"/>
        <v>1</v>
      </c>
      <c r="H274" s="578"/>
      <c r="I274" s="12">
        <f t="shared" si="62"/>
        <v>1</v>
      </c>
      <c r="J274" s="578"/>
      <c r="K274" s="12">
        <f t="shared" si="63"/>
        <v>1</v>
      </c>
      <c r="L274" s="578"/>
      <c r="M274" s="12">
        <f t="shared" si="64"/>
        <v>1</v>
      </c>
      <c r="N274" s="578"/>
      <c r="O274" s="12">
        <f t="shared" si="65"/>
        <v>1</v>
      </c>
      <c r="P274" s="578"/>
      <c r="Q274" s="12">
        <f t="shared" si="66"/>
        <v>1</v>
      </c>
      <c r="R274" s="12">
        <f t="shared" si="71"/>
        <v>0</v>
      </c>
      <c r="S274" s="246">
        <f t="shared" si="72"/>
        <v>0</v>
      </c>
      <c r="T274" s="821">
        <f t="shared" si="73"/>
        <v>0</v>
      </c>
      <c r="U274" s="2689">
        <f t="shared" si="67"/>
        <v>0</v>
      </c>
      <c r="V274" s="2689">
        <f t="shared" si="68"/>
        <v>0</v>
      </c>
      <c r="W274" s="909"/>
      <c r="X274" s="2689">
        <f t="shared" si="69"/>
        <v>0</v>
      </c>
      <c r="Y274" s="2689">
        <f t="shared" si="70"/>
        <v>0</v>
      </c>
      <c r="Z274" s="909"/>
    </row>
    <row r="275" spans="1:26">
      <c r="A275" s="31"/>
      <c r="B275" s="19"/>
      <c r="C275" s="12">
        <f t="shared" si="59"/>
        <v>1</v>
      </c>
      <c r="D275" s="578"/>
      <c r="E275" s="12">
        <f t="shared" si="60"/>
        <v>1</v>
      </c>
      <c r="F275" s="578"/>
      <c r="G275" s="12">
        <f t="shared" si="61"/>
        <v>1</v>
      </c>
      <c r="H275" s="578"/>
      <c r="I275" s="12">
        <f t="shared" si="62"/>
        <v>1</v>
      </c>
      <c r="J275" s="578"/>
      <c r="K275" s="12">
        <f t="shared" si="63"/>
        <v>1</v>
      </c>
      <c r="L275" s="578"/>
      <c r="M275" s="12">
        <f t="shared" si="64"/>
        <v>1</v>
      </c>
      <c r="N275" s="578"/>
      <c r="O275" s="12">
        <f t="shared" si="65"/>
        <v>1</v>
      </c>
      <c r="P275" s="578"/>
      <c r="Q275" s="12">
        <f t="shared" si="66"/>
        <v>1</v>
      </c>
      <c r="R275" s="12">
        <f t="shared" si="71"/>
        <v>0</v>
      </c>
      <c r="S275" s="246">
        <f t="shared" si="72"/>
        <v>0</v>
      </c>
      <c r="T275" s="821">
        <f t="shared" si="73"/>
        <v>0</v>
      </c>
      <c r="U275" s="2689">
        <f t="shared" si="67"/>
        <v>0</v>
      </c>
      <c r="V275" s="2689">
        <f t="shared" si="68"/>
        <v>0</v>
      </c>
      <c r="W275" s="909"/>
      <c r="X275" s="2689">
        <f t="shared" si="69"/>
        <v>0</v>
      </c>
      <c r="Y275" s="2689">
        <f t="shared" si="70"/>
        <v>0</v>
      </c>
      <c r="Z275" s="909"/>
    </row>
    <row r="276" spans="1:26">
      <c r="A276" s="31"/>
      <c r="B276" s="19"/>
      <c r="C276" s="12">
        <f t="shared" si="59"/>
        <v>1</v>
      </c>
      <c r="D276" s="578"/>
      <c r="E276" s="12">
        <f t="shared" si="60"/>
        <v>1</v>
      </c>
      <c r="F276" s="578"/>
      <c r="G276" s="12">
        <f t="shared" si="61"/>
        <v>1</v>
      </c>
      <c r="H276" s="578"/>
      <c r="I276" s="12">
        <f t="shared" si="62"/>
        <v>1</v>
      </c>
      <c r="J276" s="578"/>
      <c r="K276" s="12">
        <f t="shared" si="63"/>
        <v>1</v>
      </c>
      <c r="L276" s="578"/>
      <c r="M276" s="12">
        <f t="shared" si="64"/>
        <v>1</v>
      </c>
      <c r="N276" s="578"/>
      <c r="O276" s="12">
        <f t="shared" si="65"/>
        <v>1</v>
      </c>
      <c r="P276" s="578"/>
      <c r="Q276" s="12">
        <f t="shared" si="66"/>
        <v>1</v>
      </c>
      <c r="R276" s="12">
        <f t="shared" si="71"/>
        <v>0</v>
      </c>
      <c r="S276" s="246">
        <f t="shared" si="72"/>
        <v>0</v>
      </c>
      <c r="T276" s="821">
        <f t="shared" si="73"/>
        <v>0</v>
      </c>
      <c r="U276" s="2689">
        <f t="shared" si="67"/>
        <v>0</v>
      </c>
      <c r="V276" s="2689">
        <f t="shared" si="68"/>
        <v>0</v>
      </c>
      <c r="W276" s="909"/>
      <c r="X276" s="2689">
        <f t="shared" si="69"/>
        <v>0</v>
      </c>
      <c r="Y276" s="2689">
        <f t="shared" si="70"/>
        <v>0</v>
      </c>
      <c r="Z276" s="909"/>
    </row>
    <row r="277" spans="1:26">
      <c r="A277" s="31"/>
      <c r="B277" s="19"/>
      <c r="C277" s="12">
        <f t="shared" si="59"/>
        <v>1</v>
      </c>
      <c r="D277" s="578"/>
      <c r="E277" s="12">
        <f t="shared" si="60"/>
        <v>1</v>
      </c>
      <c r="F277" s="578"/>
      <c r="G277" s="12">
        <f t="shared" si="61"/>
        <v>1</v>
      </c>
      <c r="H277" s="578"/>
      <c r="I277" s="12">
        <f t="shared" si="62"/>
        <v>1</v>
      </c>
      <c r="J277" s="578"/>
      <c r="K277" s="12">
        <f t="shared" si="63"/>
        <v>1</v>
      </c>
      <c r="L277" s="578"/>
      <c r="M277" s="12">
        <f t="shared" si="64"/>
        <v>1</v>
      </c>
      <c r="N277" s="578"/>
      <c r="O277" s="12">
        <f t="shared" si="65"/>
        <v>1</v>
      </c>
      <c r="P277" s="578"/>
      <c r="Q277" s="12">
        <f t="shared" si="66"/>
        <v>1</v>
      </c>
      <c r="R277" s="12">
        <f t="shared" si="71"/>
        <v>0</v>
      </c>
      <c r="S277" s="246">
        <f t="shared" si="72"/>
        <v>0</v>
      </c>
      <c r="T277" s="821">
        <f t="shared" si="73"/>
        <v>0</v>
      </c>
      <c r="U277" s="2689">
        <f t="shared" si="67"/>
        <v>0</v>
      </c>
      <c r="V277" s="2689">
        <f t="shared" si="68"/>
        <v>0</v>
      </c>
      <c r="W277" s="909"/>
      <c r="X277" s="2689">
        <f t="shared" si="69"/>
        <v>0</v>
      </c>
      <c r="Y277" s="2689">
        <f t="shared" si="70"/>
        <v>0</v>
      </c>
      <c r="Z277" s="909"/>
    </row>
    <row r="278" spans="1:26">
      <c r="A278" s="31"/>
      <c r="B278" s="19"/>
      <c r="C278" s="12">
        <f t="shared" si="59"/>
        <v>1</v>
      </c>
      <c r="D278" s="578"/>
      <c r="E278" s="12">
        <f t="shared" si="60"/>
        <v>1</v>
      </c>
      <c r="F278" s="578"/>
      <c r="G278" s="12">
        <f t="shared" si="61"/>
        <v>1</v>
      </c>
      <c r="H278" s="578"/>
      <c r="I278" s="12">
        <f t="shared" si="62"/>
        <v>1</v>
      </c>
      <c r="J278" s="578"/>
      <c r="K278" s="12">
        <f t="shared" si="63"/>
        <v>1</v>
      </c>
      <c r="L278" s="578"/>
      <c r="M278" s="12">
        <f t="shared" si="64"/>
        <v>1</v>
      </c>
      <c r="N278" s="578"/>
      <c r="O278" s="12">
        <f t="shared" si="65"/>
        <v>1</v>
      </c>
      <c r="P278" s="578"/>
      <c r="Q278" s="12">
        <f t="shared" si="66"/>
        <v>1</v>
      </c>
      <c r="R278" s="12">
        <f t="shared" si="71"/>
        <v>0</v>
      </c>
      <c r="S278" s="246">
        <f t="shared" si="72"/>
        <v>0</v>
      </c>
      <c r="T278" s="821">
        <f t="shared" si="73"/>
        <v>0</v>
      </c>
      <c r="U278" s="2689">
        <f t="shared" si="67"/>
        <v>0</v>
      </c>
      <c r="V278" s="2689">
        <f t="shared" si="68"/>
        <v>0</v>
      </c>
      <c r="W278" s="909"/>
      <c r="X278" s="2689">
        <f t="shared" si="69"/>
        <v>0</v>
      </c>
      <c r="Y278" s="2689">
        <f t="shared" si="70"/>
        <v>0</v>
      </c>
      <c r="Z278" s="909"/>
    </row>
    <row r="279" spans="1:26">
      <c r="A279" s="31"/>
      <c r="B279" s="19"/>
      <c r="C279" s="12">
        <f t="shared" si="59"/>
        <v>1</v>
      </c>
      <c r="D279" s="578"/>
      <c r="E279" s="12">
        <f t="shared" si="60"/>
        <v>1</v>
      </c>
      <c r="F279" s="578"/>
      <c r="G279" s="12">
        <f t="shared" si="61"/>
        <v>1</v>
      </c>
      <c r="H279" s="578"/>
      <c r="I279" s="12">
        <f t="shared" si="62"/>
        <v>1</v>
      </c>
      <c r="J279" s="578"/>
      <c r="K279" s="12">
        <f t="shared" si="63"/>
        <v>1</v>
      </c>
      <c r="L279" s="578"/>
      <c r="M279" s="12">
        <f t="shared" si="64"/>
        <v>1</v>
      </c>
      <c r="N279" s="578"/>
      <c r="O279" s="12">
        <f t="shared" si="65"/>
        <v>1</v>
      </c>
      <c r="P279" s="578"/>
      <c r="Q279" s="12">
        <f t="shared" si="66"/>
        <v>1</v>
      </c>
      <c r="R279" s="12">
        <f t="shared" si="71"/>
        <v>0</v>
      </c>
      <c r="S279" s="246">
        <f t="shared" si="72"/>
        <v>0</v>
      </c>
      <c r="T279" s="821">
        <f t="shared" si="73"/>
        <v>0</v>
      </c>
      <c r="U279" s="2689">
        <f t="shared" si="67"/>
        <v>0</v>
      </c>
      <c r="V279" s="2689">
        <f t="shared" si="68"/>
        <v>0</v>
      </c>
      <c r="W279" s="909"/>
      <c r="X279" s="2689">
        <f t="shared" si="69"/>
        <v>0</v>
      </c>
      <c r="Y279" s="2689">
        <f t="shared" si="70"/>
        <v>0</v>
      </c>
      <c r="Z279" s="909"/>
    </row>
    <row r="280" spans="1:26">
      <c r="A280" s="31"/>
      <c r="B280" s="19"/>
      <c r="C280" s="12">
        <f t="shared" si="59"/>
        <v>1</v>
      </c>
      <c r="D280" s="578"/>
      <c r="E280" s="12">
        <f t="shared" si="60"/>
        <v>1</v>
      </c>
      <c r="F280" s="578"/>
      <c r="G280" s="12">
        <f t="shared" si="61"/>
        <v>1</v>
      </c>
      <c r="H280" s="578"/>
      <c r="I280" s="12">
        <f t="shared" si="62"/>
        <v>1</v>
      </c>
      <c r="J280" s="578"/>
      <c r="K280" s="12">
        <f t="shared" si="63"/>
        <v>1</v>
      </c>
      <c r="L280" s="578"/>
      <c r="M280" s="12">
        <f t="shared" si="64"/>
        <v>1</v>
      </c>
      <c r="N280" s="578"/>
      <c r="O280" s="12">
        <f t="shared" si="65"/>
        <v>1</v>
      </c>
      <c r="P280" s="578"/>
      <c r="Q280" s="12">
        <f t="shared" si="66"/>
        <v>1</v>
      </c>
      <c r="R280" s="12">
        <f t="shared" si="71"/>
        <v>0</v>
      </c>
      <c r="S280" s="246">
        <f t="shared" si="72"/>
        <v>0</v>
      </c>
      <c r="T280" s="821">
        <f t="shared" si="73"/>
        <v>0</v>
      </c>
      <c r="U280" s="2689">
        <f t="shared" si="67"/>
        <v>0</v>
      </c>
      <c r="V280" s="2689">
        <f t="shared" si="68"/>
        <v>0</v>
      </c>
      <c r="W280" s="909"/>
      <c r="X280" s="2689">
        <f t="shared" si="69"/>
        <v>0</v>
      </c>
      <c r="Y280" s="2689">
        <f t="shared" si="70"/>
        <v>0</v>
      </c>
      <c r="Z280" s="909"/>
    </row>
    <row r="281" spans="1:26">
      <c r="A281" s="31"/>
      <c r="B281" s="19"/>
      <c r="C281" s="12">
        <f t="shared" si="59"/>
        <v>1</v>
      </c>
      <c r="D281" s="578"/>
      <c r="E281" s="12">
        <f t="shared" si="60"/>
        <v>1</v>
      </c>
      <c r="F281" s="578"/>
      <c r="G281" s="12">
        <f t="shared" si="61"/>
        <v>1</v>
      </c>
      <c r="H281" s="578"/>
      <c r="I281" s="12">
        <f t="shared" si="62"/>
        <v>1</v>
      </c>
      <c r="J281" s="578"/>
      <c r="K281" s="12">
        <f t="shared" si="63"/>
        <v>1</v>
      </c>
      <c r="L281" s="578"/>
      <c r="M281" s="12">
        <f t="shared" si="64"/>
        <v>1</v>
      </c>
      <c r="N281" s="578"/>
      <c r="O281" s="12">
        <f t="shared" si="65"/>
        <v>1</v>
      </c>
      <c r="P281" s="578"/>
      <c r="Q281" s="12">
        <f t="shared" si="66"/>
        <v>1</v>
      </c>
      <c r="R281" s="12">
        <f t="shared" si="71"/>
        <v>0</v>
      </c>
      <c r="S281" s="246">
        <f t="shared" si="72"/>
        <v>0</v>
      </c>
      <c r="T281" s="821">
        <f t="shared" si="73"/>
        <v>0</v>
      </c>
      <c r="U281" s="2689">
        <f t="shared" si="67"/>
        <v>0</v>
      </c>
      <c r="V281" s="2689">
        <f t="shared" si="68"/>
        <v>0</v>
      </c>
      <c r="W281" s="909"/>
      <c r="X281" s="2689">
        <f t="shared" si="69"/>
        <v>0</v>
      </c>
      <c r="Y281" s="2689">
        <f t="shared" si="70"/>
        <v>0</v>
      </c>
      <c r="Z281" s="909"/>
    </row>
    <row r="282" spans="1:26">
      <c r="A282" s="31"/>
      <c r="B282" s="19"/>
      <c r="C282" s="12">
        <f t="shared" si="59"/>
        <v>1</v>
      </c>
      <c r="D282" s="578"/>
      <c r="E282" s="12">
        <f t="shared" si="60"/>
        <v>1</v>
      </c>
      <c r="F282" s="578"/>
      <c r="G282" s="12">
        <f t="shared" si="61"/>
        <v>1</v>
      </c>
      <c r="H282" s="578"/>
      <c r="I282" s="12">
        <f t="shared" si="62"/>
        <v>1</v>
      </c>
      <c r="J282" s="578"/>
      <c r="K282" s="12">
        <f t="shared" si="63"/>
        <v>1</v>
      </c>
      <c r="L282" s="578"/>
      <c r="M282" s="12">
        <f t="shared" si="64"/>
        <v>1</v>
      </c>
      <c r="N282" s="578"/>
      <c r="O282" s="12">
        <f t="shared" si="65"/>
        <v>1</v>
      </c>
      <c r="P282" s="578"/>
      <c r="Q282" s="12">
        <f t="shared" si="66"/>
        <v>1</v>
      </c>
      <c r="R282" s="12">
        <f t="shared" si="71"/>
        <v>0</v>
      </c>
      <c r="S282" s="246">
        <f t="shared" si="72"/>
        <v>0</v>
      </c>
      <c r="T282" s="821">
        <f t="shared" si="73"/>
        <v>0</v>
      </c>
      <c r="U282" s="2689">
        <f t="shared" si="67"/>
        <v>0</v>
      </c>
      <c r="V282" s="2689">
        <f t="shared" si="68"/>
        <v>0</v>
      </c>
      <c r="W282" s="909"/>
      <c r="X282" s="2689">
        <f t="shared" si="69"/>
        <v>0</v>
      </c>
      <c r="Y282" s="2689">
        <f t="shared" si="70"/>
        <v>0</v>
      </c>
      <c r="Z282" s="909"/>
    </row>
    <row r="283" spans="1:26">
      <c r="A283" s="31"/>
      <c r="B283" s="19"/>
      <c r="C283" s="12">
        <f t="shared" si="59"/>
        <v>1</v>
      </c>
      <c r="D283" s="578"/>
      <c r="E283" s="12">
        <f t="shared" si="60"/>
        <v>1</v>
      </c>
      <c r="F283" s="578"/>
      <c r="G283" s="12">
        <f t="shared" si="61"/>
        <v>1</v>
      </c>
      <c r="H283" s="578"/>
      <c r="I283" s="12">
        <f t="shared" si="62"/>
        <v>1</v>
      </c>
      <c r="J283" s="578"/>
      <c r="K283" s="12">
        <f t="shared" si="63"/>
        <v>1</v>
      </c>
      <c r="L283" s="578"/>
      <c r="M283" s="12">
        <f t="shared" si="64"/>
        <v>1</v>
      </c>
      <c r="N283" s="578"/>
      <c r="O283" s="12">
        <f t="shared" si="65"/>
        <v>1</v>
      </c>
      <c r="P283" s="578"/>
      <c r="Q283" s="12">
        <f t="shared" si="66"/>
        <v>1</v>
      </c>
      <c r="R283" s="12">
        <f t="shared" si="71"/>
        <v>0</v>
      </c>
      <c r="S283" s="246">
        <f t="shared" si="72"/>
        <v>0</v>
      </c>
      <c r="T283" s="821">
        <f t="shared" si="73"/>
        <v>0</v>
      </c>
      <c r="U283" s="2689">
        <f t="shared" si="67"/>
        <v>0</v>
      </c>
      <c r="V283" s="2689">
        <f t="shared" si="68"/>
        <v>0</v>
      </c>
      <c r="W283" s="909"/>
      <c r="X283" s="2689">
        <f t="shared" si="69"/>
        <v>0</v>
      </c>
      <c r="Y283" s="2689">
        <f t="shared" si="70"/>
        <v>0</v>
      </c>
      <c r="Z283" s="909"/>
    </row>
    <row r="284" spans="1:26">
      <c r="A284" s="31"/>
      <c r="B284" s="19"/>
      <c r="C284" s="12">
        <f t="shared" ref="C284:C347" si="74">IF(B284="",1,(LOOKUP(B284,$6:$6,$7:$7)-LOOKUP($B$27,$6:$6,$7:$7)+100)/100)</f>
        <v>1</v>
      </c>
      <c r="D284" s="578"/>
      <c r="E284" s="12">
        <f t="shared" ref="E284:E347" si="75">(SUMIF($8:$8,D284,$9:$9)-SUMIF($8:$8,$D$27,$9:$9)+100)/100</f>
        <v>1</v>
      </c>
      <c r="F284" s="578"/>
      <c r="G284" s="12">
        <f t="shared" ref="G284:G347" si="76">(SUMIF($10:$10,F284,$11:$11)-SUMIF($10:$10,$F$27,$11:$11)+100)/100</f>
        <v>1</v>
      </c>
      <c r="H284" s="578"/>
      <c r="I284" s="12">
        <f t="shared" ref="I284:I347" si="77">(SUMIF($12:$12,H284,$13:$13)-SUMIF($12:$12,$H$27,$13:$13)+100)/100</f>
        <v>1</v>
      </c>
      <c r="J284" s="578"/>
      <c r="K284" s="12">
        <f t="shared" ref="K284:K347" si="78">(SUMIF($14:$14,J284,$15:$15)-SUMIF($14:$14,$J$27,$15:$15)+100)/100</f>
        <v>1</v>
      </c>
      <c r="L284" s="578"/>
      <c r="M284" s="12">
        <f t="shared" ref="M284:M347" si="79">(SUMIF($16:$16,L284,$17:$17)-SUMIF($16:$16,$L$27,$17:$17)+100)/100</f>
        <v>1</v>
      </c>
      <c r="N284" s="578"/>
      <c r="O284" s="12">
        <f t="shared" ref="O284:O347" si="80">(SUMIF($18:$18,N284,$19:$19)-SUMIF($18:$18,$N$27,$19:$19)+100)/100</f>
        <v>1</v>
      </c>
      <c r="P284" s="578"/>
      <c r="Q284" s="12">
        <f t="shared" ref="Q284:Q347" si="81">(SUMIF($20:$20,P284,$21:$21)-SUMIF($20:$20,$P$27,$21:$21)+100)/100</f>
        <v>1</v>
      </c>
      <c r="R284" s="12">
        <f t="shared" si="71"/>
        <v>0</v>
      </c>
      <c r="S284" s="246">
        <f t="shared" si="72"/>
        <v>0</v>
      </c>
      <c r="T284" s="821">
        <f t="shared" si="73"/>
        <v>0</v>
      </c>
      <c r="U284" s="2689">
        <f t="shared" ref="U284:U347" si="82">ROUND(W284*B284,0)</f>
        <v>0</v>
      </c>
      <c r="V284" s="2689">
        <f t="shared" ref="V284:V347" si="83">ROUND(W284*B284/10000,0)</f>
        <v>0</v>
      </c>
      <c r="W284" s="909"/>
      <c r="X284" s="2689">
        <f t="shared" ref="X284:X347" si="84">ROUND(Z284*B284,0)</f>
        <v>0</v>
      </c>
      <c r="Y284" s="2689">
        <f t="shared" ref="Y284:Y347" si="85">ROUND(Z284*B284/10000,0)</f>
        <v>0</v>
      </c>
      <c r="Z284" s="909"/>
    </row>
    <row r="285" spans="1:26">
      <c r="A285" s="31"/>
      <c r="B285" s="19"/>
      <c r="C285" s="12">
        <f t="shared" si="74"/>
        <v>1</v>
      </c>
      <c r="D285" s="578"/>
      <c r="E285" s="12">
        <f t="shared" si="75"/>
        <v>1</v>
      </c>
      <c r="F285" s="578"/>
      <c r="G285" s="12">
        <f t="shared" si="76"/>
        <v>1</v>
      </c>
      <c r="H285" s="578"/>
      <c r="I285" s="12">
        <f t="shared" si="77"/>
        <v>1</v>
      </c>
      <c r="J285" s="578"/>
      <c r="K285" s="12">
        <f t="shared" si="78"/>
        <v>1</v>
      </c>
      <c r="L285" s="578"/>
      <c r="M285" s="12">
        <f t="shared" si="79"/>
        <v>1</v>
      </c>
      <c r="N285" s="578"/>
      <c r="O285" s="12">
        <f t="shared" si="80"/>
        <v>1</v>
      </c>
      <c r="P285" s="578"/>
      <c r="Q285" s="12">
        <f t="shared" si="81"/>
        <v>1</v>
      </c>
      <c r="R285" s="12">
        <f t="shared" ref="R285:R348" si="86">IF(B285="",0,ROUND($R$27*C285*E285*G285*I285*K285*M285*O285*Q285,0))</f>
        <v>0</v>
      </c>
      <c r="S285" s="246">
        <f t="shared" ref="S285:S348" si="87">ROUND(R285*B285,0)</f>
        <v>0</v>
      </c>
      <c r="T285" s="821">
        <f t="shared" ref="T285:T348" si="88">ROUND(R285*B285/10000,0)</f>
        <v>0</v>
      </c>
      <c r="U285" s="2689">
        <f t="shared" si="82"/>
        <v>0</v>
      </c>
      <c r="V285" s="2689">
        <f t="shared" si="83"/>
        <v>0</v>
      </c>
      <c r="W285" s="909"/>
      <c r="X285" s="2689">
        <f t="shared" si="84"/>
        <v>0</v>
      </c>
      <c r="Y285" s="2689">
        <f t="shared" si="85"/>
        <v>0</v>
      </c>
      <c r="Z285" s="909"/>
    </row>
    <row r="286" spans="1:26">
      <c r="A286" s="31"/>
      <c r="B286" s="19"/>
      <c r="C286" s="12">
        <f t="shared" si="74"/>
        <v>1</v>
      </c>
      <c r="D286" s="578"/>
      <c r="E286" s="12">
        <f t="shared" si="75"/>
        <v>1</v>
      </c>
      <c r="F286" s="578"/>
      <c r="G286" s="12">
        <f t="shared" si="76"/>
        <v>1</v>
      </c>
      <c r="H286" s="578"/>
      <c r="I286" s="12">
        <f t="shared" si="77"/>
        <v>1</v>
      </c>
      <c r="J286" s="578"/>
      <c r="K286" s="12">
        <f t="shared" si="78"/>
        <v>1</v>
      </c>
      <c r="L286" s="578"/>
      <c r="M286" s="12">
        <f t="shared" si="79"/>
        <v>1</v>
      </c>
      <c r="N286" s="578"/>
      <c r="O286" s="12">
        <f t="shared" si="80"/>
        <v>1</v>
      </c>
      <c r="P286" s="578"/>
      <c r="Q286" s="12">
        <f t="shared" si="81"/>
        <v>1</v>
      </c>
      <c r="R286" s="12">
        <f t="shared" si="86"/>
        <v>0</v>
      </c>
      <c r="S286" s="246">
        <f t="shared" si="87"/>
        <v>0</v>
      </c>
      <c r="T286" s="821">
        <f t="shared" si="88"/>
        <v>0</v>
      </c>
      <c r="U286" s="2689">
        <f t="shared" si="82"/>
        <v>0</v>
      </c>
      <c r="V286" s="2689">
        <f t="shared" si="83"/>
        <v>0</v>
      </c>
      <c r="W286" s="909"/>
      <c r="X286" s="2689">
        <f t="shared" si="84"/>
        <v>0</v>
      </c>
      <c r="Y286" s="2689">
        <f t="shared" si="85"/>
        <v>0</v>
      </c>
      <c r="Z286" s="909"/>
    </row>
    <row r="287" spans="1:26">
      <c r="A287" s="31"/>
      <c r="B287" s="19"/>
      <c r="C287" s="12">
        <f t="shared" si="74"/>
        <v>1</v>
      </c>
      <c r="D287" s="578"/>
      <c r="E287" s="12">
        <f t="shared" si="75"/>
        <v>1</v>
      </c>
      <c r="F287" s="578"/>
      <c r="G287" s="12">
        <f t="shared" si="76"/>
        <v>1</v>
      </c>
      <c r="H287" s="578"/>
      <c r="I287" s="12">
        <f t="shared" si="77"/>
        <v>1</v>
      </c>
      <c r="J287" s="578"/>
      <c r="K287" s="12">
        <f t="shared" si="78"/>
        <v>1</v>
      </c>
      <c r="L287" s="578"/>
      <c r="M287" s="12">
        <f t="shared" si="79"/>
        <v>1</v>
      </c>
      <c r="N287" s="578"/>
      <c r="O287" s="12">
        <f t="shared" si="80"/>
        <v>1</v>
      </c>
      <c r="P287" s="578"/>
      <c r="Q287" s="12">
        <f t="shared" si="81"/>
        <v>1</v>
      </c>
      <c r="R287" s="12">
        <f t="shared" si="86"/>
        <v>0</v>
      </c>
      <c r="S287" s="246">
        <f t="shared" si="87"/>
        <v>0</v>
      </c>
      <c r="T287" s="821">
        <f t="shared" si="88"/>
        <v>0</v>
      </c>
      <c r="U287" s="2689">
        <f t="shared" si="82"/>
        <v>0</v>
      </c>
      <c r="V287" s="2689">
        <f t="shared" si="83"/>
        <v>0</v>
      </c>
      <c r="W287" s="909"/>
      <c r="X287" s="2689">
        <f t="shared" si="84"/>
        <v>0</v>
      </c>
      <c r="Y287" s="2689">
        <f t="shared" si="85"/>
        <v>0</v>
      </c>
      <c r="Z287" s="909"/>
    </row>
    <row r="288" spans="1:26">
      <c r="A288" s="31"/>
      <c r="B288" s="19"/>
      <c r="C288" s="12">
        <f t="shared" si="74"/>
        <v>1</v>
      </c>
      <c r="D288" s="578"/>
      <c r="E288" s="12">
        <f t="shared" si="75"/>
        <v>1</v>
      </c>
      <c r="F288" s="578"/>
      <c r="G288" s="12">
        <f t="shared" si="76"/>
        <v>1</v>
      </c>
      <c r="H288" s="578"/>
      <c r="I288" s="12">
        <f t="shared" si="77"/>
        <v>1</v>
      </c>
      <c r="J288" s="578"/>
      <c r="K288" s="12">
        <f t="shared" si="78"/>
        <v>1</v>
      </c>
      <c r="L288" s="578"/>
      <c r="M288" s="12">
        <f t="shared" si="79"/>
        <v>1</v>
      </c>
      <c r="N288" s="578"/>
      <c r="O288" s="12">
        <f t="shared" si="80"/>
        <v>1</v>
      </c>
      <c r="P288" s="578"/>
      <c r="Q288" s="12">
        <f t="shared" si="81"/>
        <v>1</v>
      </c>
      <c r="R288" s="12">
        <f t="shared" si="86"/>
        <v>0</v>
      </c>
      <c r="S288" s="246">
        <f t="shared" si="87"/>
        <v>0</v>
      </c>
      <c r="T288" s="821">
        <f t="shared" si="88"/>
        <v>0</v>
      </c>
      <c r="U288" s="2689">
        <f t="shared" si="82"/>
        <v>0</v>
      </c>
      <c r="V288" s="2689">
        <f t="shared" si="83"/>
        <v>0</v>
      </c>
      <c r="W288" s="909"/>
      <c r="X288" s="2689">
        <f t="shared" si="84"/>
        <v>0</v>
      </c>
      <c r="Y288" s="2689">
        <f t="shared" si="85"/>
        <v>0</v>
      </c>
      <c r="Z288" s="909"/>
    </row>
    <row r="289" spans="1:26">
      <c r="A289" s="31"/>
      <c r="B289" s="19"/>
      <c r="C289" s="12">
        <f t="shared" si="74"/>
        <v>1</v>
      </c>
      <c r="D289" s="578"/>
      <c r="E289" s="12">
        <f t="shared" si="75"/>
        <v>1</v>
      </c>
      <c r="F289" s="578"/>
      <c r="G289" s="12">
        <f t="shared" si="76"/>
        <v>1</v>
      </c>
      <c r="H289" s="578"/>
      <c r="I289" s="12">
        <f t="shared" si="77"/>
        <v>1</v>
      </c>
      <c r="J289" s="578"/>
      <c r="K289" s="12">
        <f t="shared" si="78"/>
        <v>1</v>
      </c>
      <c r="L289" s="578"/>
      <c r="M289" s="12">
        <f t="shared" si="79"/>
        <v>1</v>
      </c>
      <c r="N289" s="578"/>
      <c r="O289" s="12">
        <f t="shared" si="80"/>
        <v>1</v>
      </c>
      <c r="P289" s="578"/>
      <c r="Q289" s="12">
        <f t="shared" si="81"/>
        <v>1</v>
      </c>
      <c r="R289" s="12">
        <f t="shared" si="86"/>
        <v>0</v>
      </c>
      <c r="S289" s="246">
        <f t="shared" si="87"/>
        <v>0</v>
      </c>
      <c r="T289" s="821">
        <f t="shared" si="88"/>
        <v>0</v>
      </c>
      <c r="U289" s="2689">
        <f t="shared" si="82"/>
        <v>0</v>
      </c>
      <c r="V289" s="2689">
        <f t="shared" si="83"/>
        <v>0</v>
      </c>
      <c r="W289" s="909"/>
      <c r="X289" s="2689">
        <f t="shared" si="84"/>
        <v>0</v>
      </c>
      <c r="Y289" s="2689">
        <f t="shared" si="85"/>
        <v>0</v>
      </c>
      <c r="Z289" s="909"/>
    </row>
    <row r="290" spans="1:26">
      <c r="A290" s="31"/>
      <c r="B290" s="19"/>
      <c r="C290" s="12">
        <f t="shared" si="74"/>
        <v>1</v>
      </c>
      <c r="D290" s="578"/>
      <c r="E290" s="12">
        <f t="shared" si="75"/>
        <v>1</v>
      </c>
      <c r="F290" s="578"/>
      <c r="G290" s="12">
        <f t="shared" si="76"/>
        <v>1</v>
      </c>
      <c r="H290" s="578"/>
      <c r="I290" s="12">
        <f t="shared" si="77"/>
        <v>1</v>
      </c>
      <c r="J290" s="578"/>
      <c r="K290" s="12">
        <f t="shared" si="78"/>
        <v>1</v>
      </c>
      <c r="L290" s="578"/>
      <c r="M290" s="12">
        <f t="shared" si="79"/>
        <v>1</v>
      </c>
      <c r="N290" s="578"/>
      <c r="O290" s="12">
        <f t="shared" si="80"/>
        <v>1</v>
      </c>
      <c r="P290" s="578"/>
      <c r="Q290" s="12">
        <f t="shared" si="81"/>
        <v>1</v>
      </c>
      <c r="R290" s="12">
        <f t="shared" si="86"/>
        <v>0</v>
      </c>
      <c r="S290" s="246">
        <f t="shared" si="87"/>
        <v>0</v>
      </c>
      <c r="T290" s="821">
        <f t="shared" si="88"/>
        <v>0</v>
      </c>
      <c r="U290" s="2689">
        <f t="shared" si="82"/>
        <v>0</v>
      </c>
      <c r="V290" s="2689">
        <f t="shared" si="83"/>
        <v>0</v>
      </c>
      <c r="W290" s="909"/>
      <c r="X290" s="2689">
        <f t="shared" si="84"/>
        <v>0</v>
      </c>
      <c r="Y290" s="2689">
        <f t="shared" si="85"/>
        <v>0</v>
      </c>
      <c r="Z290" s="909"/>
    </row>
    <row r="291" spans="1:26">
      <c r="A291" s="31"/>
      <c r="B291" s="19"/>
      <c r="C291" s="12">
        <f t="shared" si="74"/>
        <v>1</v>
      </c>
      <c r="D291" s="578"/>
      <c r="E291" s="12">
        <f t="shared" si="75"/>
        <v>1</v>
      </c>
      <c r="F291" s="578"/>
      <c r="G291" s="12">
        <f t="shared" si="76"/>
        <v>1</v>
      </c>
      <c r="H291" s="578"/>
      <c r="I291" s="12">
        <f t="shared" si="77"/>
        <v>1</v>
      </c>
      <c r="J291" s="578"/>
      <c r="K291" s="12">
        <f t="shared" si="78"/>
        <v>1</v>
      </c>
      <c r="L291" s="578"/>
      <c r="M291" s="12">
        <f t="shared" si="79"/>
        <v>1</v>
      </c>
      <c r="N291" s="578"/>
      <c r="O291" s="12">
        <f t="shared" si="80"/>
        <v>1</v>
      </c>
      <c r="P291" s="578"/>
      <c r="Q291" s="12">
        <f t="shared" si="81"/>
        <v>1</v>
      </c>
      <c r="R291" s="12">
        <f t="shared" si="86"/>
        <v>0</v>
      </c>
      <c r="S291" s="246">
        <f t="shared" si="87"/>
        <v>0</v>
      </c>
      <c r="T291" s="821">
        <f t="shared" si="88"/>
        <v>0</v>
      </c>
      <c r="U291" s="2689">
        <f t="shared" si="82"/>
        <v>0</v>
      </c>
      <c r="V291" s="2689">
        <f t="shared" si="83"/>
        <v>0</v>
      </c>
      <c r="W291" s="909"/>
      <c r="X291" s="2689">
        <f t="shared" si="84"/>
        <v>0</v>
      </c>
      <c r="Y291" s="2689">
        <f t="shared" si="85"/>
        <v>0</v>
      </c>
      <c r="Z291" s="909"/>
    </row>
    <row r="292" spans="1:26">
      <c r="A292" s="31"/>
      <c r="B292" s="19"/>
      <c r="C292" s="12">
        <f t="shared" si="74"/>
        <v>1</v>
      </c>
      <c r="D292" s="578"/>
      <c r="E292" s="12">
        <f t="shared" si="75"/>
        <v>1</v>
      </c>
      <c r="F292" s="578"/>
      <c r="G292" s="12">
        <f t="shared" si="76"/>
        <v>1</v>
      </c>
      <c r="H292" s="578"/>
      <c r="I292" s="12">
        <f t="shared" si="77"/>
        <v>1</v>
      </c>
      <c r="J292" s="578"/>
      <c r="K292" s="12">
        <f t="shared" si="78"/>
        <v>1</v>
      </c>
      <c r="L292" s="578"/>
      <c r="M292" s="12">
        <f t="shared" si="79"/>
        <v>1</v>
      </c>
      <c r="N292" s="578"/>
      <c r="O292" s="12">
        <f t="shared" si="80"/>
        <v>1</v>
      </c>
      <c r="P292" s="578"/>
      <c r="Q292" s="12">
        <f t="shared" si="81"/>
        <v>1</v>
      </c>
      <c r="R292" s="12">
        <f t="shared" si="86"/>
        <v>0</v>
      </c>
      <c r="S292" s="246">
        <f t="shared" si="87"/>
        <v>0</v>
      </c>
      <c r="T292" s="821">
        <f t="shared" si="88"/>
        <v>0</v>
      </c>
      <c r="U292" s="2689">
        <f t="shared" si="82"/>
        <v>0</v>
      </c>
      <c r="V292" s="2689">
        <f t="shared" si="83"/>
        <v>0</v>
      </c>
      <c r="W292" s="909"/>
      <c r="X292" s="2689">
        <f t="shared" si="84"/>
        <v>0</v>
      </c>
      <c r="Y292" s="2689">
        <f t="shared" si="85"/>
        <v>0</v>
      </c>
      <c r="Z292" s="909"/>
    </row>
    <row r="293" spans="1:26">
      <c r="A293" s="31"/>
      <c r="B293" s="19"/>
      <c r="C293" s="12">
        <f t="shared" si="74"/>
        <v>1</v>
      </c>
      <c r="D293" s="578"/>
      <c r="E293" s="12">
        <f t="shared" si="75"/>
        <v>1</v>
      </c>
      <c r="F293" s="578"/>
      <c r="G293" s="12">
        <f t="shared" si="76"/>
        <v>1</v>
      </c>
      <c r="H293" s="578"/>
      <c r="I293" s="12">
        <f t="shared" si="77"/>
        <v>1</v>
      </c>
      <c r="J293" s="578"/>
      <c r="K293" s="12">
        <f t="shared" si="78"/>
        <v>1</v>
      </c>
      <c r="L293" s="578"/>
      <c r="M293" s="12">
        <f t="shared" si="79"/>
        <v>1</v>
      </c>
      <c r="N293" s="578"/>
      <c r="O293" s="12">
        <f t="shared" si="80"/>
        <v>1</v>
      </c>
      <c r="P293" s="578"/>
      <c r="Q293" s="12">
        <f t="shared" si="81"/>
        <v>1</v>
      </c>
      <c r="R293" s="12">
        <f t="shared" si="86"/>
        <v>0</v>
      </c>
      <c r="S293" s="246">
        <f t="shared" si="87"/>
        <v>0</v>
      </c>
      <c r="T293" s="821">
        <f t="shared" si="88"/>
        <v>0</v>
      </c>
      <c r="U293" s="2689">
        <f t="shared" si="82"/>
        <v>0</v>
      </c>
      <c r="V293" s="2689">
        <f t="shared" si="83"/>
        <v>0</v>
      </c>
      <c r="W293" s="909"/>
      <c r="X293" s="2689">
        <f t="shared" si="84"/>
        <v>0</v>
      </c>
      <c r="Y293" s="2689">
        <f t="shared" si="85"/>
        <v>0</v>
      </c>
      <c r="Z293" s="909"/>
    </row>
    <row r="294" spans="1:26">
      <c r="A294" s="31"/>
      <c r="B294" s="19"/>
      <c r="C294" s="12">
        <f t="shared" si="74"/>
        <v>1</v>
      </c>
      <c r="D294" s="578"/>
      <c r="E294" s="12">
        <f t="shared" si="75"/>
        <v>1</v>
      </c>
      <c r="F294" s="578"/>
      <c r="G294" s="12">
        <f t="shared" si="76"/>
        <v>1</v>
      </c>
      <c r="H294" s="578"/>
      <c r="I294" s="12">
        <f t="shared" si="77"/>
        <v>1</v>
      </c>
      <c r="J294" s="578"/>
      <c r="K294" s="12">
        <f t="shared" si="78"/>
        <v>1</v>
      </c>
      <c r="L294" s="578"/>
      <c r="M294" s="12">
        <f t="shared" si="79"/>
        <v>1</v>
      </c>
      <c r="N294" s="578"/>
      <c r="O294" s="12">
        <f t="shared" si="80"/>
        <v>1</v>
      </c>
      <c r="P294" s="578"/>
      <c r="Q294" s="12">
        <f t="shared" si="81"/>
        <v>1</v>
      </c>
      <c r="R294" s="12">
        <f t="shared" si="86"/>
        <v>0</v>
      </c>
      <c r="S294" s="246">
        <f t="shared" si="87"/>
        <v>0</v>
      </c>
      <c r="T294" s="821">
        <f t="shared" si="88"/>
        <v>0</v>
      </c>
      <c r="U294" s="2689">
        <f t="shared" si="82"/>
        <v>0</v>
      </c>
      <c r="V294" s="2689">
        <f t="shared" si="83"/>
        <v>0</v>
      </c>
      <c r="W294" s="909"/>
      <c r="X294" s="2689">
        <f t="shared" si="84"/>
        <v>0</v>
      </c>
      <c r="Y294" s="2689">
        <f t="shared" si="85"/>
        <v>0</v>
      </c>
      <c r="Z294" s="909"/>
    </row>
    <row r="295" spans="1:26">
      <c r="A295" s="31"/>
      <c r="B295" s="19"/>
      <c r="C295" s="12">
        <f t="shared" si="74"/>
        <v>1</v>
      </c>
      <c r="D295" s="578"/>
      <c r="E295" s="12">
        <f t="shared" si="75"/>
        <v>1</v>
      </c>
      <c r="F295" s="578"/>
      <c r="G295" s="12">
        <f t="shared" si="76"/>
        <v>1</v>
      </c>
      <c r="H295" s="578"/>
      <c r="I295" s="12">
        <f t="shared" si="77"/>
        <v>1</v>
      </c>
      <c r="J295" s="578"/>
      <c r="K295" s="12">
        <f t="shared" si="78"/>
        <v>1</v>
      </c>
      <c r="L295" s="578"/>
      <c r="M295" s="12">
        <f t="shared" si="79"/>
        <v>1</v>
      </c>
      <c r="N295" s="578"/>
      <c r="O295" s="12">
        <f t="shared" si="80"/>
        <v>1</v>
      </c>
      <c r="P295" s="578"/>
      <c r="Q295" s="12">
        <f t="shared" si="81"/>
        <v>1</v>
      </c>
      <c r="R295" s="12">
        <f t="shared" si="86"/>
        <v>0</v>
      </c>
      <c r="S295" s="246">
        <f t="shared" si="87"/>
        <v>0</v>
      </c>
      <c r="T295" s="821">
        <f t="shared" si="88"/>
        <v>0</v>
      </c>
      <c r="U295" s="2689">
        <f t="shared" si="82"/>
        <v>0</v>
      </c>
      <c r="V295" s="2689">
        <f t="shared" si="83"/>
        <v>0</v>
      </c>
      <c r="W295" s="909"/>
      <c r="X295" s="2689">
        <f t="shared" si="84"/>
        <v>0</v>
      </c>
      <c r="Y295" s="2689">
        <f t="shared" si="85"/>
        <v>0</v>
      </c>
      <c r="Z295" s="909"/>
    </row>
    <row r="296" spans="1:26">
      <c r="A296" s="31"/>
      <c r="B296" s="19"/>
      <c r="C296" s="12">
        <f t="shared" si="74"/>
        <v>1</v>
      </c>
      <c r="D296" s="578"/>
      <c r="E296" s="12">
        <f t="shared" si="75"/>
        <v>1</v>
      </c>
      <c r="F296" s="578"/>
      <c r="G296" s="12">
        <f t="shared" si="76"/>
        <v>1</v>
      </c>
      <c r="H296" s="578"/>
      <c r="I296" s="12">
        <f t="shared" si="77"/>
        <v>1</v>
      </c>
      <c r="J296" s="578"/>
      <c r="K296" s="12">
        <f t="shared" si="78"/>
        <v>1</v>
      </c>
      <c r="L296" s="578"/>
      <c r="M296" s="12">
        <f t="shared" si="79"/>
        <v>1</v>
      </c>
      <c r="N296" s="578"/>
      <c r="O296" s="12">
        <f t="shared" si="80"/>
        <v>1</v>
      </c>
      <c r="P296" s="578"/>
      <c r="Q296" s="12">
        <f t="shared" si="81"/>
        <v>1</v>
      </c>
      <c r="R296" s="12">
        <f t="shared" si="86"/>
        <v>0</v>
      </c>
      <c r="S296" s="246">
        <f t="shared" si="87"/>
        <v>0</v>
      </c>
      <c r="T296" s="821">
        <f t="shared" si="88"/>
        <v>0</v>
      </c>
      <c r="U296" s="2689">
        <f t="shared" si="82"/>
        <v>0</v>
      </c>
      <c r="V296" s="2689">
        <f t="shared" si="83"/>
        <v>0</v>
      </c>
      <c r="W296" s="909"/>
      <c r="X296" s="2689">
        <f t="shared" si="84"/>
        <v>0</v>
      </c>
      <c r="Y296" s="2689">
        <f t="shared" si="85"/>
        <v>0</v>
      </c>
      <c r="Z296" s="909"/>
    </row>
    <row r="297" spans="1:26">
      <c r="A297" s="31"/>
      <c r="B297" s="19"/>
      <c r="C297" s="12">
        <f t="shared" si="74"/>
        <v>1</v>
      </c>
      <c r="D297" s="578"/>
      <c r="E297" s="12">
        <f t="shared" si="75"/>
        <v>1</v>
      </c>
      <c r="F297" s="578"/>
      <c r="G297" s="12">
        <f t="shared" si="76"/>
        <v>1</v>
      </c>
      <c r="H297" s="578"/>
      <c r="I297" s="12">
        <f t="shared" si="77"/>
        <v>1</v>
      </c>
      <c r="J297" s="578"/>
      <c r="K297" s="12">
        <f t="shared" si="78"/>
        <v>1</v>
      </c>
      <c r="L297" s="578"/>
      <c r="M297" s="12">
        <f t="shared" si="79"/>
        <v>1</v>
      </c>
      <c r="N297" s="578"/>
      <c r="O297" s="12">
        <f t="shared" si="80"/>
        <v>1</v>
      </c>
      <c r="P297" s="578"/>
      <c r="Q297" s="12">
        <f t="shared" si="81"/>
        <v>1</v>
      </c>
      <c r="R297" s="12">
        <f t="shared" si="86"/>
        <v>0</v>
      </c>
      <c r="S297" s="246">
        <f t="shared" si="87"/>
        <v>0</v>
      </c>
      <c r="T297" s="821">
        <f t="shared" si="88"/>
        <v>0</v>
      </c>
      <c r="U297" s="2689">
        <f t="shared" si="82"/>
        <v>0</v>
      </c>
      <c r="V297" s="2689">
        <f t="shared" si="83"/>
        <v>0</v>
      </c>
      <c r="W297" s="909"/>
      <c r="X297" s="2689">
        <f t="shared" si="84"/>
        <v>0</v>
      </c>
      <c r="Y297" s="2689">
        <f t="shared" si="85"/>
        <v>0</v>
      </c>
      <c r="Z297" s="909"/>
    </row>
    <row r="298" spans="1:26">
      <c r="A298" s="31"/>
      <c r="B298" s="19"/>
      <c r="C298" s="12">
        <f t="shared" si="74"/>
        <v>1</v>
      </c>
      <c r="D298" s="578"/>
      <c r="E298" s="12">
        <f t="shared" si="75"/>
        <v>1</v>
      </c>
      <c r="F298" s="578"/>
      <c r="G298" s="12">
        <f t="shared" si="76"/>
        <v>1</v>
      </c>
      <c r="H298" s="578"/>
      <c r="I298" s="12">
        <f t="shared" si="77"/>
        <v>1</v>
      </c>
      <c r="J298" s="578"/>
      <c r="K298" s="12">
        <f t="shared" si="78"/>
        <v>1</v>
      </c>
      <c r="L298" s="578"/>
      <c r="M298" s="12">
        <f t="shared" si="79"/>
        <v>1</v>
      </c>
      <c r="N298" s="578"/>
      <c r="O298" s="12">
        <f t="shared" si="80"/>
        <v>1</v>
      </c>
      <c r="P298" s="578"/>
      <c r="Q298" s="12">
        <f t="shared" si="81"/>
        <v>1</v>
      </c>
      <c r="R298" s="12">
        <f t="shared" si="86"/>
        <v>0</v>
      </c>
      <c r="S298" s="246">
        <f t="shared" si="87"/>
        <v>0</v>
      </c>
      <c r="T298" s="821">
        <f t="shared" si="88"/>
        <v>0</v>
      </c>
      <c r="U298" s="2689">
        <f t="shared" si="82"/>
        <v>0</v>
      </c>
      <c r="V298" s="2689">
        <f t="shared" si="83"/>
        <v>0</v>
      </c>
      <c r="W298" s="909"/>
      <c r="X298" s="2689">
        <f t="shared" si="84"/>
        <v>0</v>
      </c>
      <c r="Y298" s="2689">
        <f t="shared" si="85"/>
        <v>0</v>
      </c>
      <c r="Z298" s="909"/>
    </row>
    <row r="299" spans="1:26">
      <c r="A299" s="31"/>
      <c r="B299" s="19"/>
      <c r="C299" s="12">
        <f t="shared" si="74"/>
        <v>1</v>
      </c>
      <c r="D299" s="578"/>
      <c r="E299" s="12">
        <f t="shared" si="75"/>
        <v>1</v>
      </c>
      <c r="F299" s="578"/>
      <c r="G299" s="12">
        <f t="shared" si="76"/>
        <v>1</v>
      </c>
      <c r="H299" s="578"/>
      <c r="I299" s="12">
        <f t="shared" si="77"/>
        <v>1</v>
      </c>
      <c r="J299" s="578"/>
      <c r="K299" s="12">
        <f t="shared" si="78"/>
        <v>1</v>
      </c>
      <c r="L299" s="578"/>
      <c r="M299" s="12">
        <f t="shared" si="79"/>
        <v>1</v>
      </c>
      <c r="N299" s="578"/>
      <c r="O299" s="12">
        <f t="shared" si="80"/>
        <v>1</v>
      </c>
      <c r="P299" s="578"/>
      <c r="Q299" s="12">
        <f t="shared" si="81"/>
        <v>1</v>
      </c>
      <c r="R299" s="12">
        <f t="shared" si="86"/>
        <v>0</v>
      </c>
      <c r="S299" s="246">
        <f t="shared" si="87"/>
        <v>0</v>
      </c>
      <c r="T299" s="821">
        <f t="shared" si="88"/>
        <v>0</v>
      </c>
      <c r="U299" s="2689">
        <f t="shared" si="82"/>
        <v>0</v>
      </c>
      <c r="V299" s="2689">
        <f t="shared" si="83"/>
        <v>0</v>
      </c>
      <c r="W299" s="909"/>
      <c r="X299" s="2689">
        <f t="shared" si="84"/>
        <v>0</v>
      </c>
      <c r="Y299" s="2689">
        <f t="shared" si="85"/>
        <v>0</v>
      </c>
      <c r="Z299" s="909"/>
    </row>
    <row r="300" spans="1:26">
      <c r="A300" s="31"/>
      <c r="B300" s="19"/>
      <c r="C300" s="12">
        <f t="shared" si="74"/>
        <v>1</v>
      </c>
      <c r="D300" s="578"/>
      <c r="E300" s="12">
        <f t="shared" si="75"/>
        <v>1</v>
      </c>
      <c r="F300" s="578"/>
      <c r="G300" s="12">
        <f t="shared" si="76"/>
        <v>1</v>
      </c>
      <c r="H300" s="578"/>
      <c r="I300" s="12">
        <f t="shared" si="77"/>
        <v>1</v>
      </c>
      <c r="J300" s="578"/>
      <c r="K300" s="12">
        <f t="shared" si="78"/>
        <v>1</v>
      </c>
      <c r="L300" s="578"/>
      <c r="M300" s="12">
        <f t="shared" si="79"/>
        <v>1</v>
      </c>
      <c r="N300" s="578"/>
      <c r="O300" s="12">
        <f t="shared" si="80"/>
        <v>1</v>
      </c>
      <c r="P300" s="578"/>
      <c r="Q300" s="12">
        <f t="shared" si="81"/>
        <v>1</v>
      </c>
      <c r="R300" s="12">
        <f t="shared" si="86"/>
        <v>0</v>
      </c>
      <c r="S300" s="246">
        <f t="shared" si="87"/>
        <v>0</v>
      </c>
      <c r="T300" s="821">
        <f t="shared" si="88"/>
        <v>0</v>
      </c>
      <c r="U300" s="2689">
        <f t="shared" si="82"/>
        <v>0</v>
      </c>
      <c r="V300" s="2689">
        <f t="shared" si="83"/>
        <v>0</v>
      </c>
      <c r="W300" s="909"/>
      <c r="X300" s="2689">
        <f t="shared" si="84"/>
        <v>0</v>
      </c>
      <c r="Y300" s="2689">
        <f t="shared" si="85"/>
        <v>0</v>
      </c>
      <c r="Z300" s="909"/>
    </row>
    <row r="301" spans="1:26">
      <c r="A301" s="31"/>
      <c r="B301" s="19"/>
      <c r="C301" s="12">
        <f t="shared" si="74"/>
        <v>1</v>
      </c>
      <c r="D301" s="578"/>
      <c r="E301" s="12">
        <f t="shared" si="75"/>
        <v>1</v>
      </c>
      <c r="F301" s="578"/>
      <c r="G301" s="12">
        <f t="shared" si="76"/>
        <v>1</v>
      </c>
      <c r="H301" s="578"/>
      <c r="I301" s="12">
        <f t="shared" si="77"/>
        <v>1</v>
      </c>
      <c r="J301" s="578"/>
      <c r="K301" s="12">
        <f t="shared" si="78"/>
        <v>1</v>
      </c>
      <c r="L301" s="578"/>
      <c r="M301" s="12">
        <f t="shared" si="79"/>
        <v>1</v>
      </c>
      <c r="N301" s="578"/>
      <c r="O301" s="12">
        <f t="shared" si="80"/>
        <v>1</v>
      </c>
      <c r="P301" s="578"/>
      <c r="Q301" s="12">
        <f t="shared" si="81"/>
        <v>1</v>
      </c>
      <c r="R301" s="12">
        <f t="shared" si="86"/>
        <v>0</v>
      </c>
      <c r="S301" s="246">
        <f t="shared" si="87"/>
        <v>0</v>
      </c>
      <c r="T301" s="821">
        <f t="shared" si="88"/>
        <v>0</v>
      </c>
      <c r="U301" s="2689">
        <f t="shared" si="82"/>
        <v>0</v>
      </c>
      <c r="V301" s="2689">
        <f t="shared" si="83"/>
        <v>0</v>
      </c>
      <c r="W301" s="909"/>
      <c r="X301" s="2689">
        <f t="shared" si="84"/>
        <v>0</v>
      </c>
      <c r="Y301" s="2689">
        <f t="shared" si="85"/>
        <v>0</v>
      </c>
      <c r="Z301" s="909"/>
    </row>
    <row r="302" spans="1:26">
      <c r="A302" s="31"/>
      <c r="B302" s="19"/>
      <c r="C302" s="12">
        <f t="shared" si="74"/>
        <v>1</v>
      </c>
      <c r="D302" s="578"/>
      <c r="E302" s="12">
        <f t="shared" si="75"/>
        <v>1</v>
      </c>
      <c r="F302" s="578"/>
      <c r="G302" s="12">
        <f t="shared" si="76"/>
        <v>1</v>
      </c>
      <c r="H302" s="578"/>
      <c r="I302" s="12">
        <f t="shared" si="77"/>
        <v>1</v>
      </c>
      <c r="J302" s="578"/>
      <c r="K302" s="12">
        <f t="shared" si="78"/>
        <v>1</v>
      </c>
      <c r="L302" s="578"/>
      <c r="M302" s="12">
        <f t="shared" si="79"/>
        <v>1</v>
      </c>
      <c r="N302" s="578"/>
      <c r="O302" s="12">
        <f t="shared" si="80"/>
        <v>1</v>
      </c>
      <c r="P302" s="578"/>
      <c r="Q302" s="12">
        <f t="shared" si="81"/>
        <v>1</v>
      </c>
      <c r="R302" s="12">
        <f t="shared" si="86"/>
        <v>0</v>
      </c>
      <c r="S302" s="246">
        <f t="shared" si="87"/>
        <v>0</v>
      </c>
      <c r="T302" s="821">
        <f t="shared" si="88"/>
        <v>0</v>
      </c>
      <c r="U302" s="2689">
        <f t="shared" si="82"/>
        <v>0</v>
      </c>
      <c r="V302" s="2689">
        <f t="shared" si="83"/>
        <v>0</v>
      </c>
      <c r="W302" s="909"/>
      <c r="X302" s="2689">
        <f t="shared" si="84"/>
        <v>0</v>
      </c>
      <c r="Y302" s="2689">
        <f t="shared" si="85"/>
        <v>0</v>
      </c>
      <c r="Z302" s="909"/>
    </row>
    <row r="303" spans="1:26">
      <c r="A303" s="31"/>
      <c r="B303" s="19"/>
      <c r="C303" s="12">
        <f t="shared" si="74"/>
        <v>1</v>
      </c>
      <c r="D303" s="578"/>
      <c r="E303" s="12">
        <f t="shared" si="75"/>
        <v>1</v>
      </c>
      <c r="F303" s="578"/>
      <c r="G303" s="12">
        <f t="shared" si="76"/>
        <v>1</v>
      </c>
      <c r="H303" s="578"/>
      <c r="I303" s="12">
        <f t="shared" si="77"/>
        <v>1</v>
      </c>
      <c r="J303" s="578"/>
      <c r="K303" s="12">
        <f t="shared" si="78"/>
        <v>1</v>
      </c>
      <c r="L303" s="578"/>
      <c r="M303" s="12">
        <f t="shared" si="79"/>
        <v>1</v>
      </c>
      <c r="N303" s="578"/>
      <c r="O303" s="12">
        <f t="shared" si="80"/>
        <v>1</v>
      </c>
      <c r="P303" s="578"/>
      <c r="Q303" s="12">
        <f t="shared" si="81"/>
        <v>1</v>
      </c>
      <c r="R303" s="12">
        <f t="shared" si="86"/>
        <v>0</v>
      </c>
      <c r="S303" s="246">
        <f t="shared" si="87"/>
        <v>0</v>
      </c>
      <c r="T303" s="821">
        <f t="shared" si="88"/>
        <v>0</v>
      </c>
      <c r="U303" s="2689">
        <f t="shared" si="82"/>
        <v>0</v>
      </c>
      <c r="V303" s="2689">
        <f t="shared" si="83"/>
        <v>0</v>
      </c>
      <c r="W303" s="909"/>
      <c r="X303" s="2689">
        <f t="shared" si="84"/>
        <v>0</v>
      </c>
      <c r="Y303" s="2689">
        <f t="shared" si="85"/>
        <v>0</v>
      </c>
      <c r="Z303" s="909"/>
    </row>
    <row r="304" spans="1:26">
      <c r="A304" s="31"/>
      <c r="B304" s="19"/>
      <c r="C304" s="12">
        <f t="shared" si="74"/>
        <v>1</v>
      </c>
      <c r="D304" s="578"/>
      <c r="E304" s="12">
        <f t="shared" si="75"/>
        <v>1</v>
      </c>
      <c r="F304" s="578"/>
      <c r="G304" s="12">
        <f t="shared" si="76"/>
        <v>1</v>
      </c>
      <c r="H304" s="578"/>
      <c r="I304" s="12">
        <f t="shared" si="77"/>
        <v>1</v>
      </c>
      <c r="J304" s="578"/>
      <c r="K304" s="12">
        <f t="shared" si="78"/>
        <v>1</v>
      </c>
      <c r="L304" s="578"/>
      <c r="M304" s="12">
        <f t="shared" si="79"/>
        <v>1</v>
      </c>
      <c r="N304" s="578"/>
      <c r="O304" s="12">
        <f t="shared" si="80"/>
        <v>1</v>
      </c>
      <c r="P304" s="578"/>
      <c r="Q304" s="12">
        <f t="shared" si="81"/>
        <v>1</v>
      </c>
      <c r="R304" s="12">
        <f t="shared" si="86"/>
        <v>0</v>
      </c>
      <c r="S304" s="246">
        <f t="shared" si="87"/>
        <v>0</v>
      </c>
      <c r="T304" s="821">
        <f t="shared" si="88"/>
        <v>0</v>
      </c>
      <c r="U304" s="2689">
        <f t="shared" si="82"/>
        <v>0</v>
      </c>
      <c r="V304" s="2689">
        <f t="shared" si="83"/>
        <v>0</v>
      </c>
      <c r="W304" s="909"/>
      <c r="X304" s="2689">
        <f t="shared" si="84"/>
        <v>0</v>
      </c>
      <c r="Y304" s="2689">
        <f t="shared" si="85"/>
        <v>0</v>
      </c>
      <c r="Z304" s="909"/>
    </row>
    <row r="305" spans="1:26">
      <c r="A305" s="31"/>
      <c r="B305" s="19"/>
      <c r="C305" s="12">
        <f t="shared" si="74"/>
        <v>1</v>
      </c>
      <c r="D305" s="578"/>
      <c r="E305" s="12">
        <f t="shared" si="75"/>
        <v>1</v>
      </c>
      <c r="F305" s="578"/>
      <c r="G305" s="12">
        <f t="shared" si="76"/>
        <v>1</v>
      </c>
      <c r="H305" s="578"/>
      <c r="I305" s="12">
        <f t="shared" si="77"/>
        <v>1</v>
      </c>
      <c r="J305" s="578"/>
      <c r="K305" s="12">
        <f t="shared" si="78"/>
        <v>1</v>
      </c>
      <c r="L305" s="578"/>
      <c r="M305" s="12">
        <f t="shared" si="79"/>
        <v>1</v>
      </c>
      <c r="N305" s="578"/>
      <c r="O305" s="12">
        <f t="shared" si="80"/>
        <v>1</v>
      </c>
      <c r="P305" s="578"/>
      <c r="Q305" s="12">
        <f t="shared" si="81"/>
        <v>1</v>
      </c>
      <c r="R305" s="12">
        <f t="shared" si="86"/>
        <v>0</v>
      </c>
      <c r="S305" s="246">
        <f t="shared" si="87"/>
        <v>0</v>
      </c>
      <c r="T305" s="821">
        <f t="shared" si="88"/>
        <v>0</v>
      </c>
      <c r="U305" s="2689">
        <f t="shared" si="82"/>
        <v>0</v>
      </c>
      <c r="V305" s="2689">
        <f t="shared" si="83"/>
        <v>0</v>
      </c>
      <c r="W305" s="909"/>
      <c r="X305" s="2689">
        <f t="shared" si="84"/>
        <v>0</v>
      </c>
      <c r="Y305" s="2689">
        <f t="shared" si="85"/>
        <v>0</v>
      </c>
      <c r="Z305" s="909"/>
    </row>
    <row r="306" spans="1:26">
      <c r="A306" s="31"/>
      <c r="B306" s="19"/>
      <c r="C306" s="12">
        <f t="shared" si="74"/>
        <v>1</v>
      </c>
      <c r="D306" s="578"/>
      <c r="E306" s="12">
        <f t="shared" si="75"/>
        <v>1</v>
      </c>
      <c r="F306" s="578"/>
      <c r="G306" s="12">
        <f t="shared" si="76"/>
        <v>1</v>
      </c>
      <c r="H306" s="578"/>
      <c r="I306" s="12">
        <f t="shared" si="77"/>
        <v>1</v>
      </c>
      <c r="J306" s="578"/>
      <c r="K306" s="12">
        <f t="shared" si="78"/>
        <v>1</v>
      </c>
      <c r="L306" s="578"/>
      <c r="M306" s="12">
        <f t="shared" si="79"/>
        <v>1</v>
      </c>
      <c r="N306" s="578"/>
      <c r="O306" s="12">
        <f t="shared" si="80"/>
        <v>1</v>
      </c>
      <c r="P306" s="578"/>
      <c r="Q306" s="12">
        <f t="shared" si="81"/>
        <v>1</v>
      </c>
      <c r="R306" s="12">
        <f t="shared" si="86"/>
        <v>0</v>
      </c>
      <c r="S306" s="246">
        <f t="shared" si="87"/>
        <v>0</v>
      </c>
      <c r="T306" s="821">
        <f t="shared" si="88"/>
        <v>0</v>
      </c>
      <c r="U306" s="2689">
        <f t="shared" si="82"/>
        <v>0</v>
      </c>
      <c r="V306" s="2689">
        <f t="shared" si="83"/>
        <v>0</v>
      </c>
      <c r="W306" s="909"/>
      <c r="X306" s="2689">
        <f t="shared" si="84"/>
        <v>0</v>
      </c>
      <c r="Y306" s="2689">
        <f t="shared" si="85"/>
        <v>0</v>
      </c>
      <c r="Z306" s="909"/>
    </row>
    <row r="307" spans="1:26">
      <c r="A307" s="31"/>
      <c r="B307" s="19"/>
      <c r="C307" s="12">
        <f t="shared" si="74"/>
        <v>1</v>
      </c>
      <c r="D307" s="578"/>
      <c r="E307" s="12">
        <f t="shared" si="75"/>
        <v>1</v>
      </c>
      <c r="F307" s="578"/>
      <c r="G307" s="12">
        <f t="shared" si="76"/>
        <v>1</v>
      </c>
      <c r="H307" s="578"/>
      <c r="I307" s="12">
        <f t="shared" si="77"/>
        <v>1</v>
      </c>
      <c r="J307" s="578"/>
      <c r="K307" s="12">
        <f t="shared" si="78"/>
        <v>1</v>
      </c>
      <c r="L307" s="578"/>
      <c r="M307" s="12">
        <f t="shared" si="79"/>
        <v>1</v>
      </c>
      <c r="N307" s="578"/>
      <c r="O307" s="12">
        <f t="shared" si="80"/>
        <v>1</v>
      </c>
      <c r="P307" s="578"/>
      <c r="Q307" s="12">
        <f t="shared" si="81"/>
        <v>1</v>
      </c>
      <c r="R307" s="12">
        <f t="shared" si="86"/>
        <v>0</v>
      </c>
      <c r="S307" s="246">
        <f t="shared" si="87"/>
        <v>0</v>
      </c>
      <c r="T307" s="821">
        <f t="shared" si="88"/>
        <v>0</v>
      </c>
      <c r="U307" s="2689">
        <f t="shared" si="82"/>
        <v>0</v>
      </c>
      <c r="V307" s="2689">
        <f t="shared" si="83"/>
        <v>0</v>
      </c>
      <c r="W307" s="909"/>
      <c r="X307" s="2689">
        <f t="shared" si="84"/>
        <v>0</v>
      </c>
      <c r="Y307" s="2689">
        <f t="shared" si="85"/>
        <v>0</v>
      </c>
      <c r="Z307" s="909"/>
    </row>
    <row r="308" spans="1:26">
      <c r="A308" s="31"/>
      <c r="B308" s="19"/>
      <c r="C308" s="12">
        <f t="shared" si="74"/>
        <v>1</v>
      </c>
      <c r="D308" s="578"/>
      <c r="E308" s="12">
        <f t="shared" si="75"/>
        <v>1</v>
      </c>
      <c r="F308" s="578"/>
      <c r="G308" s="12">
        <f t="shared" si="76"/>
        <v>1</v>
      </c>
      <c r="H308" s="578"/>
      <c r="I308" s="12">
        <f t="shared" si="77"/>
        <v>1</v>
      </c>
      <c r="J308" s="578"/>
      <c r="K308" s="12">
        <f t="shared" si="78"/>
        <v>1</v>
      </c>
      <c r="L308" s="578"/>
      <c r="M308" s="12">
        <f t="shared" si="79"/>
        <v>1</v>
      </c>
      <c r="N308" s="578"/>
      <c r="O308" s="12">
        <f t="shared" si="80"/>
        <v>1</v>
      </c>
      <c r="P308" s="578"/>
      <c r="Q308" s="12">
        <f t="shared" si="81"/>
        <v>1</v>
      </c>
      <c r="R308" s="12">
        <f t="shared" si="86"/>
        <v>0</v>
      </c>
      <c r="S308" s="246">
        <f t="shared" si="87"/>
        <v>0</v>
      </c>
      <c r="T308" s="821">
        <f t="shared" si="88"/>
        <v>0</v>
      </c>
      <c r="U308" s="2689">
        <f t="shared" si="82"/>
        <v>0</v>
      </c>
      <c r="V308" s="2689">
        <f t="shared" si="83"/>
        <v>0</v>
      </c>
      <c r="W308" s="909"/>
      <c r="X308" s="2689">
        <f t="shared" si="84"/>
        <v>0</v>
      </c>
      <c r="Y308" s="2689">
        <f t="shared" si="85"/>
        <v>0</v>
      </c>
      <c r="Z308" s="909"/>
    </row>
    <row r="309" spans="1:26">
      <c r="A309" s="31"/>
      <c r="B309" s="19"/>
      <c r="C309" s="12">
        <f t="shared" si="74"/>
        <v>1</v>
      </c>
      <c r="D309" s="578"/>
      <c r="E309" s="12">
        <f t="shared" si="75"/>
        <v>1</v>
      </c>
      <c r="F309" s="578"/>
      <c r="G309" s="12">
        <f t="shared" si="76"/>
        <v>1</v>
      </c>
      <c r="H309" s="578"/>
      <c r="I309" s="12">
        <f t="shared" si="77"/>
        <v>1</v>
      </c>
      <c r="J309" s="578"/>
      <c r="K309" s="12">
        <f t="shared" si="78"/>
        <v>1</v>
      </c>
      <c r="L309" s="578"/>
      <c r="M309" s="12">
        <f t="shared" si="79"/>
        <v>1</v>
      </c>
      <c r="N309" s="578"/>
      <c r="O309" s="12">
        <f t="shared" si="80"/>
        <v>1</v>
      </c>
      <c r="P309" s="578"/>
      <c r="Q309" s="12">
        <f t="shared" si="81"/>
        <v>1</v>
      </c>
      <c r="R309" s="12">
        <f t="shared" si="86"/>
        <v>0</v>
      </c>
      <c r="S309" s="246">
        <f t="shared" si="87"/>
        <v>0</v>
      </c>
      <c r="T309" s="821">
        <f t="shared" si="88"/>
        <v>0</v>
      </c>
      <c r="U309" s="2689">
        <f t="shared" si="82"/>
        <v>0</v>
      </c>
      <c r="V309" s="2689">
        <f t="shared" si="83"/>
        <v>0</v>
      </c>
      <c r="W309" s="909"/>
      <c r="X309" s="2689">
        <f t="shared" si="84"/>
        <v>0</v>
      </c>
      <c r="Y309" s="2689">
        <f t="shared" si="85"/>
        <v>0</v>
      </c>
      <c r="Z309" s="909"/>
    </row>
    <row r="310" spans="1:26">
      <c r="A310" s="31"/>
      <c r="B310" s="19"/>
      <c r="C310" s="12">
        <f t="shared" si="74"/>
        <v>1</v>
      </c>
      <c r="D310" s="578"/>
      <c r="E310" s="12">
        <f t="shared" si="75"/>
        <v>1</v>
      </c>
      <c r="F310" s="578"/>
      <c r="G310" s="12">
        <f t="shared" si="76"/>
        <v>1</v>
      </c>
      <c r="H310" s="578"/>
      <c r="I310" s="12">
        <f t="shared" si="77"/>
        <v>1</v>
      </c>
      <c r="J310" s="578"/>
      <c r="K310" s="12">
        <f t="shared" si="78"/>
        <v>1</v>
      </c>
      <c r="L310" s="578"/>
      <c r="M310" s="12">
        <f t="shared" si="79"/>
        <v>1</v>
      </c>
      <c r="N310" s="578"/>
      <c r="O310" s="12">
        <f t="shared" si="80"/>
        <v>1</v>
      </c>
      <c r="P310" s="578"/>
      <c r="Q310" s="12">
        <f t="shared" si="81"/>
        <v>1</v>
      </c>
      <c r="R310" s="12">
        <f t="shared" si="86"/>
        <v>0</v>
      </c>
      <c r="S310" s="246">
        <f t="shared" si="87"/>
        <v>0</v>
      </c>
      <c r="T310" s="821">
        <f t="shared" si="88"/>
        <v>0</v>
      </c>
      <c r="U310" s="2689">
        <f t="shared" si="82"/>
        <v>0</v>
      </c>
      <c r="V310" s="2689">
        <f t="shared" si="83"/>
        <v>0</v>
      </c>
      <c r="W310" s="909"/>
      <c r="X310" s="2689">
        <f t="shared" si="84"/>
        <v>0</v>
      </c>
      <c r="Y310" s="2689">
        <f t="shared" si="85"/>
        <v>0</v>
      </c>
      <c r="Z310" s="909"/>
    </row>
    <row r="311" spans="1:26">
      <c r="A311" s="31"/>
      <c r="B311" s="19"/>
      <c r="C311" s="12">
        <f t="shared" si="74"/>
        <v>1</v>
      </c>
      <c r="D311" s="578"/>
      <c r="E311" s="12">
        <f t="shared" si="75"/>
        <v>1</v>
      </c>
      <c r="F311" s="578"/>
      <c r="G311" s="12">
        <f t="shared" si="76"/>
        <v>1</v>
      </c>
      <c r="H311" s="578"/>
      <c r="I311" s="12">
        <f t="shared" si="77"/>
        <v>1</v>
      </c>
      <c r="J311" s="578"/>
      <c r="K311" s="12">
        <f t="shared" si="78"/>
        <v>1</v>
      </c>
      <c r="L311" s="578"/>
      <c r="M311" s="12">
        <f t="shared" si="79"/>
        <v>1</v>
      </c>
      <c r="N311" s="578"/>
      <c r="O311" s="12">
        <f t="shared" si="80"/>
        <v>1</v>
      </c>
      <c r="P311" s="578"/>
      <c r="Q311" s="12">
        <f t="shared" si="81"/>
        <v>1</v>
      </c>
      <c r="R311" s="12">
        <f t="shared" si="86"/>
        <v>0</v>
      </c>
      <c r="S311" s="246">
        <f t="shared" si="87"/>
        <v>0</v>
      </c>
      <c r="T311" s="821">
        <f t="shared" si="88"/>
        <v>0</v>
      </c>
      <c r="U311" s="2689">
        <f t="shared" si="82"/>
        <v>0</v>
      </c>
      <c r="V311" s="2689">
        <f t="shared" si="83"/>
        <v>0</v>
      </c>
      <c r="W311" s="909"/>
      <c r="X311" s="2689">
        <f t="shared" si="84"/>
        <v>0</v>
      </c>
      <c r="Y311" s="2689">
        <f t="shared" si="85"/>
        <v>0</v>
      </c>
      <c r="Z311" s="909"/>
    </row>
    <row r="312" spans="1:26">
      <c r="A312" s="31"/>
      <c r="B312" s="19"/>
      <c r="C312" s="12">
        <f t="shared" si="74"/>
        <v>1</v>
      </c>
      <c r="D312" s="578"/>
      <c r="E312" s="12">
        <f t="shared" si="75"/>
        <v>1</v>
      </c>
      <c r="F312" s="578"/>
      <c r="G312" s="12">
        <f t="shared" si="76"/>
        <v>1</v>
      </c>
      <c r="H312" s="578"/>
      <c r="I312" s="12">
        <f t="shared" si="77"/>
        <v>1</v>
      </c>
      <c r="J312" s="578"/>
      <c r="K312" s="12">
        <f t="shared" si="78"/>
        <v>1</v>
      </c>
      <c r="L312" s="578"/>
      <c r="M312" s="12">
        <f t="shared" si="79"/>
        <v>1</v>
      </c>
      <c r="N312" s="578"/>
      <c r="O312" s="12">
        <f t="shared" si="80"/>
        <v>1</v>
      </c>
      <c r="P312" s="578"/>
      <c r="Q312" s="12">
        <f t="shared" si="81"/>
        <v>1</v>
      </c>
      <c r="R312" s="12">
        <f t="shared" si="86"/>
        <v>0</v>
      </c>
      <c r="S312" s="246">
        <f t="shared" si="87"/>
        <v>0</v>
      </c>
      <c r="T312" s="821">
        <f t="shared" si="88"/>
        <v>0</v>
      </c>
      <c r="U312" s="2689">
        <f t="shared" si="82"/>
        <v>0</v>
      </c>
      <c r="V312" s="2689">
        <f t="shared" si="83"/>
        <v>0</v>
      </c>
      <c r="W312" s="909"/>
      <c r="X312" s="2689">
        <f t="shared" si="84"/>
        <v>0</v>
      </c>
      <c r="Y312" s="2689">
        <f t="shared" si="85"/>
        <v>0</v>
      </c>
      <c r="Z312" s="909"/>
    </row>
    <row r="313" spans="1:26">
      <c r="A313" s="31"/>
      <c r="B313" s="19"/>
      <c r="C313" s="12">
        <f t="shared" si="74"/>
        <v>1</v>
      </c>
      <c r="D313" s="578"/>
      <c r="E313" s="12">
        <f t="shared" si="75"/>
        <v>1</v>
      </c>
      <c r="F313" s="578"/>
      <c r="G313" s="12">
        <f t="shared" si="76"/>
        <v>1</v>
      </c>
      <c r="H313" s="578"/>
      <c r="I313" s="12">
        <f t="shared" si="77"/>
        <v>1</v>
      </c>
      <c r="J313" s="578"/>
      <c r="K313" s="12">
        <f t="shared" si="78"/>
        <v>1</v>
      </c>
      <c r="L313" s="578"/>
      <c r="M313" s="12">
        <f t="shared" si="79"/>
        <v>1</v>
      </c>
      <c r="N313" s="578"/>
      <c r="O313" s="12">
        <f t="shared" si="80"/>
        <v>1</v>
      </c>
      <c r="P313" s="578"/>
      <c r="Q313" s="12">
        <f t="shared" si="81"/>
        <v>1</v>
      </c>
      <c r="R313" s="12">
        <f t="shared" si="86"/>
        <v>0</v>
      </c>
      <c r="S313" s="246">
        <f t="shared" si="87"/>
        <v>0</v>
      </c>
      <c r="T313" s="821">
        <f t="shared" si="88"/>
        <v>0</v>
      </c>
      <c r="U313" s="2689">
        <f t="shared" si="82"/>
        <v>0</v>
      </c>
      <c r="V313" s="2689">
        <f t="shared" si="83"/>
        <v>0</v>
      </c>
      <c r="W313" s="909"/>
      <c r="X313" s="2689">
        <f t="shared" si="84"/>
        <v>0</v>
      </c>
      <c r="Y313" s="2689">
        <f t="shared" si="85"/>
        <v>0</v>
      </c>
      <c r="Z313" s="909"/>
    </row>
    <row r="314" spans="1:26">
      <c r="A314" s="31"/>
      <c r="B314" s="19"/>
      <c r="C314" s="12">
        <f t="shared" si="74"/>
        <v>1</v>
      </c>
      <c r="D314" s="578"/>
      <c r="E314" s="12">
        <f t="shared" si="75"/>
        <v>1</v>
      </c>
      <c r="F314" s="578"/>
      <c r="G314" s="12">
        <f t="shared" si="76"/>
        <v>1</v>
      </c>
      <c r="H314" s="578"/>
      <c r="I314" s="12">
        <f t="shared" si="77"/>
        <v>1</v>
      </c>
      <c r="J314" s="578"/>
      <c r="K314" s="12">
        <f t="shared" si="78"/>
        <v>1</v>
      </c>
      <c r="L314" s="578"/>
      <c r="M314" s="12">
        <f t="shared" si="79"/>
        <v>1</v>
      </c>
      <c r="N314" s="578"/>
      <c r="O314" s="12">
        <f t="shared" si="80"/>
        <v>1</v>
      </c>
      <c r="P314" s="578"/>
      <c r="Q314" s="12">
        <f t="shared" si="81"/>
        <v>1</v>
      </c>
      <c r="R314" s="12">
        <f t="shared" si="86"/>
        <v>0</v>
      </c>
      <c r="S314" s="246">
        <f t="shared" si="87"/>
        <v>0</v>
      </c>
      <c r="T314" s="821">
        <f t="shared" si="88"/>
        <v>0</v>
      </c>
      <c r="U314" s="2689">
        <f t="shared" si="82"/>
        <v>0</v>
      </c>
      <c r="V314" s="2689">
        <f t="shared" si="83"/>
        <v>0</v>
      </c>
      <c r="W314" s="909"/>
      <c r="X314" s="2689">
        <f t="shared" si="84"/>
        <v>0</v>
      </c>
      <c r="Y314" s="2689">
        <f t="shared" si="85"/>
        <v>0</v>
      </c>
      <c r="Z314" s="909"/>
    </row>
    <row r="315" spans="1:26">
      <c r="A315" s="31"/>
      <c r="B315" s="19"/>
      <c r="C315" s="12">
        <f t="shared" si="74"/>
        <v>1</v>
      </c>
      <c r="D315" s="578"/>
      <c r="E315" s="12">
        <f t="shared" si="75"/>
        <v>1</v>
      </c>
      <c r="F315" s="578"/>
      <c r="G315" s="12">
        <f t="shared" si="76"/>
        <v>1</v>
      </c>
      <c r="H315" s="578"/>
      <c r="I315" s="12">
        <f t="shared" si="77"/>
        <v>1</v>
      </c>
      <c r="J315" s="578"/>
      <c r="K315" s="12">
        <f t="shared" si="78"/>
        <v>1</v>
      </c>
      <c r="L315" s="578"/>
      <c r="M315" s="12">
        <f t="shared" si="79"/>
        <v>1</v>
      </c>
      <c r="N315" s="578"/>
      <c r="O315" s="12">
        <f t="shared" si="80"/>
        <v>1</v>
      </c>
      <c r="P315" s="578"/>
      <c r="Q315" s="12">
        <f t="shared" si="81"/>
        <v>1</v>
      </c>
      <c r="R315" s="12">
        <f t="shared" si="86"/>
        <v>0</v>
      </c>
      <c r="S315" s="246">
        <f t="shared" si="87"/>
        <v>0</v>
      </c>
      <c r="T315" s="821">
        <f t="shared" si="88"/>
        <v>0</v>
      </c>
      <c r="U315" s="2689">
        <f t="shared" si="82"/>
        <v>0</v>
      </c>
      <c r="V315" s="2689">
        <f t="shared" si="83"/>
        <v>0</v>
      </c>
      <c r="W315" s="909"/>
      <c r="X315" s="2689">
        <f t="shared" si="84"/>
        <v>0</v>
      </c>
      <c r="Y315" s="2689">
        <f t="shared" si="85"/>
        <v>0</v>
      </c>
      <c r="Z315" s="909"/>
    </row>
    <row r="316" spans="1:26">
      <c r="A316" s="31"/>
      <c r="B316" s="19"/>
      <c r="C316" s="12">
        <f t="shared" si="74"/>
        <v>1</v>
      </c>
      <c r="D316" s="578"/>
      <c r="E316" s="12">
        <f t="shared" si="75"/>
        <v>1</v>
      </c>
      <c r="F316" s="578"/>
      <c r="G316" s="12">
        <f t="shared" si="76"/>
        <v>1</v>
      </c>
      <c r="H316" s="578"/>
      <c r="I316" s="12">
        <f t="shared" si="77"/>
        <v>1</v>
      </c>
      <c r="J316" s="578"/>
      <c r="K316" s="12">
        <f t="shared" si="78"/>
        <v>1</v>
      </c>
      <c r="L316" s="578"/>
      <c r="M316" s="12">
        <f t="shared" si="79"/>
        <v>1</v>
      </c>
      <c r="N316" s="578"/>
      <c r="O316" s="12">
        <f t="shared" si="80"/>
        <v>1</v>
      </c>
      <c r="P316" s="578"/>
      <c r="Q316" s="12">
        <f t="shared" si="81"/>
        <v>1</v>
      </c>
      <c r="R316" s="12">
        <f t="shared" si="86"/>
        <v>0</v>
      </c>
      <c r="S316" s="246">
        <f t="shared" si="87"/>
        <v>0</v>
      </c>
      <c r="T316" s="821">
        <f t="shared" si="88"/>
        <v>0</v>
      </c>
      <c r="U316" s="2689">
        <f t="shared" si="82"/>
        <v>0</v>
      </c>
      <c r="V316" s="2689">
        <f t="shared" si="83"/>
        <v>0</v>
      </c>
      <c r="W316" s="909"/>
      <c r="X316" s="2689">
        <f t="shared" si="84"/>
        <v>0</v>
      </c>
      <c r="Y316" s="2689">
        <f t="shared" si="85"/>
        <v>0</v>
      </c>
      <c r="Z316" s="909"/>
    </row>
    <row r="317" spans="1:26">
      <c r="A317" s="31"/>
      <c r="B317" s="19"/>
      <c r="C317" s="12">
        <f t="shared" si="74"/>
        <v>1</v>
      </c>
      <c r="D317" s="578"/>
      <c r="E317" s="12">
        <f t="shared" si="75"/>
        <v>1</v>
      </c>
      <c r="F317" s="578"/>
      <c r="G317" s="12">
        <f t="shared" si="76"/>
        <v>1</v>
      </c>
      <c r="H317" s="578"/>
      <c r="I317" s="12">
        <f t="shared" si="77"/>
        <v>1</v>
      </c>
      <c r="J317" s="578"/>
      <c r="K317" s="12">
        <f t="shared" si="78"/>
        <v>1</v>
      </c>
      <c r="L317" s="578"/>
      <c r="M317" s="12">
        <f t="shared" si="79"/>
        <v>1</v>
      </c>
      <c r="N317" s="578"/>
      <c r="O317" s="12">
        <f t="shared" si="80"/>
        <v>1</v>
      </c>
      <c r="P317" s="578"/>
      <c r="Q317" s="12">
        <f t="shared" si="81"/>
        <v>1</v>
      </c>
      <c r="R317" s="12">
        <f t="shared" si="86"/>
        <v>0</v>
      </c>
      <c r="S317" s="246">
        <f t="shared" si="87"/>
        <v>0</v>
      </c>
      <c r="T317" s="821">
        <f t="shared" si="88"/>
        <v>0</v>
      </c>
      <c r="U317" s="2689">
        <f t="shared" si="82"/>
        <v>0</v>
      </c>
      <c r="V317" s="2689">
        <f t="shared" si="83"/>
        <v>0</v>
      </c>
      <c r="W317" s="909"/>
      <c r="X317" s="2689">
        <f t="shared" si="84"/>
        <v>0</v>
      </c>
      <c r="Y317" s="2689">
        <f t="shared" si="85"/>
        <v>0</v>
      </c>
      <c r="Z317" s="909"/>
    </row>
    <row r="318" spans="1:26">
      <c r="A318" s="31"/>
      <c r="B318" s="19"/>
      <c r="C318" s="12">
        <f t="shared" si="74"/>
        <v>1</v>
      </c>
      <c r="D318" s="578"/>
      <c r="E318" s="12">
        <f t="shared" si="75"/>
        <v>1</v>
      </c>
      <c r="F318" s="578"/>
      <c r="G318" s="12">
        <f t="shared" si="76"/>
        <v>1</v>
      </c>
      <c r="H318" s="578"/>
      <c r="I318" s="12">
        <f t="shared" si="77"/>
        <v>1</v>
      </c>
      <c r="J318" s="578"/>
      <c r="K318" s="12">
        <f t="shared" si="78"/>
        <v>1</v>
      </c>
      <c r="L318" s="578"/>
      <c r="M318" s="12">
        <f t="shared" si="79"/>
        <v>1</v>
      </c>
      <c r="N318" s="578"/>
      <c r="O318" s="12">
        <f t="shared" si="80"/>
        <v>1</v>
      </c>
      <c r="P318" s="578"/>
      <c r="Q318" s="12">
        <f t="shared" si="81"/>
        <v>1</v>
      </c>
      <c r="R318" s="12">
        <f t="shared" si="86"/>
        <v>0</v>
      </c>
      <c r="S318" s="246">
        <f t="shared" si="87"/>
        <v>0</v>
      </c>
      <c r="T318" s="821">
        <f t="shared" si="88"/>
        <v>0</v>
      </c>
      <c r="U318" s="2689">
        <f t="shared" si="82"/>
        <v>0</v>
      </c>
      <c r="V318" s="2689">
        <f t="shared" si="83"/>
        <v>0</v>
      </c>
      <c r="W318" s="909"/>
      <c r="X318" s="2689">
        <f t="shared" si="84"/>
        <v>0</v>
      </c>
      <c r="Y318" s="2689">
        <f t="shared" si="85"/>
        <v>0</v>
      </c>
      <c r="Z318" s="909"/>
    </row>
    <row r="319" spans="1:26">
      <c r="A319" s="31"/>
      <c r="B319" s="19"/>
      <c r="C319" s="12">
        <f t="shared" si="74"/>
        <v>1</v>
      </c>
      <c r="D319" s="578"/>
      <c r="E319" s="12">
        <f t="shared" si="75"/>
        <v>1</v>
      </c>
      <c r="F319" s="578"/>
      <c r="G319" s="12">
        <f t="shared" si="76"/>
        <v>1</v>
      </c>
      <c r="H319" s="578"/>
      <c r="I319" s="12">
        <f t="shared" si="77"/>
        <v>1</v>
      </c>
      <c r="J319" s="578"/>
      <c r="K319" s="12">
        <f t="shared" si="78"/>
        <v>1</v>
      </c>
      <c r="L319" s="578"/>
      <c r="M319" s="12">
        <f t="shared" si="79"/>
        <v>1</v>
      </c>
      <c r="N319" s="578"/>
      <c r="O319" s="12">
        <f t="shared" si="80"/>
        <v>1</v>
      </c>
      <c r="P319" s="578"/>
      <c r="Q319" s="12">
        <f t="shared" si="81"/>
        <v>1</v>
      </c>
      <c r="R319" s="12">
        <f t="shared" si="86"/>
        <v>0</v>
      </c>
      <c r="S319" s="246">
        <f t="shared" si="87"/>
        <v>0</v>
      </c>
      <c r="T319" s="821">
        <f t="shared" si="88"/>
        <v>0</v>
      </c>
      <c r="U319" s="2689">
        <f t="shared" si="82"/>
        <v>0</v>
      </c>
      <c r="V319" s="2689">
        <f t="shared" si="83"/>
        <v>0</v>
      </c>
      <c r="W319" s="909"/>
      <c r="X319" s="2689">
        <f t="shared" si="84"/>
        <v>0</v>
      </c>
      <c r="Y319" s="2689">
        <f t="shared" si="85"/>
        <v>0</v>
      </c>
      <c r="Z319" s="909"/>
    </row>
    <row r="320" spans="1:26">
      <c r="A320" s="31"/>
      <c r="B320" s="19"/>
      <c r="C320" s="12">
        <f t="shared" si="74"/>
        <v>1</v>
      </c>
      <c r="D320" s="578"/>
      <c r="E320" s="12">
        <f t="shared" si="75"/>
        <v>1</v>
      </c>
      <c r="F320" s="578"/>
      <c r="G320" s="12">
        <f t="shared" si="76"/>
        <v>1</v>
      </c>
      <c r="H320" s="578"/>
      <c r="I320" s="12">
        <f t="shared" si="77"/>
        <v>1</v>
      </c>
      <c r="J320" s="578"/>
      <c r="K320" s="12">
        <f t="shared" si="78"/>
        <v>1</v>
      </c>
      <c r="L320" s="578"/>
      <c r="M320" s="12">
        <f t="shared" si="79"/>
        <v>1</v>
      </c>
      <c r="N320" s="578"/>
      <c r="O320" s="12">
        <f t="shared" si="80"/>
        <v>1</v>
      </c>
      <c r="P320" s="578"/>
      <c r="Q320" s="12">
        <f t="shared" si="81"/>
        <v>1</v>
      </c>
      <c r="R320" s="12">
        <f t="shared" si="86"/>
        <v>0</v>
      </c>
      <c r="S320" s="246">
        <f t="shared" si="87"/>
        <v>0</v>
      </c>
      <c r="T320" s="821">
        <f t="shared" si="88"/>
        <v>0</v>
      </c>
      <c r="U320" s="2689">
        <f t="shared" si="82"/>
        <v>0</v>
      </c>
      <c r="V320" s="2689">
        <f t="shared" si="83"/>
        <v>0</v>
      </c>
      <c r="W320" s="909"/>
      <c r="X320" s="2689">
        <f t="shared" si="84"/>
        <v>0</v>
      </c>
      <c r="Y320" s="2689">
        <f t="shared" si="85"/>
        <v>0</v>
      </c>
      <c r="Z320" s="909"/>
    </row>
    <row r="321" spans="1:26">
      <c r="A321" s="31"/>
      <c r="B321" s="19"/>
      <c r="C321" s="12">
        <f t="shared" si="74"/>
        <v>1</v>
      </c>
      <c r="D321" s="578"/>
      <c r="E321" s="12">
        <f t="shared" si="75"/>
        <v>1</v>
      </c>
      <c r="F321" s="578"/>
      <c r="G321" s="12">
        <f t="shared" si="76"/>
        <v>1</v>
      </c>
      <c r="H321" s="578"/>
      <c r="I321" s="12">
        <f t="shared" si="77"/>
        <v>1</v>
      </c>
      <c r="J321" s="578"/>
      <c r="K321" s="12">
        <f t="shared" si="78"/>
        <v>1</v>
      </c>
      <c r="L321" s="578"/>
      <c r="M321" s="12">
        <f t="shared" si="79"/>
        <v>1</v>
      </c>
      <c r="N321" s="578"/>
      <c r="O321" s="12">
        <f t="shared" si="80"/>
        <v>1</v>
      </c>
      <c r="P321" s="578"/>
      <c r="Q321" s="12">
        <f t="shared" si="81"/>
        <v>1</v>
      </c>
      <c r="R321" s="12">
        <f t="shared" si="86"/>
        <v>0</v>
      </c>
      <c r="S321" s="246">
        <f t="shared" si="87"/>
        <v>0</v>
      </c>
      <c r="T321" s="821">
        <f t="shared" si="88"/>
        <v>0</v>
      </c>
      <c r="U321" s="2689">
        <f t="shared" si="82"/>
        <v>0</v>
      </c>
      <c r="V321" s="2689">
        <f t="shared" si="83"/>
        <v>0</v>
      </c>
      <c r="W321" s="909"/>
      <c r="X321" s="2689">
        <f t="shared" si="84"/>
        <v>0</v>
      </c>
      <c r="Y321" s="2689">
        <f t="shared" si="85"/>
        <v>0</v>
      </c>
      <c r="Z321" s="909"/>
    </row>
    <row r="322" spans="1:26">
      <c r="A322" s="31"/>
      <c r="B322" s="19"/>
      <c r="C322" s="12">
        <f t="shared" si="74"/>
        <v>1</v>
      </c>
      <c r="D322" s="578"/>
      <c r="E322" s="12">
        <f t="shared" si="75"/>
        <v>1</v>
      </c>
      <c r="F322" s="578"/>
      <c r="G322" s="12">
        <f t="shared" si="76"/>
        <v>1</v>
      </c>
      <c r="H322" s="578"/>
      <c r="I322" s="12">
        <f t="shared" si="77"/>
        <v>1</v>
      </c>
      <c r="J322" s="578"/>
      <c r="K322" s="12">
        <f t="shared" si="78"/>
        <v>1</v>
      </c>
      <c r="L322" s="578"/>
      <c r="M322" s="12">
        <f t="shared" si="79"/>
        <v>1</v>
      </c>
      <c r="N322" s="578"/>
      <c r="O322" s="12">
        <f t="shared" si="80"/>
        <v>1</v>
      </c>
      <c r="P322" s="578"/>
      <c r="Q322" s="12">
        <f t="shared" si="81"/>
        <v>1</v>
      </c>
      <c r="R322" s="12">
        <f t="shared" si="86"/>
        <v>0</v>
      </c>
      <c r="S322" s="246">
        <f t="shared" si="87"/>
        <v>0</v>
      </c>
      <c r="T322" s="821">
        <f t="shared" si="88"/>
        <v>0</v>
      </c>
      <c r="U322" s="2689">
        <f t="shared" si="82"/>
        <v>0</v>
      </c>
      <c r="V322" s="2689">
        <f t="shared" si="83"/>
        <v>0</v>
      </c>
      <c r="W322" s="909"/>
      <c r="X322" s="2689">
        <f t="shared" si="84"/>
        <v>0</v>
      </c>
      <c r="Y322" s="2689">
        <f t="shared" si="85"/>
        <v>0</v>
      </c>
      <c r="Z322" s="909"/>
    </row>
    <row r="323" spans="1:26">
      <c r="A323" s="31"/>
      <c r="B323" s="19"/>
      <c r="C323" s="12">
        <f t="shared" si="74"/>
        <v>1</v>
      </c>
      <c r="D323" s="578"/>
      <c r="E323" s="12">
        <f t="shared" si="75"/>
        <v>1</v>
      </c>
      <c r="F323" s="578"/>
      <c r="G323" s="12">
        <f t="shared" si="76"/>
        <v>1</v>
      </c>
      <c r="H323" s="578"/>
      <c r="I323" s="12">
        <f t="shared" si="77"/>
        <v>1</v>
      </c>
      <c r="J323" s="578"/>
      <c r="K323" s="12">
        <f t="shared" si="78"/>
        <v>1</v>
      </c>
      <c r="L323" s="578"/>
      <c r="M323" s="12">
        <f t="shared" si="79"/>
        <v>1</v>
      </c>
      <c r="N323" s="578"/>
      <c r="O323" s="12">
        <f t="shared" si="80"/>
        <v>1</v>
      </c>
      <c r="P323" s="578"/>
      <c r="Q323" s="12">
        <f t="shared" si="81"/>
        <v>1</v>
      </c>
      <c r="R323" s="12">
        <f t="shared" si="86"/>
        <v>0</v>
      </c>
      <c r="S323" s="246">
        <f t="shared" si="87"/>
        <v>0</v>
      </c>
      <c r="T323" s="821">
        <f t="shared" si="88"/>
        <v>0</v>
      </c>
      <c r="U323" s="2689">
        <f t="shared" si="82"/>
        <v>0</v>
      </c>
      <c r="V323" s="2689">
        <f t="shared" si="83"/>
        <v>0</v>
      </c>
      <c r="W323" s="909"/>
      <c r="X323" s="2689">
        <f t="shared" si="84"/>
        <v>0</v>
      </c>
      <c r="Y323" s="2689">
        <f t="shared" si="85"/>
        <v>0</v>
      </c>
      <c r="Z323" s="909"/>
    </row>
    <row r="324" spans="1:26">
      <c r="A324" s="31"/>
      <c r="B324" s="19"/>
      <c r="C324" s="12">
        <f t="shared" si="74"/>
        <v>1</v>
      </c>
      <c r="D324" s="578"/>
      <c r="E324" s="12">
        <f t="shared" si="75"/>
        <v>1</v>
      </c>
      <c r="F324" s="578"/>
      <c r="G324" s="12">
        <f t="shared" si="76"/>
        <v>1</v>
      </c>
      <c r="H324" s="578"/>
      <c r="I324" s="12">
        <f t="shared" si="77"/>
        <v>1</v>
      </c>
      <c r="J324" s="578"/>
      <c r="K324" s="12">
        <f t="shared" si="78"/>
        <v>1</v>
      </c>
      <c r="L324" s="578"/>
      <c r="M324" s="12">
        <f t="shared" si="79"/>
        <v>1</v>
      </c>
      <c r="N324" s="578"/>
      <c r="O324" s="12">
        <f t="shared" si="80"/>
        <v>1</v>
      </c>
      <c r="P324" s="578"/>
      <c r="Q324" s="12">
        <f t="shared" si="81"/>
        <v>1</v>
      </c>
      <c r="R324" s="12">
        <f t="shared" si="86"/>
        <v>0</v>
      </c>
      <c r="S324" s="246">
        <f t="shared" si="87"/>
        <v>0</v>
      </c>
      <c r="T324" s="821">
        <f t="shared" si="88"/>
        <v>0</v>
      </c>
      <c r="U324" s="2689">
        <f t="shared" si="82"/>
        <v>0</v>
      </c>
      <c r="V324" s="2689">
        <f t="shared" si="83"/>
        <v>0</v>
      </c>
      <c r="W324" s="909"/>
      <c r="X324" s="2689">
        <f t="shared" si="84"/>
        <v>0</v>
      </c>
      <c r="Y324" s="2689">
        <f t="shared" si="85"/>
        <v>0</v>
      </c>
      <c r="Z324" s="909"/>
    </row>
    <row r="325" spans="1:26">
      <c r="A325" s="31"/>
      <c r="B325" s="19"/>
      <c r="C325" s="12">
        <f t="shared" si="74"/>
        <v>1</v>
      </c>
      <c r="D325" s="578"/>
      <c r="E325" s="12">
        <f t="shared" si="75"/>
        <v>1</v>
      </c>
      <c r="F325" s="578"/>
      <c r="G325" s="12">
        <f t="shared" si="76"/>
        <v>1</v>
      </c>
      <c r="H325" s="578"/>
      <c r="I325" s="12">
        <f t="shared" si="77"/>
        <v>1</v>
      </c>
      <c r="J325" s="578"/>
      <c r="K325" s="12">
        <f t="shared" si="78"/>
        <v>1</v>
      </c>
      <c r="L325" s="578"/>
      <c r="M325" s="12">
        <f t="shared" si="79"/>
        <v>1</v>
      </c>
      <c r="N325" s="578"/>
      <c r="O325" s="12">
        <f t="shared" si="80"/>
        <v>1</v>
      </c>
      <c r="P325" s="578"/>
      <c r="Q325" s="12">
        <f t="shared" si="81"/>
        <v>1</v>
      </c>
      <c r="R325" s="12">
        <f t="shared" si="86"/>
        <v>0</v>
      </c>
      <c r="S325" s="246">
        <f t="shared" si="87"/>
        <v>0</v>
      </c>
      <c r="T325" s="821">
        <f t="shared" si="88"/>
        <v>0</v>
      </c>
      <c r="U325" s="2689">
        <f t="shared" si="82"/>
        <v>0</v>
      </c>
      <c r="V325" s="2689">
        <f t="shared" si="83"/>
        <v>0</v>
      </c>
      <c r="W325" s="909"/>
      <c r="X325" s="2689">
        <f t="shared" si="84"/>
        <v>0</v>
      </c>
      <c r="Y325" s="2689">
        <f t="shared" si="85"/>
        <v>0</v>
      </c>
      <c r="Z325" s="909"/>
    </row>
    <row r="326" spans="1:26">
      <c r="A326" s="31"/>
      <c r="B326" s="19"/>
      <c r="C326" s="12">
        <f t="shared" si="74"/>
        <v>1</v>
      </c>
      <c r="D326" s="578"/>
      <c r="E326" s="12">
        <f t="shared" si="75"/>
        <v>1</v>
      </c>
      <c r="F326" s="578"/>
      <c r="G326" s="12">
        <f t="shared" si="76"/>
        <v>1</v>
      </c>
      <c r="H326" s="578"/>
      <c r="I326" s="12">
        <f t="shared" si="77"/>
        <v>1</v>
      </c>
      <c r="J326" s="578"/>
      <c r="K326" s="12">
        <f t="shared" si="78"/>
        <v>1</v>
      </c>
      <c r="L326" s="578"/>
      <c r="M326" s="12">
        <f t="shared" si="79"/>
        <v>1</v>
      </c>
      <c r="N326" s="578"/>
      <c r="O326" s="12">
        <f t="shared" si="80"/>
        <v>1</v>
      </c>
      <c r="P326" s="578"/>
      <c r="Q326" s="12">
        <f t="shared" si="81"/>
        <v>1</v>
      </c>
      <c r="R326" s="12">
        <f t="shared" si="86"/>
        <v>0</v>
      </c>
      <c r="S326" s="246">
        <f t="shared" si="87"/>
        <v>0</v>
      </c>
      <c r="T326" s="821">
        <f t="shared" si="88"/>
        <v>0</v>
      </c>
      <c r="U326" s="2689">
        <f t="shared" si="82"/>
        <v>0</v>
      </c>
      <c r="V326" s="2689">
        <f t="shared" si="83"/>
        <v>0</v>
      </c>
      <c r="W326" s="909"/>
      <c r="X326" s="2689">
        <f t="shared" si="84"/>
        <v>0</v>
      </c>
      <c r="Y326" s="2689">
        <f t="shared" si="85"/>
        <v>0</v>
      </c>
      <c r="Z326" s="909"/>
    </row>
    <row r="327" spans="1:26">
      <c r="A327" s="31"/>
      <c r="B327" s="19"/>
      <c r="C327" s="12">
        <f t="shared" si="74"/>
        <v>1</v>
      </c>
      <c r="D327" s="578"/>
      <c r="E327" s="12">
        <f t="shared" si="75"/>
        <v>1</v>
      </c>
      <c r="F327" s="578"/>
      <c r="G327" s="12">
        <f t="shared" si="76"/>
        <v>1</v>
      </c>
      <c r="H327" s="578"/>
      <c r="I327" s="12">
        <f t="shared" si="77"/>
        <v>1</v>
      </c>
      <c r="J327" s="578"/>
      <c r="K327" s="12">
        <f t="shared" si="78"/>
        <v>1</v>
      </c>
      <c r="L327" s="578"/>
      <c r="M327" s="12">
        <f t="shared" si="79"/>
        <v>1</v>
      </c>
      <c r="N327" s="578"/>
      <c r="O327" s="12">
        <f t="shared" si="80"/>
        <v>1</v>
      </c>
      <c r="P327" s="578"/>
      <c r="Q327" s="12">
        <f t="shared" si="81"/>
        <v>1</v>
      </c>
      <c r="R327" s="12">
        <f t="shared" si="86"/>
        <v>0</v>
      </c>
      <c r="S327" s="246">
        <f t="shared" si="87"/>
        <v>0</v>
      </c>
      <c r="T327" s="821">
        <f t="shared" si="88"/>
        <v>0</v>
      </c>
      <c r="U327" s="2689">
        <f t="shared" si="82"/>
        <v>0</v>
      </c>
      <c r="V327" s="2689">
        <f t="shared" si="83"/>
        <v>0</v>
      </c>
      <c r="W327" s="909"/>
      <c r="X327" s="2689">
        <f t="shared" si="84"/>
        <v>0</v>
      </c>
      <c r="Y327" s="2689">
        <f t="shared" si="85"/>
        <v>0</v>
      </c>
      <c r="Z327" s="909"/>
    </row>
    <row r="328" spans="1:26">
      <c r="A328" s="31"/>
      <c r="B328" s="19"/>
      <c r="C328" s="12">
        <f t="shared" si="74"/>
        <v>1</v>
      </c>
      <c r="D328" s="578"/>
      <c r="E328" s="12">
        <f t="shared" si="75"/>
        <v>1</v>
      </c>
      <c r="F328" s="578"/>
      <c r="G328" s="12">
        <f t="shared" si="76"/>
        <v>1</v>
      </c>
      <c r="H328" s="578"/>
      <c r="I328" s="12">
        <f t="shared" si="77"/>
        <v>1</v>
      </c>
      <c r="J328" s="578"/>
      <c r="K328" s="12">
        <f t="shared" si="78"/>
        <v>1</v>
      </c>
      <c r="L328" s="578"/>
      <c r="M328" s="12">
        <f t="shared" si="79"/>
        <v>1</v>
      </c>
      <c r="N328" s="578"/>
      <c r="O328" s="12">
        <f t="shared" si="80"/>
        <v>1</v>
      </c>
      <c r="P328" s="578"/>
      <c r="Q328" s="12">
        <f t="shared" si="81"/>
        <v>1</v>
      </c>
      <c r="R328" s="12">
        <f t="shared" si="86"/>
        <v>0</v>
      </c>
      <c r="S328" s="246">
        <f t="shared" si="87"/>
        <v>0</v>
      </c>
      <c r="T328" s="821">
        <f t="shared" si="88"/>
        <v>0</v>
      </c>
      <c r="U328" s="2689">
        <f t="shared" si="82"/>
        <v>0</v>
      </c>
      <c r="V328" s="2689">
        <f t="shared" si="83"/>
        <v>0</v>
      </c>
      <c r="W328" s="909"/>
      <c r="X328" s="2689">
        <f t="shared" si="84"/>
        <v>0</v>
      </c>
      <c r="Y328" s="2689">
        <f t="shared" si="85"/>
        <v>0</v>
      </c>
      <c r="Z328" s="909"/>
    </row>
    <row r="329" spans="1:26">
      <c r="A329" s="31"/>
      <c r="B329" s="19"/>
      <c r="C329" s="12">
        <f t="shared" si="74"/>
        <v>1</v>
      </c>
      <c r="D329" s="578"/>
      <c r="E329" s="12">
        <f t="shared" si="75"/>
        <v>1</v>
      </c>
      <c r="F329" s="578"/>
      <c r="G329" s="12">
        <f t="shared" si="76"/>
        <v>1</v>
      </c>
      <c r="H329" s="578"/>
      <c r="I329" s="12">
        <f t="shared" si="77"/>
        <v>1</v>
      </c>
      <c r="J329" s="578"/>
      <c r="K329" s="12">
        <f t="shared" si="78"/>
        <v>1</v>
      </c>
      <c r="L329" s="578"/>
      <c r="M329" s="12">
        <f t="shared" si="79"/>
        <v>1</v>
      </c>
      <c r="N329" s="578"/>
      <c r="O329" s="12">
        <f t="shared" si="80"/>
        <v>1</v>
      </c>
      <c r="P329" s="578"/>
      <c r="Q329" s="12">
        <f t="shared" si="81"/>
        <v>1</v>
      </c>
      <c r="R329" s="12">
        <f t="shared" si="86"/>
        <v>0</v>
      </c>
      <c r="S329" s="246">
        <f t="shared" si="87"/>
        <v>0</v>
      </c>
      <c r="T329" s="821">
        <f t="shared" si="88"/>
        <v>0</v>
      </c>
      <c r="U329" s="2689">
        <f t="shared" si="82"/>
        <v>0</v>
      </c>
      <c r="V329" s="2689">
        <f t="shared" si="83"/>
        <v>0</v>
      </c>
      <c r="W329" s="909"/>
      <c r="X329" s="2689">
        <f t="shared" si="84"/>
        <v>0</v>
      </c>
      <c r="Y329" s="2689">
        <f t="shared" si="85"/>
        <v>0</v>
      </c>
      <c r="Z329" s="909"/>
    </row>
    <row r="330" spans="1:26">
      <c r="A330" s="31"/>
      <c r="B330" s="19"/>
      <c r="C330" s="12">
        <f t="shared" si="74"/>
        <v>1</v>
      </c>
      <c r="D330" s="578"/>
      <c r="E330" s="12">
        <f t="shared" si="75"/>
        <v>1</v>
      </c>
      <c r="F330" s="578"/>
      <c r="G330" s="12">
        <f t="shared" si="76"/>
        <v>1</v>
      </c>
      <c r="H330" s="578"/>
      <c r="I330" s="12">
        <f t="shared" si="77"/>
        <v>1</v>
      </c>
      <c r="J330" s="578"/>
      <c r="K330" s="12">
        <f t="shared" si="78"/>
        <v>1</v>
      </c>
      <c r="L330" s="578"/>
      <c r="M330" s="12">
        <f t="shared" si="79"/>
        <v>1</v>
      </c>
      <c r="N330" s="578"/>
      <c r="O330" s="12">
        <f t="shared" si="80"/>
        <v>1</v>
      </c>
      <c r="P330" s="578"/>
      <c r="Q330" s="12">
        <f t="shared" si="81"/>
        <v>1</v>
      </c>
      <c r="R330" s="12">
        <f t="shared" si="86"/>
        <v>0</v>
      </c>
      <c r="S330" s="246">
        <f t="shared" si="87"/>
        <v>0</v>
      </c>
      <c r="T330" s="821">
        <f t="shared" si="88"/>
        <v>0</v>
      </c>
      <c r="U330" s="2689">
        <f t="shared" si="82"/>
        <v>0</v>
      </c>
      <c r="V330" s="2689">
        <f t="shared" si="83"/>
        <v>0</v>
      </c>
      <c r="W330" s="909"/>
      <c r="X330" s="2689">
        <f t="shared" si="84"/>
        <v>0</v>
      </c>
      <c r="Y330" s="2689">
        <f t="shared" si="85"/>
        <v>0</v>
      </c>
      <c r="Z330" s="909"/>
    </row>
    <row r="331" spans="1:26">
      <c r="A331" s="31"/>
      <c r="B331" s="19"/>
      <c r="C331" s="12">
        <f t="shared" si="74"/>
        <v>1</v>
      </c>
      <c r="D331" s="578"/>
      <c r="E331" s="12">
        <f t="shared" si="75"/>
        <v>1</v>
      </c>
      <c r="F331" s="578"/>
      <c r="G331" s="12">
        <f t="shared" si="76"/>
        <v>1</v>
      </c>
      <c r="H331" s="578"/>
      <c r="I331" s="12">
        <f t="shared" si="77"/>
        <v>1</v>
      </c>
      <c r="J331" s="578"/>
      <c r="K331" s="12">
        <f t="shared" si="78"/>
        <v>1</v>
      </c>
      <c r="L331" s="578"/>
      <c r="M331" s="12">
        <f t="shared" si="79"/>
        <v>1</v>
      </c>
      <c r="N331" s="578"/>
      <c r="O331" s="12">
        <f t="shared" si="80"/>
        <v>1</v>
      </c>
      <c r="P331" s="578"/>
      <c r="Q331" s="12">
        <f t="shared" si="81"/>
        <v>1</v>
      </c>
      <c r="R331" s="12">
        <f t="shared" si="86"/>
        <v>0</v>
      </c>
      <c r="S331" s="246">
        <f t="shared" si="87"/>
        <v>0</v>
      </c>
      <c r="T331" s="821">
        <f t="shared" si="88"/>
        <v>0</v>
      </c>
      <c r="U331" s="2689">
        <f t="shared" si="82"/>
        <v>0</v>
      </c>
      <c r="V331" s="2689">
        <f t="shared" si="83"/>
        <v>0</v>
      </c>
      <c r="W331" s="909"/>
      <c r="X331" s="2689">
        <f t="shared" si="84"/>
        <v>0</v>
      </c>
      <c r="Y331" s="2689">
        <f t="shared" si="85"/>
        <v>0</v>
      </c>
      <c r="Z331" s="909"/>
    </row>
    <row r="332" spans="1:26">
      <c r="A332" s="31"/>
      <c r="B332" s="19"/>
      <c r="C332" s="12">
        <f t="shared" si="74"/>
        <v>1</v>
      </c>
      <c r="D332" s="578"/>
      <c r="E332" s="12">
        <f t="shared" si="75"/>
        <v>1</v>
      </c>
      <c r="F332" s="578"/>
      <c r="G332" s="12">
        <f t="shared" si="76"/>
        <v>1</v>
      </c>
      <c r="H332" s="578"/>
      <c r="I332" s="12">
        <f t="shared" si="77"/>
        <v>1</v>
      </c>
      <c r="J332" s="578"/>
      <c r="K332" s="12">
        <f t="shared" si="78"/>
        <v>1</v>
      </c>
      <c r="L332" s="578"/>
      <c r="M332" s="12">
        <f t="shared" si="79"/>
        <v>1</v>
      </c>
      <c r="N332" s="578"/>
      <c r="O332" s="12">
        <f t="shared" si="80"/>
        <v>1</v>
      </c>
      <c r="P332" s="578"/>
      <c r="Q332" s="12">
        <f t="shared" si="81"/>
        <v>1</v>
      </c>
      <c r="R332" s="12">
        <f t="shared" si="86"/>
        <v>0</v>
      </c>
      <c r="S332" s="246">
        <f t="shared" si="87"/>
        <v>0</v>
      </c>
      <c r="T332" s="821">
        <f t="shared" si="88"/>
        <v>0</v>
      </c>
      <c r="U332" s="2689">
        <f t="shared" si="82"/>
        <v>0</v>
      </c>
      <c r="V332" s="2689">
        <f t="shared" si="83"/>
        <v>0</v>
      </c>
      <c r="W332" s="909"/>
      <c r="X332" s="2689">
        <f t="shared" si="84"/>
        <v>0</v>
      </c>
      <c r="Y332" s="2689">
        <f t="shared" si="85"/>
        <v>0</v>
      </c>
      <c r="Z332" s="909"/>
    </row>
    <row r="333" spans="1:26">
      <c r="A333" s="31"/>
      <c r="B333" s="19"/>
      <c r="C333" s="12">
        <f t="shared" si="74"/>
        <v>1</v>
      </c>
      <c r="D333" s="578"/>
      <c r="E333" s="12">
        <f t="shared" si="75"/>
        <v>1</v>
      </c>
      <c r="F333" s="578"/>
      <c r="G333" s="12">
        <f t="shared" si="76"/>
        <v>1</v>
      </c>
      <c r="H333" s="578"/>
      <c r="I333" s="12">
        <f t="shared" si="77"/>
        <v>1</v>
      </c>
      <c r="J333" s="578"/>
      <c r="K333" s="12">
        <f t="shared" si="78"/>
        <v>1</v>
      </c>
      <c r="L333" s="578"/>
      <c r="M333" s="12">
        <f t="shared" si="79"/>
        <v>1</v>
      </c>
      <c r="N333" s="578"/>
      <c r="O333" s="12">
        <f t="shared" si="80"/>
        <v>1</v>
      </c>
      <c r="P333" s="578"/>
      <c r="Q333" s="12">
        <f t="shared" si="81"/>
        <v>1</v>
      </c>
      <c r="R333" s="12">
        <f t="shared" si="86"/>
        <v>0</v>
      </c>
      <c r="S333" s="246">
        <f t="shared" si="87"/>
        <v>0</v>
      </c>
      <c r="T333" s="821">
        <f t="shared" si="88"/>
        <v>0</v>
      </c>
      <c r="U333" s="2689">
        <f t="shared" si="82"/>
        <v>0</v>
      </c>
      <c r="V333" s="2689">
        <f t="shared" si="83"/>
        <v>0</v>
      </c>
      <c r="W333" s="909"/>
      <c r="X333" s="2689">
        <f t="shared" si="84"/>
        <v>0</v>
      </c>
      <c r="Y333" s="2689">
        <f t="shared" si="85"/>
        <v>0</v>
      </c>
      <c r="Z333" s="909"/>
    </row>
    <row r="334" spans="1:26">
      <c r="A334" s="31"/>
      <c r="B334" s="19"/>
      <c r="C334" s="12">
        <f t="shared" si="74"/>
        <v>1</v>
      </c>
      <c r="D334" s="578"/>
      <c r="E334" s="12">
        <f t="shared" si="75"/>
        <v>1</v>
      </c>
      <c r="F334" s="578"/>
      <c r="G334" s="12">
        <f t="shared" si="76"/>
        <v>1</v>
      </c>
      <c r="H334" s="578"/>
      <c r="I334" s="12">
        <f t="shared" si="77"/>
        <v>1</v>
      </c>
      <c r="J334" s="578"/>
      <c r="K334" s="12">
        <f t="shared" si="78"/>
        <v>1</v>
      </c>
      <c r="L334" s="578"/>
      <c r="M334" s="12">
        <f t="shared" si="79"/>
        <v>1</v>
      </c>
      <c r="N334" s="578"/>
      <c r="O334" s="12">
        <f t="shared" si="80"/>
        <v>1</v>
      </c>
      <c r="P334" s="578"/>
      <c r="Q334" s="12">
        <f t="shared" si="81"/>
        <v>1</v>
      </c>
      <c r="R334" s="12">
        <f t="shared" si="86"/>
        <v>0</v>
      </c>
      <c r="S334" s="246">
        <f t="shared" si="87"/>
        <v>0</v>
      </c>
      <c r="T334" s="821">
        <f t="shared" si="88"/>
        <v>0</v>
      </c>
      <c r="U334" s="2689">
        <f t="shared" si="82"/>
        <v>0</v>
      </c>
      <c r="V334" s="2689">
        <f t="shared" si="83"/>
        <v>0</v>
      </c>
      <c r="W334" s="909"/>
      <c r="X334" s="2689">
        <f t="shared" si="84"/>
        <v>0</v>
      </c>
      <c r="Y334" s="2689">
        <f t="shared" si="85"/>
        <v>0</v>
      </c>
      <c r="Z334" s="909"/>
    </row>
    <row r="335" spans="1:26">
      <c r="A335" s="31"/>
      <c r="B335" s="19"/>
      <c r="C335" s="12">
        <f t="shared" si="74"/>
        <v>1</v>
      </c>
      <c r="D335" s="578"/>
      <c r="E335" s="12">
        <f t="shared" si="75"/>
        <v>1</v>
      </c>
      <c r="F335" s="578"/>
      <c r="G335" s="12">
        <f t="shared" si="76"/>
        <v>1</v>
      </c>
      <c r="H335" s="578"/>
      <c r="I335" s="12">
        <f t="shared" si="77"/>
        <v>1</v>
      </c>
      <c r="J335" s="578"/>
      <c r="K335" s="12">
        <f t="shared" si="78"/>
        <v>1</v>
      </c>
      <c r="L335" s="578"/>
      <c r="M335" s="12">
        <f t="shared" si="79"/>
        <v>1</v>
      </c>
      <c r="N335" s="578"/>
      <c r="O335" s="12">
        <f t="shared" si="80"/>
        <v>1</v>
      </c>
      <c r="P335" s="578"/>
      <c r="Q335" s="12">
        <f t="shared" si="81"/>
        <v>1</v>
      </c>
      <c r="R335" s="12">
        <f t="shared" si="86"/>
        <v>0</v>
      </c>
      <c r="S335" s="246">
        <f t="shared" si="87"/>
        <v>0</v>
      </c>
      <c r="T335" s="821">
        <f t="shared" si="88"/>
        <v>0</v>
      </c>
      <c r="U335" s="2689">
        <f t="shared" si="82"/>
        <v>0</v>
      </c>
      <c r="V335" s="2689">
        <f t="shared" si="83"/>
        <v>0</v>
      </c>
      <c r="W335" s="909"/>
      <c r="X335" s="2689">
        <f t="shared" si="84"/>
        <v>0</v>
      </c>
      <c r="Y335" s="2689">
        <f t="shared" si="85"/>
        <v>0</v>
      </c>
      <c r="Z335" s="909"/>
    </row>
    <row r="336" spans="1:26">
      <c r="A336" s="31"/>
      <c r="B336" s="19"/>
      <c r="C336" s="12">
        <f t="shared" si="74"/>
        <v>1</v>
      </c>
      <c r="D336" s="578"/>
      <c r="E336" s="12">
        <f t="shared" si="75"/>
        <v>1</v>
      </c>
      <c r="F336" s="578"/>
      <c r="G336" s="12">
        <f t="shared" si="76"/>
        <v>1</v>
      </c>
      <c r="H336" s="578"/>
      <c r="I336" s="12">
        <f t="shared" si="77"/>
        <v>1</v>
      </c>
      <c r="J336" s="578"/>
      <c r="K336" s="12">
        <f t="shared" si="78"/>
        <v>1</v>
      </c>
      <c r="L336" s="578"/>
      <c r="M336" s="12">
        <f t="shared" si="79"/>
        <v>1</v>
      </c>
      <c r="N336" s="578"/>
      <c r="O336" s="12">
        <f t="shared" si="80"/>
        <v>1</v>
      </c>
      <c r="P336" s="578"/>
      <c r="Q336" s="12">
        <f t="shared" si="81"/>
        <v>1</v>
      </c>
      <c r="R336" s="12">
        <f t="shared" si="86"/>
        <v>0</v>
      </c>
      <c r="S336" s="246">
        <f t="shared" si="87"/>
        <v>0</v>
      </c>
      <c r="T336" s="821">
        <f t="shared" si="88"/>
        <v>0</v>
      </c>
      <c r="U336" s="2689">
        <f t="shared" si="82"/>
        <v>0</v>
      </c>
      <c r="V336" s="2689">
        <f t="shared" si="83"/>
        <v>0</v>
      </c>
      <c r="W336" s="909"/>
      <c r="X336" s="2689">
        <f t="shared" si="84"/>
        <v>0</v>
      </c>
      <c r="Y336" s="2689">
        <f t="shared" si="85"/>
        <v>0</v>
      </c>
      <c r="Z336" s="909"/>
    </row>
    <row r="337" spans="1:26">
      <c r="A337" s="31"/>
      <c r="B337" s="19"/>
      <c r="C337" s="12">
        <f t="shared" si="74"/>
        <v>1</v>
      </c>
      <c r="D337" s="578"/>
      <c r="E337" s="12">
        <f t="shared" si="75"/>
        <v>1</v>
      </c>
      <c r="F337" s="578"/>
      <c r="G337" s="12">
        <f t="shared" si="76"/>
        <v>1</v>
      </c>
      <c r="H337" s="578"/>
      <c r="I337" s="12">
        <f t="shared" si="77"/>
        <v>1</v>
      </c>
      <c r="J337" s="578"/>
      <c r="K337" s="12">
        <f t="shared" si="78"/>
        <v>1</v>
      </c>
      <c r="L337" s="578"/>
      <c r="M337" s="12">
        <f t="shared" si="79"/>
        <v>1</v>
      </c>
      <c r="N337" s="578"/>
      <c r="O337" s="12">
        <f t="shared" si="80"/>
        <v>1</v>
      </c>
      <c r="P337" s="578"/>
      <c r="Q337" s="12">
        <f t="shared" si="81"/>
        <v>1</v>
      </c>
      <c r="R337" s="12">
        <f t="shared" si="86"/>
        <v>0</v>
      </c>
      <c r="S337" s="246">
        <f t="shared" si="87"/>
        <v>0</v>
      </c>
      <c r="T337" s="821">
        <f t="shared" si="88"/>
        <v>0</v>
      </c>
      <c r="U337" s="2689">
        <f t="shared" si="82"/>
        <v>0</v>
      </c>
      <c r="V337" s="2689">
        <f t="shared" si="83"/>
        <v>0</v>
      </c>
      <c r="W337" s="909"/>
      <c r="X337" s="2689">
        <f t="shared" si="84"/>
        <v>0</v>
      </c>
      <c r="Y337" s="2689">
        <f t="shared" si="85"/>
        <v>0</v>
      </c>
      <c r="Z337" s="909"/>
    </row>
    <row r="338" spans="1:26">
      <c r="A338" s="31"/>
      <c r="B338" s="19"/>
      <c r="C338" s="12">
        <f t="shared" si="74"/>
        <v>1</v>
      </c>
      <c r="D338" s="578"/>
      <c r="E338" s="12">
        <f t="shared" si="75"/>
        <v>1</v>
      </c>
      <c r="F338" s="578"/>
      <c r="G338" s="12">
        <f t="shared" si="76"/>
        <v>1</v>
      </c>
      <c r="H338" s="578"/>
      <c r="I338" s="12">
        <f t="shared" si="77"/>
        <v>1</v>
      </c>
      <c r="J338" s="578"/>
      <c r="K338" s="12">
        <f t="shared" si="78"/>
        <v>1</v>
      </c>
      <c r="L338" s="578"/>
      <c r="M338" s="12">
        <f t="shared" si="79"/>
        <v>1</v>
      </c>
      <c r="N338" s="578"/>
      <c r="O338" s="12">
        <f t="shared" si="80"/>
        <v>1</v>
      </c>
      <c r="P338" s="578"/>
      <c r="Q338" s="12">
        <f t="shared" si="81"/>
        <v>1</v>
      </c>
      <c r="R338" s="12">
        <f t="shared" si="86"/>
        <v>0</v>
      </c>
      <c r="S338" s="246">
        <f t="shared" si="87"/>
        <v>0</v>
      </c>
      <c r="T338" s="821">
        <f t="shared" si="88"/>
        <v>0</v>
      </c>
      <c r="U338" s="2689">
        <f t="shared" si="82"/>
        <v>0</v>
      </c>
      <c r="V338" s="2689">
        <f t="shared" si="83"/>
        <v>0</v>
      </c>
      <c r="W338" s="909"/>
      <c r="X338" s="2689">
        <f t="shared" si="84"/>
        <v>0</v>
      </c>
      <c r="Y338" s="2689">
        <f t="shared" si="85"/>
        <v>0</v>
      </c>
      <c r="Z338" s="909"/>
    </row>
    <row r="339" spans="1:26">
      <c r="A339" s="31"/>
      <c r="B339" s="19"/>
      <c r="C339" s="12">
        <f t="shared" si="74"/>
        <v>1</v>
      </c>
      <c r="D339" s="578"/>
      <c r="E339" s="12">
        <f t="shared" si="75"/>
        <v>1</v>
      </c>
      <c r="F339" s="578"/>
      <c r="G339" s="12">
        <f t="shared" si="76"/>
        <v>1</v>
      </c>
      <c r="H339" s="578"/>
      <c r="I339" s="12">
        <f t="shared" si="77"/>
        <v>1</v>
      </c>
      <c r="J339" s="578"/>
      <c r="K339" s="12">
        <f t="shared" si="78"/>
        <v>1</v>
      </c>
      <c r="L339" s="578"/>
      <c r="M339" s="12">
        <f t="shared" si="79"/>
        <v>1</v>
      </c>
      <c r="N339" s="578"/>
      <c r="O339" s="12">
        <f t="shared" si="80"/>
        <v>1</v>
      </c>
      <c r="P339" s="578"/>
      <c r="Q339" s="12">
        <f t="shared" si="81"/>
        <v>1</v>
      </c>
      <c r="R339" s="12">
        <f t="shared" si="86"/>
        <v>0</v>
      </c>
      <c r="S339" s="246">
        <f t="shared" si="87"/>
        <v>0</v>
      </c>
      <c r="T339" s="821">
        <f t="shared" si="88"/>
        <v>0</v>
      </c>
      <c r="U339" s="2689">
        <f t="shared" si="82"/>
        <v>0</v>
      </c>
      <c r="V339" s="2689">
        <f t="shared" si="83"/>
        <v>0</v>
      </c>
      <c r="W339" s="909"/>
      <c r="X339" s="2689">
        <f t="shared" si="84"/>
        <v>0</v>
      </c>
      <c r="Y339" s="2689">
        <f t="shared" si="85"/>
        <v>0</v>
      </c>
      <c r="Z339" s="909"/>
    </row>
    <row r="340" spans="1:26">
      <c r="A340" s="31"/>
      <c r="B340" s="19"/>
      <c r="C340" s="12">
        <f t="shared" si="74"/>
        <v>1</v>
      </c>
      <c r="D340" s="578"/>
      <c r="E340" s="12">
        <f t="shared" si="75"/>
        <v>1</v>
      </c>
      <c r="F340" s="578"/>
      <c r="G340" s="12">
        <f t="shared" si="76"/>
        <v>1</v>
      </c>
      <c r="H340" s="578"/>
      <c r="I340" s="12">
        <f t="shared" si="77"/>
        <v>1</v>
      </c>
      <c r="J340" s="578"/>
      <c r="K340" s="12">
        <f t="shared" si="78"/>
        <v>1</v>
      </c>
      <c r="L340" s="578"/>
      <c r="M340" s="12">
        <f t="shared" si="79"/>
        <v>1</v>
      </c>
      <c r="N340" s="578"/>
      <c r="O340" s="12">
        <f t="shared" si="80"/>
        <v>1</v>
      </c>
      <c r="P340" s="578"/>
      <c r="Q340" s="12">
        <f t="shared" si="81"/>
        <v>1</v>
      </c>
      <c r="R340" s="12">
        <f t="shared" si="86"/>
        <v>0</v>
      </c>
      <c r="S340" s="246">
        <f t="shared" si="87"/>
        <v>0</v>
      </c>
      <c r="T340" s="821">
        <f t="shared" si="88"/>
        <v>0</v>
      </c>
      <c r="U340" s="2689">
        <f t="shared" si="82"/>
        <v>0</v>
      </c>
      <c r="V340" s="2689">
        <f t="shared" si="83"/>
        <v>0</v>
      </c>
      <c r="W340" s="909"/>
      <c r="X340" s="2689">
        <f t="shared" si="84"/>
        <v>0</v>
      </c>
      <c r="Y340" s="2689">
        <f t="shared" si="85"/>
        <v>0</v>
      </c>
      <c r="Z340" s="909"/>
    </row>
    <row r="341" spans="1:26">
      <c r="A341" s="31"/>
      <c r="B341" s="19"/>
      <c r="C341" s="12">
        <f t="shared" si="74"/>
        <v>1</v>
      </c>
      <c r="D341" s="578"/>
      <c r="E341" s="12">
        <f t="shared" si="75"/>
        <v>1</v>
      </c>
      <c r="F341" s="578"/>
      <c r="G341" s="12">
        <f t="shared" si="76"/>
        <v>1</v>
      </c>
      <c r="H341" s="578"/>
      <c r="I341" s="12">
        <f t="shared" si="77"/>
        <v>1</v>
      </c>
      <c r="J341" s="578"/>
      <c r="K341" s="12">
        <f t="shared" si="78"/>
        <v>1</v>
      </c>
      <c r="L341" s="578"/>
      <c r="M341" s="12">
        <f t="shared" si="79"/>
        <v>1</v>
      </c>
      <c r="N341" s="578"/>
      <c r="O341" s="12">
        <f t="shared" si="80"/>
        <v>1</v>
      </c>
      <c r="P341" s="578"/>
      <c r="Q341" s="12">
        <f t="shared" si="81"/>
        <v>1</v>
      </c>
      <c r="R341" s="12">
        <f t="shared" si="86"/>
        <v>0</v>
      </c>
      <c r="S341" s="246">
        <f t="shared" si="87"/>
        <v>0</v>
      </c>
      <c r="T341" s="821">
        <f t="shared" si="88"/>
        <v>0</v>
      </c>
      <c r="U341" s="2689">
        <f t="shared" si="82"/>
        <v>0</v>
      </c>
      <c r="V341" s="2689">
        <f t="shared" si="83"/>
        <v>0</v>
      </c>
      <c r="W341" s="909"/>
      <c r="X341" s="2689">
        <f t="shared" si="84"/>
        <v>0</v>
      </c>
      <c r="Y341" s="2689">
        <f t="shared" si="85"/>
        <v>0</v>
      </c>
      <c r="Z341" s="909"/>
    </row>
    <row r="342" spans="1:26">
      <c r="A342" s="31"/>
      <c r="B342" s="19"/>
      <c r="C342" s="12">
        <f t="shared" si="74"/>
        <v>1</v>
      </c>
      <c r="D342" s="578"/>
      <c r="E342" s="12">
        <f t="shared" si="75"/>
        <v>1</v>
      </c>
      <c r="F342" s="578"/>
      <c r="G342" s="12">
        <f t="shared" si="76"/>
        <v>1</v>
      </c>
      <c r="H342" s="578"/>
      <c r="I342" s="12">
        <f t="shared" si="77"/>
        <v>1</v>
      </c>
      <c r="J342" s="578"/>
      <c r="K342" s="12">
        <f t="shared" si="78"/>
        <v>1</v>
      </c>
      <c r="L342" s="578"/>
      <c r="M342" s="12">
        <f t="shared" si="79"/>
        <v>1</v>
      </c>
      <c r="N342" s="578"/>
      <c r="O342" s="12">
        <f t="shared" si="80"/>
        <v>1</v>
      </c>
      <c r="P342" s="578"/>
      <c r="Q342" s="12">
        <f t="shared" si="81"/>
        <v>1</v>
      </c>
      <c r="R342" s="12">
        <f t="shared" si="86"/>
        <v>0</v>
      </c>
      <c r="S342" s="246">
        <f t="shared" si="87"/>
        <v>0</v>
      </c>
      <c r="T342" s="821">
        <f t="shared" si="88"/>
        <v>0</v>
      </c>
      <c r="U342" s="2689">
        <f t="shared" si="82"/>
        <v>0</v>
      </c>
      <c r="V342" s="2689">
        <f t="shared" si="83"/>
        <v>0</v>
      </c>
      <c r="W342" s="909"/>
      <c r="X342" s="2689">
        <f t="shared" si="84"/>
        <v>0</v>
      </c>
      <c r="Y342" s="2689">
        <f t="shared" si="85"/>
        <v>0</v>
      </c>
      <c r="Z342" s="909"/>
    </row>
    <row r="343" spans="1:26">
      <c r="A343" s="31"/>
      <c r="B343" s="19"/>
      <c r="C343" s="12">
        <f t="shared" si="74"/>
        <v>1</v>
      </c>
      <c r="D343" s="578"/>
      <c r="E343" s="12">
        <f t="shared" si="75"/>
        <v>1</v>
      </c>
      <c r="F343" s="578"/>
      <c r="G343" s="12">
        <f t="shared" si="76"/>
        <v>1</v>
      </c>
      <c r="H343" s="578"/>
      <c r="I343" s="12">
        <f t="shared" si="77"/>
        <v>1</v>
      </c>
      <c r="J343" s="578"/>
      <c r="K343" s="12">
        <f t="shared" si="78"/>
        <v>1</v>
      </c>
      <c r="L343" s="578"/>
      <c r="M343" s="12">
        <f t="shared" si="79"/>
        <v>1</v>
      </c>
      <c r="N343" s="578"/>
      <c r="O343" s="12">
        <f t="shared" si="80"/>
        <v>1</v>
      </c>
      <c r="P343" s="578"/>
      <c r="Q343" s="12">
        <f t="shared" si="81"/>
        <v>1</v>
      </c>
      <c r="R343" s="12">
        <f t="shared" si="86"/>
        <v>0</v>
      </c>
      <c r="S343" s="246">
        <f t="shared" si="87"/>
        <v>0</v>
      </c>
      <c r="T343" s="821">
        <f t="shared" si="88"/>
        <v>0</v>
      </c>
      <c r="U343" s="2689">
        <f t="shared" si="82"/>
        <v>0</v>
      </c>
      <c r="V343" s="2689">
        <f t="shared" si="83"/>
        <v>0</v>
      </c>
      <c r="W343" s="909"/>
      <c r="X343" s="2689">
        <f t="shared" si="84"/>
        <v>0</v>
      </c>
      <c r="Y343" s="2689">
        <f t="shared" si="85"/>
        <v>0</v>
      </c>
      <c r="Z343" s="909"/>
    </row>
    <row r="344" spans="1:26">
      <c r="A344" s="31"/>
      <c r="B344" s="19"/>
      <c r="C344" s="12">
        <f t="shared" si="74"/>
        <v>1</v>
      </c>
      <c r="D344" s="578"/>
      <c r="E344" s="12">
        <f t="shared" si="75"/>
        <v>1</v>
      </c>
      <c r="F344" s="578"/>
      <c r="G344" s="12">
        <f t="shared" si="76"/>
        <v>1</v>
      </c>
      <c r="H344" s="578"/>
      <c r="I344" s="12">
        <f t="shared" si="77"/>
        <v>1</v>
      </c>
      <c r="J344" s="578"/>
      <c r="K344" s="12">
        <f t="shared" si="78"/>
        <v>1</v>
      </c>
      <c r="L344" s="578"/>
      <c r="M344" s="12">
        <f t="shared" si="79"/>
        <v>1</v>
      </c>
      <c r="N344" s="578"/>
      <c r="O344" s="12">
        <f t="shared" si="80"/>
        <v>1</v>
      </c>
      <c r="P344" s="578"/>
      <c r="Q344" s="12">
        <f t="shared" si="81"/>
        <v>1</v>
      </c>
      <c r="R344" s="12">
        <f t="shared" si="86"/>
        <v>0</v>
      </c>
      <c r="S344" s="246">
        <f t="shared" si="87"/>
        <v>0</v>
      </c>
      <c r="T344" s="821">
        <f t="shared" si="88"/>
        <v>0</v>
      </c>
      <c r="U344" s="2689">
        <f t="shared" si="82"/>
        <v>0</v>
      </c>
      <c r="V344" s="2689">
        <f t="shared" si="83"/>
        <v>0</v>
      </c>
      <c r="W344" s="909"/>
      <c r="X344" s="2689">
        <f t="shared" si="84"/>
        <v>0</v>
      </c>
      <c r="Y344" s="2689">
        <f t="shared" si="85"/>
        <v>0</v>
      </c>
      <c r="Z344" s="909"/>
    </row>
    <row r="345" spans="1:26">
      <c r="A345" s="31"/>
      <c r="B345" s="19"/>
      <c r="C345" s="12">
        <f t="shared" si="74"/>
        <v>1</v>
      </c>
      <c r="D345" s="578"/>
      <c r="E345" s="12">
        <f t="shared" si="75"/>
        <v>1</v>
      </c>
      <c r="F345" s="578"/>
      <c r="G345" s="12">
        <f t="shared" si="76"/>
        <v>1</v>
      </c>
      <c r="H345" s="578"/>
      <c r="I345" s="12">
        <f t="shared" si="77"/>
        <v>1</v>
      </c>
      <c r="J345" s="578"/>
      <c r="K345" s="12">
        <f t="shared" si="78"/>
        <v>1</v>
      </c>
      <c r="L345" s="578"/>
      <c r="M345" s="12">
        <f t="shared" si="79"/>
        <v>1</v>
      </c>
      <c r="N345" s="578"/>
      <c r="O345" s="12">
        <f t="shared" si="80"/>
        <v>1</v>
      </c>
      <c r="P345" s="578"/>
      <c r="Q345" s="12">
        <f t="shared" si="81"/>
        <v>1</v>
      </c>
      <c r="R345" s="12">
        <f t="shared" si="86"/>
        <v>0</v>
      </c>
      <c r="S345" s="246">
        <f t="shared" si="87"/>
        <v>0</v>
      </c>
      <c r="T345" s="821">
        <f t="shared" si="88"/>
        <v>0</v>
      </c>
      <c r="U345" s="2689">
        <f t="shared" si="82"/>
        <v>0</v>
      </c>
      <c r="V345" s="2689">
        <f t="shared" si="83"/>
        <v>0</v>
      </c>
      <c r="W345" s="909"/>
      <c r="X345" s="2689">
        <f t="shared" si="84"/>
        <v>0</v>
      </c>
      <c r="Y345" s="2689">
        <f t="shared" si="85"/>
        <v>0</v>
      </c>
      <c r="Z345" s="909"/>
    </row>
    <row r="346" spans="1:26">
      <c r="A346" s="31"/>
      <c r="B346" s="19"/>
      <c r="C346" s="12">
        <f t="shared" si="74"/>
        <v>1</v>
      </c>
      <c r="D346" s="578"/>
      <c r="E346" s="12">
        <f t="shared" si="75"/>
        <v>1</v>
      </c>
      <c r="F346" s="578"/>
      <c r="G346" s="12">
        <f t="shared" si="76"/>
        <v>1</v>
      </c>
      <c r="H346" s="578"/>
      <c r="I346" s="12">
        <f t="shared" si="77"/>
        <v>1</v>
      </c>
      <c r="J346" s="578"/>
      <c r="K346" s="12">
        <f t="shared" si="78"/>
        <v>1</v>
      </c>
      <c r="L346" s="578"/>
      <c r="M346" s="12">
        <f t="shared" si="79"/>
        <v>1</v>
      </c>
      <c r="N346" s="578"/>
      <c r="O346" s="12">
        <f t="shared" si="80"/>
        <v>1</v>
      </c>
      <c r="P346" s="578"/>
      <c r="Q346" s="12">
        <f t="shared" si="81"/>
        <v>1</v>
      </c>
      <c r="R346" s="12">
        <f t="shared" si="86"/>
        <v>0</v>
      </c>
      <c r="S346" s="246">
        <f t="shared" si="87"/>
        <v>0</v>
      </c>
      <c r="T346" s="821">
        <f t="shared" si="88"/>
        <v>0</v>
      </c>
      <c r="U346" s="2689">
        <f t="shared" si="82"/>
        <v>0</v>
      </c>
      <c r="V346" s="2689">
        <f t="shared" si="83"/>
        <v>0</v>
      </c>
      <c r="W346" s="909"/>
      <c r="X346" s="2689">
        <f t="shared" si="84"/>
        <v>0</v>
      </c>
      <c r="Y346" s="2689">
        <f t="shared" si="85"/>
        <v>0</v>
      </c>
      <c r="Z346" s="909"/>
    </row>
    <row r="347" spans="1:26">
      <c r="A347" s="31"/>
      <c r="B347" s="19"/>
      <c r="C347" s="12">
        <f t="shared" si="74"/>
        <v>1</v>
      </c>
      <c r="D347" s="578"/>
      <c r="E347" s="12">
        <f t="shared" si="75"/>
        <v>1</v>
      </c>
      <c r="F347" s="578"/>
      <c r="G347" s="12">
        <f t="shared" si="76"/>
        <v>1</v>
      </c>
      <c r="H347" s="578"/>
      <c r="I347" s="12">
        <f t="shared" si="77"/>
        <v>1</v>
      </c>
      <c r="J347" s="578"/>
      <c r="K347" s="12">
        <f t="shared" si="78"/>
        <v>1</v>
      </c>
      <c r="L347" s="578"/>
      <c r="M347" s="12">
        <f t="shared" si="79"/>
        <v>1</v>
      </c>
      <c r="N347" s="578"/>
      <c r="O347" s="12">
        <f t="shared" si="80"/>
        <v>1</v>
      </c>
      <c r="P347" s="578"/>
      <c r="Q347" s="12">
        <f t="shared" si="81"/>
        <v>1</v>
      </c>
      <c r="R347" s="12">
        <f t="shared" si="86"/>
        <v>0</v>
      </c>
      <c r="S347" s="246">
        <f t="shared" si="87"/>
        <v>0</v>
      </c>
      <c r="T347" s="821">
        <f t="shared" si="88"/>
        <v>0</v>
      </c>
      <c r="U347" s="2689">
        <f t="shared" si="82"/>
        <v>0</v>
      </c>
      <c r="V347" s="2689">
        <f t="shared" si="83"/>
        <v>0</v>
      </c>
      <c r="W347" s="909"/>
      <c r="X347" s="2689">
        <f t="shared" si="84"/>
        <v>0</v>
      </c>
      <c r="Y347" s="2689">
        <f t="shared" si="85"/>
        <v>0</v>
      </c>
      <c r="Z347" s="909"/>
    </row>
    <row r="348" spans="1:26">
      <c r="A348" s="31"/>
      <c r="B348" s="19"/>
      <c r="C348" s="12">
        <f t="shared" ref="C348:C411" si="89">IF(B348="",1,(LOOKUP(B348,$6:$6,$7:$7)-LOOKUP($B$27,$6:$6,$7:$7)+100)/100)</f>
        <v>1</v>
      </c>
      <c r="D348" s="578"/>
      <c r="E348" s="12">
        <f t="shared" ref="E348:E411" si="90">(SUMIF($8:$8,D348,$9:$9)-SUMIF($8:$8,$D$27,$9:$9)+100)/100</f>
        <v>1</v>
      </c>
      <c r="F348" s="578"/>
      <c r="G348" s="12">
        <f t="shared" ref="G348:G411" si="91">(SUMIF($10:$10,F348,$11:$11)-SUMIF($10:$10,$F$27,$11:$11)+100)/100</f>
        <v>1</v>
      </c>
      <c r="H348" s="578"/>
      <c r="I348" s="12">
        <f t="shared" ref="I348:I411" si="92">(SUMIF($12:$12,H348,$13:$13)-SUMIF($12:$12,$H$27,$13:$13)+100)/100</f>
        <v>1</v>
      </c>
      <c r="J348" s="578"/>
      <c r="K348" s="12">
        <f t="shared" ref="K348:K411" si="93">(SUMIF($14:$14,J348,$15:$15)-SUMIF($14:$14,$J$27,$15:$15)+100)/100</f>
        <v>1</v>
      </c>
      <c r="L348" s="578"/>
      <c r="M348" s="12">
        <f t="shared" ref="M348:M411" si="94">(SUMIF($16:$16,L348,$17:$17)-SUMIF($16:$16,$L$27,$17:$17)+100)/100</f>
        <v>1</v>
      </c>
      <c r="N348" s="578"/>
      <c r="O348" s="12">
        <f t="shared" ref="O348:O411" si="95">(SUMIF($18:$18,N348,$19:$19)-SUMIF($18:$18,$N$27,$19:$19)+100)/100</f>
        <v>1</v>
      </c>
      <c r="P348" s="578"/>
      <c r="Q348" s="12">
        <f t="shared" ref="Q348:Q411" si="96">(SUMIF($20:$20,P348,$21:$21)-SUMIF($20:$20,$P$27,$21:$21)+100)/100</f>
        <v>1</v>
      </c>
      <c r="R348" s="12">
        <f t="shared" si="86"/>
        <v>0</v>
      </c>
      <c r="S348" s="246">
        <f t="shared" si="87"/>
        <v>0</v>
      </c>
      <c r="T348" s="821">
        <f t="shared" si="88"/>
        <v>0</v>
      </c>
      <c r="U348" s="2689">
        <f t="shared" ref="U348:U411" si="97">ROUND(W348*B348,0)</f>
        <v>0</v>
      </c>
      <c r="V348" s="2689">
        <f t="shared" ref="V348:V411" si="98">ROUND(W348*B348/10000,0)</f>
        <v>0</v>
      </c>
      <c r="W348" s="909"/>
      <c r="X348" s="2689">
        <f t="shared" ref="X348:X411" si="99">ROUND(Z348*B348,0)</f>
        <v>0</v>
      </c>
      <c r="Y348" s="2689">
        <f t="shared" ref="Y348:Y411" si="100">ROUND(Z348*B348/10000,0)</f>
        <v>0</v>
      </c>
      <c r="Z348" s="909"/>
    </row>
    <row r="349" spans="1:26">
      <c r="A349" s="31"/>
      <c r="B349" s="19"/>
      <c r="C349" s="12">
        <f t="shared" si="89"/>
        <v>1</v>
      </c>
      <c r="D349" s="578"/>
      <c r="E349" s="12">
        <f t="shared" si="90"/>
        <v>1</v>
      </c>
      <c r="F349" s="578"/>
      <c r="G349" s="12">
        <f t="shared" si="91"/>
        <v>1</v>
      </c>
      <c r="H349" s="578"/>
      <c r="I349" s="12">
        <f t="shared" si="92"/>
        <v>1</v>
      </c>
      <c r="J349" s="578"/>
      <c r="K349" s="12">
        <f t="shared" si="93"/>
        <v>1</v>
      </c>
      <c r="L349" s="578"/>
      <c r="M349" s="12">
        <f t="shared" si="94"/>
        <v>1</v>
      </c>
      <c r="N349" s="578"/>
      <c r="O349" s="12">
        <f t="shared" si="95"/>
        <v>1</v>
      </c>
      <c r="P349" s="578"/>
      <c r="Q349" s="12">
        <f t="shared" si="96"/>
        <v>1</v>
      </c>
      <c r="R349" s="12">
        <f t="shared" ref="R349:R412" si="101">IF(B349="",0,ROUND($R$27*C349*E349*G349*I349*K349*M349*O349*Q349,0))</f>
        <v>0</v>
      </c>
      <c r="S349" s="246">
        <f t="shared" ref="S349:S412" si="102">ROUND(R349*B349,0)</f>
        <v>0</v>
      </c>
      <c r="T349" s="821">
        <f t="shared" ref="T349:T412" si="103">ROUND(R349*B349/10000,0)</f>
        <v>0</v>
      </c>
      <c r="U349" s="2689">
        <f t="shared" si="97"/>
        <v>0</v>
      </c>
      <c r="V349" s="2689">
        <f t="shared" si="98"/>
        <v>0</v>
      </c>
      <c r="W349" s="909"/>
      <c r="X349" s="2689">
        <f t="shared" si="99"/>
        <v>0</v>
      </c>
      <c r="Y349" s="2689">
        <f t="shared" si="100"/>
        <v>0</v>
      </c>
      <c r="Z349" s="909"/>
    </row>
    <row r="350" spans="1:26">
      <c r="A350" s="31"/>
      <c r="B350" s="19"/>
      <c r="C350" s="12">
        <f t="shared" si="89"/>
        <v>1</v>
      </c>
      <c r="D350" s="578"/>
      <c r="E350" s="12">
        <f t="shared" si="90"/>
        <v>1</v>
      </c>
      <c r="F350" s="578"/>
      <c r="G350" s="12">
        <f t="shared" si="91"/>
        <v>1</v>
      </c>
      <c r="H350" s="578"/>
      <c r="I350" s="12">
        <f t="shared" si="92"/>
        <v>1</v>
      </c>
      <c r="J350" s="578"/>
      <c r="K350" s="12">
        <f t="shared" si="93"/>
        <v>1</v>
      </c>
      <c r="L350" s="578"/>
      <c r="M350" s="12">
        <f t="shared" si="94"/>
        <v>1</v>
      </c>
      <c r="N350" s="578"/>
      <c r="O350" s="12">
        <f t="shared" si="95"/>
        <v>1</v>
      </c>
      <c r="P350" s="578"/>
      <c r="Q350" s="12">
        <f t="shared" si="96"/>
        <v>1</v>
      </c>
      <c r="R350" s="12">
        <f t="shared" si="101"/>
        <v>0</v>
      </c>
      <c r="S350" s="246">
        <f t="shared" si="102"/>
        <v>0</v>
      </c>
      <c r="T350" s="821">
        <f t="shared" si="103"/>
        <v>0</v>
      </c>
      <c r="U350" s="2689">
        <f t="shared" si="97"/>
        <v>0</v>
      </c>
      <c r="V350" s="2689">
        <f t="shared" si="98"/>
        <v>0</v>
      </c>
      <c r="W350" s="909"/>
      <c r="X350" s="2689">
        <f t="shared" si="99"/>
        <v>0</v>
      </c>
      <c r="Y350" s="2689">
        <f t="shared" si="100"/>
        <v>0</v>
      </c>
      <c r="Z350" s="909"/>
    </row>
    <row r="351" spans="1:26">
      <c r="A351" s="31"/>
      <c r="B351" s="19"/>
      <c r="C351" s="12">
        <f t="shared" si="89"/>
        <v>1</v>
      </c>
      <c r="D351" s="578"/>
      <c r="E351" s="12">
        <f t="shared" si="90"/>
        <v>1</v>
      </c>
      <c r="F351" s="578"/>
      <c r="G351" s="12">
        <f t="shared" si="91"/>
        <v>1</v>
      </c>
      <c r="H351" s="578"/>
      <c r="I351" s="12">
        <f t="shared" si="92"/>
        <v>1</v>
      </c>
      <c r="J351" s="578"/>
      <c r="K351" s="12">
        <f t="shared" si="93"/>
        <v>1</v>
      </c>
      <c r="L351" s="578"/>
      <c r="M351" s="12">
        <f t="shared" si="94"/>
        <v>1</v>
      </c>
      <c r="N351" s="578"/>
      <c r="O351" s="12">
        <f t="shared" si="95"/>
        <v>1</v>
      </c>
      <c r="P351" s="578"/>
      <c r="Q351" s="12">
        <f t="shared" si="96"/>
        <v>1</v>
      </c>
      <c r="R351" s="12">
        <f t="shared" si="101"/>
        <v>0</v>
      </c>
      <c r="S351" s="246">
        <f t="shared" si="102"/>
        <v>0</v>
      </c>
      <c r="T351" s="821">
        <f t="shared" si="103"/>
        <v>0</v>
      </c>
      <c r="U351" s="2689">
        <f t="shared" si="97"/>
        <v>0</v>
      </c>
      <c r="V351" s="2689">
        <f t="shared" si="98"/>
        <v>0</v>
      </c>
      <c r="W351" s="909"/>
      <c r="X351" s="2689">
        <f t="shared" si="99"/>
        <v>0</v>
      </c>
      <c r="Y351" s="2689">
        <f t="shared" si="100"/>
        <v>0</v>
      </c>
      <c r="Z351" s="909"/>
    </row>
    <row r="352" spans="1:26">
      <c r="A352" s="31"/>
      <c r="B352" s="19"/>
      <c r="C352" s="12">
        <f t="shared" si="89"/>
        <v>1</v>
      </c>
      <c r="D352" s="578"/>
      <c r="E352" s="12">
        <f t="shared" si="90"/>
        <v>1</v>
      </c>
      <c r="F352" s="578"/>
      <c r="G352" s="12">
        <f t="shared" si="91"/>
        <v>1</v>
      </c>
      <c r="H352" s="578"/>
      <c r="I352" s="12">
        <f t="shared" si="92"/>
        <v>1</v>
      </c>
      <c r="J352" s="578"/>
      <c r="K352" s="12">
        <f t="shared" si="93"/>
        <v>1</v>
      </c>
      <c r="L352" s="578"/>
      <c r="M352" s="12">
        <f t="shared" si="94"/>
        <v>1</v>
      </c>
      <c r="N352" s="578"/>
      <c r="O352" s="12">
        <f t="shared" si="95"/>
        <v>1</v>
      </c>
      <c r="P352" s="578"/>
      <c r="Q352" s="12">
        <f t="shared" si="96"/>
        <v>1</v>
      </c>
      <c r="R352" s="12">
        <f t="shared" si="101"/>
        <v>0</v>
      </c>
      <c r="S352" s="246">
        <f t="shared" si="102"/>
        <v>0</v>
      </c>
      <c r="T352" s="821">
        <f t="shared" si="103"/>
        <v>0</v>
      </c>
      <c r="U352" s="2689">
        <f t="shared" si="97"/>
        <v>0</v>
      </c>
      <c r="V352" s="2689">
        <f t="shared" si="98"/>
        <v>0</v>
      </c>
      <c r="W352" s="909"/>
      <c r="X352" s="2689">
        <f t="shared" si="99"/>
        <v>0</v>
      </c>
      <c r="Y352" s="2689">
        <f t="shared" si="100"/>
        <v>0</v>
      </c>
      <c r="Z352" s="909"/>
    </row>
    <row r="353" spans="1:26">
      <c r="A353" s="31"/>
      <c r="B353" s="19"/>
      <c r="C353" s="12">
        <f t="shared" si="89"/>
        <v>1</v>
      </c>
      <c r="D353" s="578"/>
      <c r="E353" s="12">
        <f t="shared" si="90"/>
        <v>1</v>
      </c>
      <c r="F353" s="578"/>
      <c r="G353" s="12">
        <f t="shared" si="91"/>
        <v>1</v>
      </c>
      <c r="H353" s="578"/>
      <c r="I353" s="12">
        <f t="shared" si="92"/>
        <v>1</v>
      </c>
      <c r="J353" s="578"/>
      <c r="K353" s="12">
        <f t="shared" si="93"/>
        <v>1</v>
      </c>
      <c r="L353" s="578"/>
      <c r="M353" s="12">
        <f t="shared" si="94"/>
        <v>1</v>
      </c>
      <c r="N353" s="578"/>
      <c r="O353" s="12">
        <f t="shared" si="95"/>
        <v>1</v>
      </c>
      <c r="P353" s="578"/>
      <c r="Q353" s="12">
        <f t="shared" si="96"/>
        <v>1</v>
      </c>
      <c r="R353" s="12">
        <f t="shared" si="101"/>
        <v>0</v>
      </c>
      <c r="S353" s="246">
        <f t="shared" si="102"/>
        <v>0</v>
      </c>
      <c r="T353" s="821">
        <f t="shared" si="103"/>
        <v>0</v>
      </c>
      <c r="U353" s="2689">
        <f t="shared" si="97"/>
        <v>0</v>
      </c>
      <c r="V353" s="2689">
        <f t="shared" si="98"/>
        <v>0</v>
      </c>
      <c r="W353" s="909"/>
      <c r="X353" s="2689">
        <f t="shared" si="99"/>
        <v>0</v>
      </c>
      <c r="Y353" s="2689">
        <f t="shared" si="100"/>
        <v>0</v>
      </c>
      <c r="Z353" s="909"/>
    </row>
    <row r="354" spans="1:26">
      <c r="A354" s="31"/>
      <c r="B354" s="19"/>
      <c r="C354" s="12">
        <f t="shared" si="89"/>
        <v>1</v>
      </c>
      <c r="D354" s="578"/>
      <c r="E354" s="12">
        <f t="shared" si="90"/>
        <v>1</v>
      </c>
      <c r="F354" s="578"/>
      <c r="G354" s="12">
        <f t="shared" si="91"/>
        <v>1</v>
      </c>
      <c r="H354" s="578"/>
      <c r="I354" s="12">
        <f t="shared" si="92"/>
        <v>1</v>
      </c>
      <c r="J354" s="578"/>
      <c r="K354" s="12">
        <f t="shared" si="93"/>
        <v>1</v>
      </c>
      <c r="L354" s="578"/>
      <c r="M354" s="12">
        <f t="shared" si="94"/>
        <v>1</v>
      </c>
      <c r="N354" s="578"/>
      <c r="O354" s="12">
        <f t="shared" si="95"/>
        <v>1</v>
      </c>
      <c r="P354" s="578"/>
      <c r="Q354" s="12">
        <f t="shared" si="96"/>
        <v>1</v>
      </c>
      <c r="R354" s="12">
        <f t="shared" si="101"/>
        <v>0</v>
      </c>
      <c r="S354" s="246">
        <f t="shared" si="102"/>
        <v>0</v>
      </c>
      <c r="T354" s="821">
        <f t="shared" si="103"/>
        <v>0</v>
      </c>
      <c r="U354" s="2689">
        <f t="shared" si="97"/>
        <v>0</v>
      </c>
      <c r="V354" s="2689">
        <f t="shared" si="98"/>
        <v>0</v>
      </c>
      <c r="W354" s="909"/>
      <c r="X354" s="2689">
        <f t="shared" si="99"/>
        <v>0</v>
      </c>
      <c r="Y354" s="2689">
        <f t="shared" si="100"/>
        <v>0</v>
      </c>
      <c r="Z354" s="909"/>
    </row>
    <row r="355" spans="1:26">
      <c r="A355" s="31"/>
      <c r="B355" s="19"/>
      <c r="C355" s="12">
        <f t="shared" si="89"/>
        <v>1</v>
      </c>
      <c r="D355" s="578"/>
      <c r="E355" s="12">
        <f t="shared" si="90"/>
        <v>1</v>
      </c>
      <c r="F355" s="578"/>
      <c r="G355" s="12">
        <f t="shared" si="91"/>
        <v>1</v>
      </c>
      <c r="H355" s="578"/>
      <c r="I355" s="12">
        <f t="shared" si="92"/>
        <v>1</v>
      </c>
      <c r="J355" s="578"/>
      <c r="K355" s="12">
        <f t="shared" si="93"/>
        <v>1</v>
      </c>
      <c r="L355" s="578"/>
      <c r="M355" s="12">
        <f t="shared" si="94"/>
        <v>1</v>
      </c>
      <c r="N355" s="578"/>
      <c r="O355" s="12">
        <f t="shared" si="95"/>
        <v>1</v>
      </c>
      <c r="P355" s="578"/>
      <c r="Q355" s="12">
        <f t="shared" si="96"/>
        <v>1</v>
      </c>
      <c r="R355" s="12">
        <f t="shared" si="101"/>
        <v>0</v>
      </c>
      <c r="S355" s="246">
        <f t="shared" si="102"/>
        <v>0</v>
      </c>
      <c r="T355" s="821">
        <f t="shared" si="103"/>
        <v>0</v>
      </c>
      <c r="U355" s="2689">
        <f t="shared" si="97"/>
        <v>0</v>
      </c>
      <c r="V355" s="2689">
        <f t="shared" si="98"/>
        <v>0</v>
      </c>
      <c r="W355" s="909"/>
      <c r="X355" s="2689">
        <f t="shared" si="99"/>
        <v>0</v>
      </c>
      <c r="Y355" s="2689">
        <f t="shared" si="100"/>
        <v>0</v>
      </c>
      <c r="Z355" s="909"/>
    </row>
    <row r="356" spans="1:26">
      <c r="A356" s="31"/>
      <c r="B356" s="19"/>
      <c r="C356" s="12">
        <f t="shared" si="89"/>
        <v>1</v>
      </c>
      <c r="D356" s="578"/>
      <c r="E356" s="12">
        <f t="shared" si="90"/>
        <v>1</v>
      </c>
      <c r="F356" s="578"/>
      <c r="G356" s="12">
        <f t="shared" si="91"/>
        <v>1</v>
      </c>
      <c r="H356" s="578"/>
      <c r="I356" s="12">
        <f t="shared" si="92"/>
        <v>1</v>
      </c>
      <c r="J356" s="578"/>
      <c r="K356" s="12">
        <f t="shared" si="93"/>
        <v>1</v>
      </c>
      <c r="L356" s="578"/>
      <c r="M356" s="12">
        <f t="shared" si="94"/>
        <v>1</v>
      </c>
      <c r="N356" s="578"/>
      <c r="O356" s="12">
        <f t="shared" si="95"/>
        <v>1</v>
      </c>
      <c r="P356" s="578"/>
      <c r="Q356" s="12">
        <f t="shared" si="96"/>
        <v>1</v>
      </c>
      <c r="R356" s="12">
        <f t="shared" si="101"/>
        <v>0</v>
      </c>
      <c r="S356" s="246">
        <f t="shared" si="102"/>
        <v>0</v>
      </c>
      <c r="T356" s="821">
        <f t="shared" si="103"/>
        <v>0</v>
      </c>
      <c r="U356" s="2689">
        <f t="shared" si="97"/>
        <v>0</v>
      </c>
      <c r="V356" s="2689">
        <f t="shared" si="98"/>
        <v>0</v>
      </c>
      <c r="W356" s="909"/>
      <c r="X356" s="2689">
        <f t="shared" si="99"/>
        <v>0</v>
      </c>
      <c r="Y356" s="2689">
        <f t="shared" si="100"/>
        <v>0</v>
      </c>
      <c r="Z356" s="909"/>
    </row>
    <row r="357" spans="1:26">
      <c r="A357" s="31"/>
      <c r="B357" s="19"/>
      <c r="C357" s="12">
        <f t="shared" si="89"/>
        <v>1</v>
      </c>
      <c r="D357" s="578"/>
      <c r="E357" s="12">
        <f t="shared" si="90"/>
        <v>1</v>
      </c>
      <c r="F357" s="578"/>
      <c r="G357" s="12">
        <f t="shared" si="91"/>
        <v>1</v>
      </c>
      <c r="H357" s="578"/>
      <c r="I357" s="12">
        <f t="shared" si="92"/>
        <v>1</v>
      </c>
      <c r="J357" s="578"/>
      <c r="K357" s="12">
        <f t="shared" si="93"/>
        <v>1</v>
      </c>
      <c r="L357" s="578"/>
      <c r="M357" s="12">
        <f t="shared" si="94"/>
        <v>1</v>
      </c>
      <c r="N357" s="578"/>
      <c r="O357" s="12">
        <f t="shared" si="95"/>
        <v>1</v>
      </c>
      <c r="P357" s="578"/>
      <c r="Q357" s="12">
        <f t="shared" si="96"/>
        <v>1</v>
      </c>
      <c r="R357" s="12">
        <f t="shared" si="101"/>
        <v>0</v>
      </c>
      <c r="S357" s="246">
        <f t="shared" si="102"/>
        <v>0</v>
      </c>
      <c r="T357" s="821">
        <f t="shared" si="103"/>
        <v>0</v>
      </c>
      <c r="U357" s="2689">
        <f t="shared" si="97"/>
        <v>0</v>
      </c>
      <c r="V357" s="2689">
        <f t="shared" si="98"/>
        <v>0</v>
      </c>
      <c r="W357" s="909"/>
      <c r="X357" s="2689">
        <f t="shared" si="99"/>
        <v>0</v>
      </c>
      <c r="Y357" s="2689">
        <f t="shared" si="100"/>
        <v>0</v>
      </c>
      <c r="Z357" s="909"/>
    </row>
    <row r="358" spans="1:26">
      <c r="A358" s="31"/>
      <c r="B358" s="19"/>
      <c r="C358" s="12">
        <f t="shared" si="89"/>
        <v>1</v>
      </c>
      <c r="D358" s="578"/>
      <c r="E358" s="12">
        <f t="shared" si="90"/>
        <v>1</v>
      </c>
      <c r="F358" s="578"/>
      <c r="G358" s="12">
        <f t="shared" si="91"/>
        <v>1</v>
      </c>
      <c r="H358" s="578"/>
      <c r="I358" s="12">
        <f t="shared" si="92"/>
        <v>1</v>
      </c>
      <c r="J358" s="578"/>
      <c r="K358" s="12">
        <f t="shared" si="93"/>
        <v>1</v>
      </c>
      <c r="L358" s="578"/>
      <c r="M358" s="12">
        <f t="shared" si="94"/>
        <v>1</v>
      </c>
      <c r="N358" s="578"/>
      <c r="O358" s="12">
        <f t="shared" si="95"/>
        <v>1</v>
      </c>
      <c r="P358" s="578"/>
      <c r="Q358" s="12">
        <f t="shared" si="96"/>
        <v>1</v>
      </c>
      <c r="R358" s="12">
        <f t="shared" si="101"/>
        <v>0</v>
      </c>
      <c r="S358" s="246">
        <f t="shared" si="102"/>
        <v>0</v>
      </c>
      <c r="T358" s="821">
        <f t="shared" si="103"/>
        <v>0</v>
      </c>
      <c r="U358" s="2689">
        <f t="shared" si="97"/>
        <v>0</v>
      </c>
      <c r="V358" s="2689">
        <f t="shared" si="98"/>
        <v>0</v>
      </c>
      <c r="W358" s="909"/>
      <c r="X358" s="2689">
        <f t="shared" si="99"/>
        <v>0</v>
      </c>
      <c r="Y358" s="2689">
        <f t="shared" si="100"/>
        <v>0</v>
      </c>
      <c r="Z358" s="909"/>
    </row>
    <row r="359" spans="1:26">
      <c r="A359" s="31"/>
      <c r="B359" s="19"/>
      <c r="C359" s="12">
        <f t="shared" si="89"/>
        <v>1</v>
      </c>
      <c r="D359" s="578"/>
      <c r="E359" s="12">
        <f t="shared" si="90"/>
        <v>1</v>
      </c>
      <c r="F359" s="578"/>
      <c r="G359" s="12">
        <f t="shared" si="91"/>
        <v>1</v>
      </c>
      <c r="H359" s="578"/>
      <c r="I359" s="12">
        <f t="shared" si="92"/>
        <v>1</v>
      </c>
      <c r="J359" s="578"/>
      <c r="K359" s="12">
        <f t="shared" si="93"/>
        <v>1</v>
      </c>
      <c r="L359" s="578"/>
      <c r="M359" s="12">
        <f t="shared" si="94"/>
        <v>1</v>
      </c>
      <c r="N359" s="578"/>
      <c r="O359" s="12">
        <f t="shared" si="95"/>
        <v>1</v>
      </c>
      <c r="P359" s="578"/>
      <c r="Q359" s="12">
        <f t="shared" si="96"/>
        <v>1</v>
      </c>
      <c r="R359" s="12">
        <f t="shared" si="101"/>
        <v>0</v>
      </c>
      <c r="S359" s="246">
        <f t="shared" si="102"/>
        <v>0</v>
      </c>
      <c r="T359" s="821">
        <f t="shared" si="103"/>
        <v>0</v>
      </c>
      <c r="U359" s="2689">
        <f t="shared" si="97"/>
        <v>0</v>
      </c>
      <c r="V359" s="2689">
        <f t="shared" si="98"/>
        <v>0</v>
      </c>
      <c r="W359" s="909"/>
      <c r="X359" s="2689">
        <f t="shared" si="99"/>
        <v>0</v>
      </c>
      <c r="Y359" s="2689">
        <f t="shared" si="100"/>
        <v>0</v>
      </c>
      <c r="Z359" s="909"/>
    </row>
    <row r="360" spans="1:26">
      <c r="A360" s="31"/>
      <c r="B360" s="19"/>
      <c r="C360" s="12">
        <f t="shared" si="89"/>
        <v>1</v>
      </c>
      <c r="D360" s="578"/>
      <c r="E360" s="12">
        <f t="shared" si="90"/>
        <v>1</v>
      </c>
      <c r="F360" s="578"/>
      <c r="G360" s="12">
        <f t="shared" si="91"/>
        <v>1</v>
      </c>
      <c r="H360" s="578"/>
      <c r="I360" s="12">
        <f t="shared" si="92"/>
        <v>1</v>
      </c>
      <c r="J360" s="578"/>
      <c r="K360" s="12">
        <f t="shared" si="93"/>
        <v>1</v>
      </c>
      <c r="L360" s="578"/>
      <c r="M360" s="12">
        <f t="shared" si="94"/>
        <v>1</v>
      </c>
      <c r="N360" s="578"/>
      <c r="O360" s="12">
        <f t="shared" si="95"/>
        <v>1</v>
      </c>
      <c r="P360" s="578"/>
      <c r="Q360" s="12">
        <f t="shared" si="96"/>
        <v>1</v>
      </c>
      <c r="R360" s="12">
        <f t="shared" si="101"/>
        <v>0</v>
      </c>
      <c r="S360" s="246">
        <f t="shared" si="102"/>
        <v>0</v>
      </c>
      <c r="T360" s="821">
        <f t="shared" si="103"/>
        <v>0</v>
      </c>
      <c r="U360" s="2689">
        <f t="shared" si="97"/>
        <v>0</v>
      </c>
      <c r="V360" s="2689">
        <f t="shared" si="98"/>
        <v>0</v>
      </c>
      <c r="W360" s="909"/>
      <c r="X360" s="2689">
        <f t="shared" si="99"/>
        <v>0</v>
      </c>
      <c r="Y360" s="2689">
        <f t="shared" si="100"/>
        <v>0</v>
      </c>
      <c r="Z360" s="909"/>
    </row>
    <row r="361" spans="1:26">
      <c r="A361" s="31"/>
      <c r="B361" s="19"/>
      <c r="C361" s="12">
        <f t="shared" si="89"/>
        <v>1</v>
      </c>
      <c r="D361" s="578"/>
      <c r="E361" s="12">
        <f t="shared" si="90"/>
        <v>1</v>
      </c>
      <c r="F361" s="578"/>
      <c r="G361" s="12">
        <f t="shared" si="91"/>
        <v>1</v>
      </c>
      <c r="H361" s="578"/>
      <c r="I361" s="12">
        <f t="shared" si="92"/>
        <v>1</v>
      </c>
      <c r="J361" s="578"/>
      <c r="K361" s="12">
        <f t="shared" si="93"/>
        <v>1</v>
      </c>
      <c r="L361" s="578"/>
      <c r="M361" s="12">
        <f t="shared" si="94"/>
        <v>1</v>
      </c>
      <c r="N361" s="578"/>
      <c r="O361" s="12">
        <f t="shared" si="95"/>
        <v>1</v>
      </c>
      <c r="P361" s="578"/>
      <c r="Q361" s="12">
        <f t="shared" si="96"/>
        <v>1</v>
      </c>
      <c r="R361" s="12">
        <f t="shared" si="101"/>
        <v>0</v>
      </c>
      <c r="S361" s="246">
        <f t="shared" si="102"/>
        <v>0</v>
      </c>
      <c r="T361" s="821">
        <f t="shared" si="103"/>
        <v>0</v>
      </c>
      <c r="U361" s="2689">
        <f t="shared" si="97"/>
        <v>0</v>
      </c>
      <c r="V361" s="2689">
        <f t="shared" si="98"/>
        <v>0</v>
      </c>
      <c r="W361" s="909"/>
      <c r="X361" s="2689">
        <f t="shared" si="99"/>
        <v>0</v>
      </c>
      <c r="Y361" s="2689">
        <f t="shared" si="100"/>
        <v>0</v>
      </c>
      <c r="Z361" s="909"/>
    </row>
    <row r="362" spans="1:26">
      <c r="A362" s="31"/>
      <c r="B362" s="19"/>
      <c r="C362" s="12">
        <f t="shared" si="89"/>
        <v>1</v>
      </c>
      <c r="D362" s="578"/>
      <c r="E362" s="12">
        <f t="shared" si="90"/>
        <v>1</v>
      </c>
      <c r="F362" s="578"/>
      <c r="G362" s="12">
        <f t="shared" si="91"/>
        <v>1</v>
      </c>
      <c r="H362" s="578"/>
      <c r="I362" s="12">
        <f t="shared" si="92"/>
        <v>1</v>
      </c>
      <c r="J362" s="578"/>
      <c r="K362" s="12">
        <f t="shared" si="93"/>
        <v>1</v>
      </c>
      <c r="L362" s="578"/>
      <c r="M362" s="12">
        <f t="shared" si="94"/>
        <v>1</v>
      </c>
      <c r="N362" s="578"/>
      <c r="O362" s="12">
        <f t="shared" si="95"/>
        <v>1</v>
      </c>
      <c r="P362" s="578"/>
      <c r="Q362" s="12">
        <f t="shared" si="96"/>
        <v>1</v>
      </c>
      <c r="R362" s="12">
        <f t="shared" si="101"/>
        <v>0</v>
      </c>
      <c r="S362" s="246">
        <f t="shared" si="102"/>
        <v>0</v>
      </c>
      <c r="T362" s="821">
        <f t="shared" si="103"/>
        <v>0</v>
      </c>
      <c r="U362" s="2689">
        <f t="shared" si="97"/>
        <v>0</v>
      </c>
      <c r="V362" s="2689">
        <f t="shared" si="98"/>
        <v>0</v>
      </c>
      <c r="W362" s="909"/>
      <c r="X362" s="2689">
        <f t="shared" si="99"/>
        <v>0</v>
      </c>
      <c r="Y362" s="2689">
        <f t="shared" si="100"/>
        <v>0</v>
      </c>
      <c r="Z362" s="909"/>
    </row>
    <row r="363" spans="1:26">
      <c r="A363" s="31"/>
      <c r="B363" s="19"/>
      <c r="C363" s="12">
        <f t="shared" si="89"/>
        <v>1</v>
      </c>
      <c r="D363" s="578"/>
      <c r="E363" s="12">
        <f t="shared" si="90"/>
        <v>1</v>
      </c>
      <c r="F363" s="578"/>
      <c r="G363" s="12">
        <f t="shared" si="91"/>
        <v>1</v>
      </c>
      <c r="H363" s="578"/>
      <c r="I363" s="12">
        <f t="shared" si="92"/>
        <v>1</v>
      </c>
      <c r="J363" s="578"/>
      <c r="K363" s="12">
        <f t="shared" si="93"/>
        <v>1</v>
      </c>
      <c r="L363" s="578"/>
      <c r="M363" s="12">
        <f t="shared" si="94"/>
        <v>1</v>
      </c>
      <c r="N363" s="578"/>
      <c r="O363" s="12">
        <f t="shared" si="95"/>
        <v>1</v>
      </c>
      <c r="P363" s="578"/>
      <c r="Q363" s="12">
        <f t="shared" si="96"/>
        <v>1</v>
      </c>
      <c r="R363" s="12">
        <f t="shared" si="101"/>
        <v>0</v>
      </c>
      <c r="S363" s="246">
        <f t="shared" si="102"/>
        <v>0</v>
      </c>
      <c r="T363" s="821">
        <f t="shared" si="103"/>
        <v>0</v>
      </c>
      <c r="U363" s="2689">
        <f t="shared" si="97"/>
        <v>0</v>
      </c>
      <c r="V363" s="2689">
        <f t="shared" si="98"/>
        <v>0</v>
      </c>
      <c r="W363" s="909"/>
      <c r="X363" s="2689">
        <f t="shared" si="99"/>
        <v>0</v>
      </c>
      <c r="Y363" s="2689">
        <f t="shared" si="100"/>
        <v>0</v>
      </c>
      <c r="Z363" s="909"/>
    </row>
    <row r="364" spans="1:26">
      <c r="A364" s="31"/>
      <c r="B364" s="19"/>
      <c r="C364" s="12">
        <f t="shared" si="89"/>
        <v>1</v>
      </c>
      <c r="D364" s="578"/>
      <c r="E364" s="12">
        <f t="shared" si="90"/>
        <v>1</v>
      </c>
      <c r="F364" s="578"/>
      <c r="G364" s="12">
        <f t="shared" si="91"/>
        <v>1</v>
      </c>
      <c r="H364" s="578"/>
      <c r="I364" s="12">
        <f t="shared" si="92"/>
        <v>1</v>
      </c>
      <c r="J364" s="578"/>
      <c r="K364" s="12">
        <f t="shared" si="93"/>
        <v>1</v>
      </c>
      <c r="L364" s="578"/>
      <c r="M364" s="12">
        <f t="shared" si="94"/>
        <v>1</v>
      </c>
      <c r="N364" s="578"/>
      <c r="O364" s="12">
        <f t="shared" si="95"/>
        <v>1</v>
      </c>
      <c r="P364" s="578"/>
      <c r="Q364" s="12">
        <f t="shared" si="96"/>
        <v>1</v>
      </c>
      <c r="R364" s="12">
        <f t="shared" si="101"/>
        <v>0</v>
      </c>
      <c r="S364" s="246">
        <f t="shared" si="102"/>
        <v>0</v>
      </c>
      <c r="T364" s="821">
        <f t="shared" si="103"/>
        <v>0</v>
      </c>
      <c r="U364" s="2689">
        <f t="shared" si="97"/>
        <v>0</v>
      </c>
      <c r="V364" s="2689">
        <f t="shared" si="98"/>
        <v>0</v>
      </c>
      <c r="W364" s="909"/>
      <c r="X364" s="2689">
        <f t="shared" si="99"/>
        <v>0</v>
      </c>
      <c r="Y364" s="2689">
        <f t="shared" si="100"/>
        <v>0</v>
      </c>
      <c r="Z364" s="909"/>
    </row>
    <row r="365" spans="1:26">
      <c r="A365" s="31"/>
      <c r="B365" s="19"/>
      <c r="C365" s="12">
        <f t="shared" si="89"/>
        <v>1</v>
      </c>
      <c r="D365" s="578"/>
      <c r="E365" s="12">
        <f t="shared" si="90"/>
        <v>1</v>
      </c>
      <c r="F365" s="578"/>
      <c r="G365" s="12">
        <f t="shared" si="91"/>
        <v>1</v>
      </c>
      <c r="H365" s="578"/>
      <c r="I365" s="12">
        <f t="shared" si="92"/>
        <v>1</v>
      </c>
      <c r="J365" s="578"/>
      <c r="K365" s="12">
        <f t="shared" si="93"/>
        <v>1</v>
      </c>
      <c r="L365" s="578"/>
      <c r="M365" s="12">
        <f t="shared" si="94"/>
        <v>1</v>
      </c>
      <c r="N365" s="578"/>
      <c r="O365" s="12">
        <f t="shared" si="95"/>
        <v>1</v>
      </c>
      <c r="P365" s="578"/>
      <c r="Q365" s="12">
        <f t="shared" si="96"/>
        <v>1</v>
      </c>
      <c r="R365" s="12">
        <f t="shared" si="101"/>
        <v>0</v>
      </c>
      <c r="S365" s="246">
        <f t="shared" si="102"/>
        <v>0</v>
      </c>
      <c r="T365" s="821">
        <f t="shared" si="103"/>
        <v>0</v>
      </c>
      <c r="U365" s="2689">
        <f t="shared" si="97"/>
        <v>0</v>
      </c>
      <c r="V365" s="2689">
        <f t="shared" si="98"/>
        <v>0</v>
      </c>
      <c r="W365" s="909"/>
      <c r="X365" s="2689">
        <f t="shared" si="99"/>
        <v>0</v>
      </c>
      <c r="Y365" s="2689">
        <f t="shared" si="100"/>
        <v>0</v>
      </c>
      <c r="Z365" s="909"/>
    </row>
    <row r="366" spans="1:26">
      <c r="A366" s="31"/>
      <c r="B366" s="19"/>
      <c r="C366" s="12">
        <f t="shared" si="89"/>
        <v>1</v>
      </c>
      <c r="D366" s="578"/>
      <c r="E366" s="12">
        <f t="shared" si="90"/>
        <v>1</v>
      </c>
      <c r="F366" s="578"/>
      <c r="G366" s="12">
        <f t="shared" si="91"/>
        <v>1</v>
      </c>
      <c r="H366" s="578"/>
      <c r="I366" s="12">
        <f t="shared" si="92"/>
        <v>1</v>
      </c>
      <c r="J366" s="578"/>
      <c r="K366" s="12">
        <f t="shared" si="93"/>
        <v>1</v>
      </c>
      <c r="L366" s="578"/>
      <c r="M366" s="12">
        <f t="shared" si="94"/>
        <v>1</v>
      </c>
      <c r="N366" s="578"/>
      <c r="O366" s="12">
        <f t="shared" si="95"/>
        <v>1</v>
      </c>
      <c r="P366" s="578"/>
      <c r="Q366" s="12">
        <f t="shared" si="96"/>
        <v>1</v>
      </c>
      <c r="R366" s="12">
        <f t="shared" si="101"/>
        <v>0</v>
      </c>
      <c r="S366" s="246">
        <f t="shared" si="102"/>
        <v>0</v>
      </c>
      <c r="T366" s="821">
        <f t="shared" si="103"/>
        <v>0</v>
      </c>
      <c r="U366" s="2689">
        <f t="shared" si="97"/>
        <v>0</v>
      </c>
      <c r="V366" s="2689">
        <f t="shared" si="98"/>
        <v>0</v>
      </c>
      <c r="W366" s="909"/>
      <c r="X366" s="2689">
        <f t="shared" si="99"/>
        <v>0</v>
      </c>
      <c r="Y366" s="2689">
        <f t="shared" si="100"/>
        <v>0</v>
      </c>
      <c r="Z366" s="909"/>
    </row>
    <row r="367" spans="1:26">
      <c r="A367" s="31"/>
      <c r="B367" s="19"/>
      <c r="C367" s="12">
        <f t="shared" si="89"/>
        <v>1</v>
      </c>
      <c r="D367" s="578"/>
      <c r="E367" s="12">
        <f t="shared" si="90"/>
        <v>1</v>
      </c>
      <c r="F367" s="578"/>
      <c r="G367" s="12">
        <f t="shared" si="91"/>
        <v>1</v>
      </c>
      <c r="H367" s="578"/>
      <c r="I367" s="12">
        <f t="shared" si="92"/>
        <v>1</v>
      </c>
      <c r="J367" s="578"/>
      <c r="K367" s="12">
        <f t="shared" si="93"/>
        <v>1</v>
      </c>
      <c r="L367" s="578"/>
      <c r="M367" s="12">
        <f t="shared" si="94"/>
        <v>1</v>
      </c>
      <c r="N367" s="578"/>
      <c r="O367" s="12">
        <f t="shared" si="95"/>
        <v>1</v>
      </c>
      <c r="P367" s="578"/>
      <c r="Q367" s="12">
        <f t="shared" si="96"/>
        <v>1</v>
      </c>
      <c r="R367" s="12">
        <f t="shared" si="101"/>
        <v>0</v>
      </c>
      <c r="S367" s="246">
        <f t="shared" si="102"/>
        <v>0</v>
      </c>
      <c r="T367" s="821">
        <f t="shared" si="103"/>
        <v>0</v>
      </c>
      <c r="U367" s="2689">
        <f t="shared" si="97"/>
        <v>0</v>
      </c>
      <c r="V367" s="2689">
        <f t="shared" si="98"/>
        <v>0</v>
      </c>
      <c r="W367" s="909"/>
      <c r="X367" s="2689">
        <f t="shared" si="99"/>
        <v>0</v>
      </c>
      <c r="Y367" s="2689">
        <f t="shared" si="100"/>
        <v>0</v>
      </c>
      <c r="Z367" s="909"/>
    </row>
    <row r="368" spans="1:26">
      <c r="A368" s="31"/>
      <c r="B368" s="19"/>
      <c r="C368" s="12">
        <f t="shared" si="89"/>
        <v>1</v>
      </c>
      <c r="D368" s="578"/>
      <c r="E368" s="12">
        <f t="shared" si="90"/>
        <v>1</v>
      </c>
      <c r="F368" s="578"/>
      <c r="G368" s="12">
        <f t="shared" si="91"/>
        <v>1</v>
      </c>
      <c r="H368" s="578"/>
      <c r="I368" s="12">
        <f t="shared" si="92"/>
        <v>1</v>
      </c>
      <c r="J368" s="578"/>
      <c r="K368" s="12">
        <f t="shared" si="93"/>
        <v>1</v>
      </c>
      <c r="L368" s="578"/>
      <c r="M368" s="12">
        <f t="shared" si="94"/>
        <v>1</v>
      </c>
      <c r="N368" s="578"/>
      <c r="O368" s="12">
        <f t="shared" si="95"/>
        <v>1</v>
      </c>
      <c r="P368" s="578"/>
      <c r="Q368" s="12">
        <f t="shared" si="96"/>
        <v>1</v>
      </c>
      <c r="R368" s="12">
        <f t="shared" si="101"/>
        <v>0</v>
      </c>
      <c r="S368" s="246">
        <f t="shared" si="102"/>
        <v>0</v>
      </c>
      <c r="T368" s="821">
        <f t="shared" si="103"/>
        <v>0</v>
      </c>
      <c r="U368" s="2689">
        <f t="shared" si="97"/>
        <v>0</v>
      </c>
      <c r="V368" s="2689">
        <f t="shared" si="98"/>
        <v>0</v>
      </c>
      <c r="W368" s="909"/>
      <c r="X368" s="2689">
        <f t="shared" si="99"/>
        <v>0</v>
      </c>
      <c r="Y368" s="2689">
        <f t="shared" si="100"/>
        <v>0</v>
      </c>
      <c r="Z368" s="909"/>
    </row>
    <row r="369" spans="1:26">
      <c r="A369" s="31"/>
      <c r="B369" s="19"/>
      <c r="C369" s="12">
        <f t="shared" si="89"/>
        <v>1</v>
      </c>
      <c r="D369" s="578"/>
      <c r="E369" s="12">
        <f t="shared" si="90"/>
        <v>1</v>
      </c>
      <c r="F369" s="578"/>
      <c r="G369" s="12">
        <f t="shared" si="91"/>
        <v>1</v>
      </c>
      <c r="H369" s="578"/>
      <c r="I369" s="12">
        <f t="shared" si="92"/>
        <v>1</v>
      </c>
      <c r="J369" s="578"/>
      <c r="K369" s="12">
        <f t="shared" si="93"/>
        <v>1</v>
      </c>
      <c r="L369" s="578"/>
      <c r="M369" s="12">
        <f t="shared" si="94"/>
        <v>1</v>
      </c>
      <c r="N369" s="578"/>
      <c r="O369" s="12">
        <f t="shared" si="95"/>
        <v>1</v>
      </c>
      <c r="P369" s="578"/>
      <c r="Q369" s="12">
        <f t="shared" si="96"/>
        <v>1</v>
      </c>
      <c r="R369" s="12">
        <f t="shared" si="101"/>
        <v>0</v>
      </c>
      <c r="S369" s="246">
        <f t="shared" si="102"/>
        <v>0</v>
      </c>
      <c r="T369" s="821">
        <f t="shared" si="103"/>
        <v>0</v>
      </c>
      <c r="U369" s="2689">
        <f t="shared" si="97"/>
        <v>0</v>
      </c>
      <c r="V369" s="2689">
        <f t="shared" si="98"/>
        <v>0</v>
      </c>
      <c r="W369" s="909"/>
      <c r="X369" s="2689">
        <f t="shared" si="99"/>
        <v>0</v>
      </c>
      <c r="Y369" s="2689">
        <f t="shared" si="100"/>
        <v>0</v>
      </c>
      <c r="Z369" s="909"/>
    </row>
    <row r="370" spans="1:26">
      <c r="A370" s="31"/>
      <c r="B370" s="19"/>
      <c r="C370" s="12">
        <f t="shared" si="89"/>
        <v>1</v>
      </c>
      <c r="D370" s="578"/>
      <c r="E370" s="12">
        <f t="shared" si="90"/>
        <v>1</v>
      </c>
      <c r="F370" s="578"/>
      <c r="G370" s="12">
        <f t="shared" si="91"/>
        <v>1</v>
      </c>
      <c r="H370" s="578"/>
      <c r="I370" s="12">
        <f t="shared" si="92"/>
        <v>1</v>
      </c>
      <c r="J370" s="578"/>
      <c r="K370" s="12">
        <f t="shared" si="93"/>
        <v>1</v>
      </c>
      <c r="L370" s="578"/>
      <c r="M370" s="12">
        <f t="shared" si="94"/>
        <v>1</v>
      </c>
      <c r="N370" s="578"/>
      <c r="O370" s="12">
        <f t="shared" si="95"/>
        <v>1</v>
      </c>
      <c r="P370" s="578"/>
      <c r="Q370" s="12">
        <f t="shared" si="96"/>
        <v>1</v>
      </c>
      <c r="R370" s="12">
        <f t="shared" si="101"/>
        <v>0</v>
      </c>
      <c r="S370" s="246">
        <f t="shared" si="102"/>
        <v>0</v>
      </c>
      <c r="T370" s="821">
        <f t="shared" si="103"/>
        <v>0</v>
      </c>
      <c r="U370" s="2689">
        <f t="shared" si="97"/>
        <v>0</v>
      </c>
      <c r="V370" s="2689">
        <f t="shared" si="98"/>
        <v>0</v>
      </c>
      <c r="W370" s="909"/>
      <c r="X370" s="2689">
        <f t="shared" si="99"/>
        <v>0</v>
      </c>
      <c r="Y370" s="2689">
        <f t="shared" si="100"/>
        <v>0</v>
      </c>
      <c r="Z370" s="909"/>
    </row>
    <row r="371" spans="1:26">
      <c r="A371" s="31"/>
      <c r="B371" s="19"/>
      <c r="C371" s="12">
        <f t="shared" si="89"/>
        <v>1</v>
      </c>
      <c r="D371" s="578"/>
      <c r="E371" s="12">
        <f t="shared" si="90"/>
        <v>1</v>
      </c>
      <c r="F371" s="578"/>
      <c r="G371" s="12">
        <f t="shared" si="91"/>
        <v>1</v>
      </c>
      <c r="H371" s="578"/>
      <c r="I371" s="12">
        <f t="shared" si="92"/>
        <v>1</v>
      </c>
      <c r="J371" s="578"/>
      <c r="K371" s="12">
        <f t="shared" si="93"/>
        <v>1</v>
      </c>
      <c r="L371" s="578"/>
      <c r="M371" s="12">
        <f t="shared" si="94"/>
        <v>1</v>
      </c>
      <c r="N371" s="578"/>
      <c r="O371" s="12">
        <f t="shared" si="95"/>
        <v>1</v>
      </c>
      <c r="P371" s="578"/>
      <c r="Q371" s="12">
        <f t="shared" si="96"/>
        <v>1</v>
      </c>
      <c r="R371" s="12">
        <f t="shared" si="101"/>
        <v>0</v>
      </c>
      <c r="S371" s="246">
        <f t="shared" si="102"/>
        <v>0</v>
      </c>
      <c r="T371" s="821">
        <f t="shared" si="103"/>
        <v>0</v>
      </c>
      <c r="U371" s="2689">
        <f t="shared" si="97"/>
        <v>0</v>
      </c>
      <c r="V371" s="2689">
        <f t="shared" si="98"/>
        <v>0</v>
      </c>
      <c r="W371" s="909"/>
      <c r="X371" s="2689">
        <f t="shared" si="99"/>
        <v>0</v>
      </c>
      <c r="Y371" s="2689">
        <f t="shared" si="100"/>
        <v>0</v>
      </c>
      <c r="Z371" s="909"/>
    </row>
    <row r="372" spans="1:26">
      <c r="A372" s="31"/>
      <c r="B372" s="19"/>
      <c r="C372" s="12">
        <f t="shared" si="89"/>
        <v>1</v>
      </c>
      <c r="D372" s="578"/>
      <c r="E372" s="12">
        <f t="shared" si="90"/>
        <v>1</v>
      </c>
      <c r="F372" s="578"/>
      <c r="G372" s="12">
        <f t="shared" si="91"/>
        <v>1</v>
      </c>
      <c r="H372" s="578"/>
      <c r="I372" s="12">
        <f t="shared" si="92"/>
        <v>1</v>
      </c>
      <c r="J372" s="578"/>
      <c r="K372" s="12">
        <f t="shared" si="93"/>
        <v>1</v>
      </c>
      <c r="L372" s="578"/>
      <c r="M372" s="12">
        <f t="shared" si="94"/>
        <v>1</v>
      </c>
      <c r="N372" s="578"/>
      <c r="O372" s="12">
        <f t="shared" si="95"/>
        <v>1</v>
      </c>
      <c r="P372" s="578"/>
      <c r="Q372" s="12">
        <f t="shared" si="96"/>
        <v>1</v>
      </c>
      <c r="R372" s="12">
        <f t="shared" si="101"/>
        <v>0</v>
      </c>
      <c r="S372" s="246">
        <f t="shared" si="102"/>
        <v>0</v>
      </c>
      <c r="T372" s="821">
        <f t="shared" si="103"/>
        <v>0</v>
      </c>
      <c r="U372" s="2689">
        <f t="shared" si="97"/>
        <v>0</v>
      </c>
      <c r="V372" s="2689">
        <f t="shared" si="98"/>
        <v>0</v>
      </c>
      <c r="W372" s="909"/>
      <c r="X372" s="2689">
        <f t="shared" si="99"/>
        <v>0</v>
      </c>
      <c r="Y372" s="2689">
        <f t="shared" si="100"/>
        <v>0</v>
      </c>
      <c r="Z372" s="909"/>
    </row>
    <row r="373" spans="1:26">
      <c r="A373" s="31"/>
      <c r="B373" s="19"/>
      <c r="C373" s="12">
        <f t="shared" si="89"/>
        <v>1</v>
      </c>
      <c r="D373" s="578"/>
      <c r="E373" s="12">
        <f t="shared" si="90"/>
        <v>1</v>
      </c>
      <c r="F373" s="578"/>
      <c r="G373" s="12">
        <f t="shared" si="91"/>
        <v>1</v>
      </c>
      <c r="H373" s="578"/>
      <c r="I373" s="12">
        <f t="shared" si="92"/>
        <v>1</v>
      </c>
      <c r="J373" s="578"/>
      <c r="K373" s="12">
        <f t="shared" si="93"/>
        <v>1</v>
      </c>
      <c r="L373" s="578"/>
      <c r="M373" s="12">
        <f t="shared" si="94"/>
        <v>1</v>
      </c>
      <c r="N373" s="578"/>
      <c r="O373" s="12">
        <f t="shared" si="95"/>
        <v>1</v>
      </c>
      <c r="P373" s="578"/>
      <c r="Q373" s="12">
        <f t="shared" si="96"/>
        <v>1</v>
      </c>
      <c r="R373" s="12">
        <f t="shared" si="101"/>
        <v>0</v>
      </c>
      <c r="S373" s="246">
        <f t="shared" si="102"/>
        <v>0</v>
      </c>
      <c r="T373" s="821">
        <f t="shared" si="103"/>
        <v>0</v>
      </c>
      <c r="U373" s="2689">
        <f t="shared" si="97"/>
        <v>0</v>
      </c>
      <c r="V373" s="2689">
        <f t="shared" si="98"/>
        <v>0</v>
      </c>
      <c r="W373" s="909"/>
      <c r="X373" s="2689">
        <f t="shared" si="99"/>
        <v>0</v>
      </c>
      <c r="Y373" s="2689">
        <f t="shared" si="100"/>
        <v>0</v>
      </c>
      <c r="Z373" s="909"/>
    </row>
    <row r="374" spans="1:26">
      <c r="A374" s="31"/>
      <c r="B374" s="19"/>
      <c r="C374" s="12">
        <f t="shared" si="89"/>
        <v>1</v>
      </c>
      <c r="D374" s="578"/>
      <c r="E374" s="12">
        <f t="shared" si="90"/>
        <v>1</v>
      </c>
      <c r="F374" s="578"/>
      <c r="G374" s="12">
        <f t="shared" si="91"/>
        <v>1</v>
      </c>
      <c r="H374" s="578"/>
      <c r="I374" s="12">
        <f t="shared" si="92"/>
        <v>1</v>
      </c>
      <c r="J374" s="578"/>
      <c r="K374" s="12">
        <f t="shared" si="93"/>
        <v>1</v>
      </c>
      <c r="L374" s="578"/>
      <c r="M374" s="12">
        <f t="shared" si="94"/>
        <v>1</v>
      </c>
      <c r="N374" s="578"/>
      <c r="O374" s="12">
        <f t="shared" si="95"/>
        <v>1</v>
      </c>
      <c r="P374" s="578"/>
      <c r="Q374" s="12">
        <f t="shared" si="96"/>
        <v>1</v>
      </c>
      <c r="R374" s="12">
        <f t="shared" si="101"/>
        <v>0</v>
      </c>
      <c r="S374" s="246">
        <f t="shared" si="102"/>
        <v>0</v>
      </c>
      <c r="T374" s="821">
        <f t="shared" si="103"/>
        <v>0</v>
      </c>
      <c r="U374" s="2689">
        <f t="shared" si="97"/>
        <v>0</v>
      </c>
      <c r="V374" s="2689">
        <f t="shared" si="98"/>
        <v>0</v>
      </c>
      <c r="W374" s="909"/>
      <c r="X374" s="2689">
        <f t="shared" si="99"/>
        <v>0</v>
      </c>
      <c r="Y374" s="2689">
        <f t="shared" si="100"/>
        <v>0</v>
      </c>
      <c r="Z374" s="909"/>
    </row>
    <row r="375" spans="1:26">
      <c r="A375" s="31"/>
      <c r="B375" s="19"/>
      <c r="C375" s="12">
        <f t="shared" si="89"/>
        <v>1</v>
      </c>
      <c r="D375" s="578"/>
      <c r="E375" s="12">
        <f t="shared" si="90"/>
        <v>1</v>
      </c>
      <c r="F375" s="578"/>
      <c r="G375" s="12">
        <f t="shared" si="91"/>
        <v>1</v>
      </c>
      <c r="H375" s="578"/>
      <c r="I375" s="12">
        <f t="shared" si="92"/>
        <v>1</v>
      </c>
      <c r="J375" s="578"/>
      <c r="K375" s="12">
        <f t="shared" si="93"/>
        <v>1</v>
      </c>
      <c r="L375" s="578"/>
      <c r="M375" s="12">
        <f t="shared" si="94"/>
        <v>1</v>
      </c>
      <c r="N375" s="578"/>
      <c r="O375" s="12">
        <f t="shared" si="95"/>
        <v>1</v>
      </c>
      <c r="P375" s="578"/>
      <c r="Q375" s="12">
        <f t="shared" si="96"/>
        <v>1</v>
      </c>
      <c r="R375" s="12">
        <f t="shared" si="101"/>
        <v>0</v>
      </c>
      <c r="S375" s="246">
        <f t="shared" si="102"/>
        <v>0</v>
      </c>
      <c r="T375" s="821">
        <f t="shared" si="103"/>
        <v>0</v>
      </c>
      <c r="U375" s="2689">
        <f t="shared" si="97"/>
        <v>0</v>
      </c>
      <c r="V375" s="2689">
        <f t="shared" si="98"/>
        <v>0</v>
      </c>
      <c r="W375" s="909"/>
      <c r="X375" s="2689">
        <f t="shared" si="99"/>
        <v>0</v>
      </c>
      <c r="Y375" s="2689">
        <f t="shared" si="100"/>
        <v>0</v>
      </c>
      <c r="Z375" s="909"/>
    </row>
    <row r="376" spans="1:26">
      <c r="A376" s="31"/>
      <c r="B376" s="19"/>
      <c r="C376" s="12">
        <f t="shared" si="89"/>
        <v>1</v>
      </c>
      <c r="D376" s="578"/>
      <c r="E376" s="12">
        <f t="shared" si="90"/>
        <v>1</v>
      </c>
      <c r="F376" s="578"/>
      <c r="G376" s="12">
        <f t="shared" si="91"/>
        <v>1</v>
      </c>
      <c r="H376" s="578"/>
      <c r="I376" s="12">
        <f t="shared" si="92"/>
        <v>1</v>
      </c>
      <c r="J376" s="578"/>
      <c r="K376" s="12">
        <f t="shared" si="93"/>
        <v>1</v>
      </c>
      <c r="L376" s="578"/>
      <c r="M376" s="12">
        <f t="shared" si="94"/>
        <v>1</v>
      </c>
      <c r="N376" s="578"/>
      <c r="O376" s="12">
        <f t="shared" si="95"/>
        <v>1</v>
      </c>
      <c r="P376" s="578"/>
      <c r="Q376" s="12">
        <f t="shared" si="96"/>
        <v>1</v>
      </c>
      <c r="R376" s="12">
        <f t="shared" si="101"/>
        <v>0</v>
      </c>
      <c r="S376" s="246">
        <f t="shared" si="102"/>
        <v>0</v>
      </c>
      <c r="T376" s="821">
        <f t="shared" si="103"/>
        <v>0</v>
      </c>
      <c r="U376" s="2689">
        <f t="shared" si="97"/>
        <v>0</v>
      </c>
      <c r="V376" s="2689">
        <f t="shared" si="98"/>
        <v>0</v>
      </c>
      <c r="W376" s="909"/>
      <c r="X376" s="2689">
        <f t="shared" si="99"/>
        <v>0</v>
      </c>
      <c r="Y376" s="2689">
        <f t="shared" si="100"/>
        <v>0</v>
      </c>
      <c r="Z376" s="909"/>
    </row>
    <row r="377" spans="1:26">
      <c r="A377" s="31"/>
      <c r="B377" s="19"/>
      <c r="C377" s="12">
        <f t="shared" si="89"/>
        <v>1</v>
      </c>
      <c r="D377" s="578"/>
      <c r="E377" s="12">
        <f t="shared" si="90"/>
        <v>1</v>
      </c>
      <c r="F377" s="578"/>
      <c r="G377" s="12">
        <f t="shared" si="91"/>
        <v>1</v>
      </c>
      <c r="H377" s="578"/>
      <c r="I377" s="12">
        <f t="shared" si="92"/>
        <v>1</v>
      </c>
      <c r="J377" s="578"/>
      <c r="K377" s="12">
        <f t="shared" si="93"/>
        <v>1</v>
      </c>
      <c r="L377" s="578"/>
      <c r="M377" s="12">
        <f t="shared" si="94"/>
        <v>1</v>
      </c>
      <c r="N377" s="578"/>
      <c r="O377" s="12">
        <f t="shared" si="95"/>
        <v>1</v>
      </c>
      <c r="P377" s="578"/>
      <c r="Q377" s="12">
        <f t="shared" si="96"/>
        <v>1</v>
      </c>
      <c r="R377" s="12">
        <f t="shared" si="101"/>
        <v>0</v>
      </c>
      <c r="S377" s="246">
        <f t="shared" si="102"/>
        <v>0</v>
      </c>
      <c r="T377" s="821">
        <f t="shared" si="103"/>
        <v>0</v>
      </c>
      <c r="U377" s="2689">
        <f t="shared" si="97"/>
        <v>0</v>
      </c>
      <c r="V377" s="2689">
        <f t="shared" si="98"/>
        <v>0</v>
      </c>
      <c r="W377" s="909"/>
      <c r="X377" s="2689">
        <f t="shared" si="99"/>
        <v>0</v>
      </c>
      <c r="Y377" s="2689">
        <f t="shared" si="100"/>
        <v>0</v>
      </c>
      <c r="Z377" s="909"/>
    </row>
    <row r="378" spans="1:26">
      <c r="A378" s="31"/>
      <c r="B378" s="19"/>
      <c r="C378" s="12">
        <f t="shared" si="89"/>
        <v>1</v>
      </c>
      <c r="D378" s="578"/>
      <c r="E378" s="12">
        <f t="shared" si="90"/>
        <v>1</v>
      </c>
      <c r="F378" s="578"/>
      <c r="G378" s="12">
        <f t="shared" si="91"/>
        <v>1</v>
      </c>
      <c r="H378" s="578"/>
      <c r="I378" s="12">
        <f t="shared" si="92"/>
        <v>1</v>
      </c>
      <c r="J378" s="578"/>
      <c r="K378" s="12">
        <f t="shared" si="93"/>
        <v>1</v>
      </c>
      <c r="L378" s="578"/>
      <c r="M378" s="12">
        <f t="shared" si="94"/>
        <v>1</v>
      </c>
      <c r="N378" s="578"/>
      <c r="O378" s="12">
        <f t="shared" si="95"/>
        <v>1</v>
      </c>
      <c r="P378" s="578"/>
      <c r="Q378" s="12">
        <f t="shared" si="96"/>
        <v>1</v>
      </c>
      <c r="R378" s="12">
        <f t="shared" si="101"/>
        <v>0</v>
      </c>
      <c r="S378" s="246">
        <f t="shared" si="102"/>
        <v>0</v>
      </c>
      <c r="T378" s="821">
        <f t="shared" si="103"/>
        <v>0</v>
      </c>
      <c r="U378" s="2689">
        <f t="shared" si="97"/>
        <v>0</v>
      </c>
      <c r="V378" s="2689">
        <f t="shared" si="98"/>
        <v>0</v>
      </c>
      <c r="W378" s="909"/>
      <c r="X378" s="2689">
        <f t="shared" si="99"/>
        <v>0</v>
      </c>
      <c r="Y378" s="2689">
        <f t="shared" si="100"/>
        <v>0</v>
      </c>
      <c r="Z378" s="909"/>
    </row>
    <row r="379" spans="1:26">
      <c r="A379" s="31"/>
      <c r="B379" s="19"/>
      <c r="C379" s="12">
        <f t="shared" si="89"/>
        <v>1</v>
      </c>
      <c r="D379" s="578"/>
      <c r="E379" s="12">
        <f t="shared" si="90"/>
        <v>1</v>
      </c>
      <c r="F379" s="578"/>
      <c r="G379" s="12">
        <f t="shared" si="91"/>
        <v>1</v>
      </c>
      <c r="H379" s="578"/>
      <c r="I379" s="12">
        <f t="shared" si="92"/>
        <v>1</v>
      </c>
      <c r="J379" s="578"/>
      <c r="K379" s="12">
        <f t="shared" si="93"/>
        <v>1</v>
      </c>
      <c r="L379" s="578"/>
      <c r="M379" s="12">
        <f t="shared" si="94"/>
        <v>1</v>
      </c>
      <c r="N379" s="578"/>
      <c r="O379" s="12">
        <f t="shared" si="95"/>
        <v>1</v>
      </c>
      <c r="P379" s="578"/>
      <c r="Q379" s="12">
        <f t="shared" si="96"/>
        <v>1</v>
      </c>
      <c r="R379" s="12">
        <f t="shared" si="101"/>
        <v>0</v>
      </c>
      <c r="S379" s="246">
        <f t="shared" si="102"/>
        <v>0</v>
      </c>
      <c r="T379" s="821">
        <f t="shared" si="103"/>
        <v>0</v>
      </c>
      <c r="U379" s="2689">
        <f t="shared" si="97"/>
        <v>0</v>
      </c>
      <c r="V379" s="2689">
        <f t="shared" si="98"/>
        <v>0</v>
      </c>
      <c r="W379" s="909"/>
      <c r="X379" s="2689">
        <f t="shared" si="99"/>
        <v>0</v>
      </c>
      <c r="Y379" s="2689">
        <f t="shared" si="100"/>
        <v>0</v>
      </c>
      <c r="Z379" s="909"/>
    </row>
    <row r="380" spans="1:26">
      <c r="A380" s="31"/>
      <c r="B380" s="19"/>
      <c r="C380" s="12">
        <f t="shared" si="89"/>
        <v>1</v>
      </c>
      <c r="D380" s="578"/>
      <c r="E380" s="12">
        <f t="shared" si="90"/>
        <v>1</v>
      </c>
      <c r="F380" s="578"/>
      <c r="G380" s="12">
        <f t="shared" si="91"/>
        <v>1</v>
      </c>
      <c r="H380" s="578"/>
      <c r="I380" s="12">
        <f t="shared" si="92"/>
        <v>1</v>
      </c>
      <c r="J380" s="578"/>
      <c r="K380" s="12">
        <f t="shared" si="93"/>
        <v>1</v>
      </c>
      <c r="L380" s="578"/>
      <c r="M380" s="12">
        <f t="shared" si="94"/>
        <v>1</v>
      </c>
      <c r="N380" s="578"/>
      <c r="O380" s="12">
        <f t="shared" si="95"/>
        <v>1</v>
      </c>
      <c r="P380" s="578"/>
      <c r="Q380" s="12">
        <f t="shared" si="96"/>
        <v>1</v>
      </c>
      <c r="R380" s="12">
        <f t="shared" si="101"/>
        <v>0</v>
      </c>
      <c r="S380" s="246">
        <f t="shared" si="102"/>
        <v>0</v>
      </c>
      <c r="T380" s="821">
        <f t="shared" si="103"/>
        <v>0</v>
      </c>
      <c r="U380" s="2689">
        <f t="shared" si="97"/>
        <v>0</v>
      </c>
      <c r="V380" s="2689">
        <f t="shared" si="98"/>
        <v>0</v>
      </c>
      <c r="W380" s="909"/>
      <c r="X380" s="2689">
        <f t="shared" si="99"/>
        <v>0</v>
      </c>
      <c r="Y380" s="2689">
        <f t="shared" si="100"/>
        <v>0</v>
      </c>
      <c r="Z380" s="909"/>
    </row>
    <row r="381" spans="1:26">
      <c r="A381" s="31"/>
      <c r="B381" s="19"/>
      <c r="C381" s="12">
        <f t="shared" si="89"/>
        <v>1</v>
      </c>
      <c r="D381" s="578"/>
      <c r="E381" s="12">
        <f t="shared" si="90"/>
        <v>1</v>
      </c>
      <c r="F381" s="578"/>
      <c r="G381" s="12">
        <f t="shared" si="91"/>
        <v>1</v>
      </c>
      <c r="H381" s="578"/>
      <c r="I381" s="12">
        <f t="shared" si="92"/>
        <v>1</v>
      </c>
      <c r="J381" s="578"/>
      <c r="K381" s="12">
        <f t="shared" si="93"/>
        <v>1</v>
      </c>
      <c r="L381" s="578"/>
      <c r="M381" s="12">
        <f t="shared" si="94"/>
        <v>1</v>
      </c>
      <c r="N381" s="578"/>
      <c r="O381" s="12">
        <f t="shared" si="95"/>
        <v>1</v>
      </c>
      <c r="P381" s="578"/>
      <c r="Q381" s="12">
        <f t="shared" si="96"/>
        <v>1</v>
      </c>
      <c r="R381" s="12">
        <f t="shared" si="101"/>
        <v>0</v>
      </c>
      <c r="S381" s="246">
        <f t="shared" si="102"/>
        <v>0</v>
      </c>
      <c r="T381" s="821">
        <f t="shared" si="103"/>
        <v>0</v>
      </c>
      <c r="U381" s="2689">
        <f t="shared" si="97"/>
        <v>0</v>
      </c>
      <c r="V381" s="2689">
        <f t="shared" si="98"/>
        <v>0</v>
      </c>
      <c r="W381" s="909"/>
      <c r="X381" s="2689">
        <f t="shared" si="99"/>
        <v>0</v>
      </c>
      <c r="Y381" s="2689">
        <f t="shared" si="100"/>
        <v>0</v>
      </c>
      <c r="Z381" s="909"/>
    </row>
    <row r="382" spans="1:26">
      <c r="A382" s="31"/>
      <c r="B382" s="19"/>
      <c r="C382" s="12">
        <f t="shared" si="89"/>
        <v>1</v>
      </c>
      <c r="D382" s="578"/>
      <c r="E382" s="12">
        <f t="shared" si="90"/>
        <v>1</v>
      </c>
      <c r="F382" s="578"/>
      <c r="G382" s="12">
        <f t="shared" si="91"/>
        <v>1</v>
      </c>
      <c r="H382" s="578"/>
      <c r="I382" s="12">
        <f t="shared" si="92"/>
        <v>1</v>
      </c>
      <c r="J382" s="578"/>
      <c r="K382" s="12">
        <f t="shared" si="93"/>
        <v>1</v>
      </c>
      <c r="L382" s="578"/>
      <c r="M382" s="12">
        <f t="shared" si="94"/>
        <v>1</v>
      </c>
      <c r="N382" s="578"/>
      <c r="O382" s="12">
        <f t="shared" si="95"/>
        <v>1</v>
      </c>
      <c r="P382" s="578"/>
      <c r="Q382" s="12">
        <f t="shared" si="96"/>
        <v>1</v>
      </c>
      <c r="R382" s="12">
        <f t="shared" si="101"/>
        <v>0</v>
      </c>
      <c r="S382" s="246">
        <f t="shared" si="102"/>
        <v>0</v>
      </c>
      <c r="T382" s="821">
        <f t="shared" si="103"/>
        <v>0</v>
      </c>
      <c r="U382" s="2689">
        <f t="shared" si="97"/>
        <v>0</v>
      </c>
      <c r="V382" s="2689">
        <f t="shared" si="98"/>
        <v>0</v>
      </c>
      <c r="W382" s="909"/>
      <c r="X382" s="2689">
        <f t="shared" si="99"/>
        <v>0</v>
      </c>
      <c r="Y382" s="2689">
        <f t="shared" si="100"/>
        <v>0</v>
      </c>
      <c r="Z382" s="909"/>
    </row>
    <row r="383" spans="1:26">
      <c r="A383" s="31"/>
      <c r="B383" s="19"/>
      <c r="C383" s="12">
        <f t="shared" si="89"/>
        <v>1</v>
      </c>
      <c r="D383" s="578"/>
      <c r="E383" s="12">
        <f t="shared" si="90"/>
        <v>1</v>
      </c>
      <c r="F383" s="578"/>
      <c r="G383" s="12">
        <f t="shared" si="91"/>
        <v>1</v>
      </c>
      <c r="H383" s="578"/>
      <c r="I383" s="12">
        <f t="shared" si="92"/>
        <v>1</v>
      </c>
      <c r="J383" s="578"/>
      <c r="K383" s="12">
        <f t="shared" si="93"/>
        <v>1</v>
      </c>
      <c r="L383" s="578"/>
      <c r="M383" s="12">
        <f t="shared" si="94"/>
        <v>1</v>
      </c>
      <c r="N383" s="578"/>
      <c r="O383" s="12">
        <f t="shared" si="95"/>
        <v>1</v>
      </c>
      <c r="P383" s="578"/>
      <c r="Q383" s="12">
        <f t="shared" si="96"/>
        <v>1</v>
      </c>
      <c r="R383" s="12">
        <f t="shared" si="101"/>
        <v>0</v>
      </c>
      <c r="S383" s="246">
        <f t="shared" si="102"/>
        <v>0</v>
      </c>
      <c r="T383" s="821">
        <f t="shared" si="103"/>
        <v>0</v>
      </c>
      <c r="U383" s="2689">
        <f t="shared" si="97"/>
        <v>0</v>
      </c>
      <c r="V383" s="2689">
        <f t="shared" si="98"/>
        <v>0</v>
      </c>
      <c r="W383" s="909"/>
      <c r="X383" s="2689">
        <f t="shared" si="99"/>
        <v>0</v>
      </c>
      <c r="Y383" s="2689">
        <f t="shared" si="100"/>
        <v>0</v>
      </c>
      <c r="Z383" s="909"/>
    </row>
    <row r="384" spans="1:26">
      <c r="A384" s="31"/>
      <c r="B384" s="19"/>
      <c r="C384" s="12">
        <f t="shared" si="89"/>
        <v>1</v>
      </c>
      <c r="D384" s="578"/>
      <c r="E384" s="12">
        <f t="shared" si="90"/>
        <v>1</v>
      </c>
      <c r="F384" s="578"/>
      <c r="G384" s="12">
        <f t="shared" si="91"/>
        <v>1</v>
      </c>
      <c r="H384" s="578"/>
      <c r="I384" s="12">
        <f t="shared" si="92"/>
        <v>1</v>
      </c>
      <c r="J384" s="578"/>
      <c r="K384" s="12">
        <f t="shared" si="93"/>
        <v>1</v>
      </c>
      <c r="L384" s="578"/>
      <c r="M384" s="12">
        <f t="shared" si="94"/>
        <v>1</v>
      </c>
      <c r="N384" s="578"/>
      <c r="O384" s="12">
        <f t="shared" si="95"/>
        <v>1</v>
      </c>
      <c r="P384" s="578"/>
      <c r="Q384" s="12">
        <f t="shared" si="96"/>
        <v>1</v>
      </c>
      <c r="R384" s="12">
        <f t="shared" si="101"/>
        <v>0</v>
      </c>
      <c r="S384" s="246">
        <f t="shared" si="102"/>
        <v>0</v>
      </c>
      <c r="T384" s="821">
        <f t="shared" si="103"/>
        <v>0</v>
      </c>
      <c r="U384" s="2689">
        <f t="shared" si="97"/>
        <v>0</v>
      </c>
      <c r="V384" s="2689">
        <f t="shared" si="98"/>
        <v>0</v>
      </c>
      <c r="W384" s="909"/>
      <c r="X384" s="2689">
        <f t="shared" si="99"/>
        <v>0</v>
      </c>
      <c r="Y384" s="2689">
        <f t="shared" si="100"/>
        <v>0</v>
      </c>
      <c r="Z384" s="909"/>
    </row>
    <row r="385" spans="1:26">
      <c r="A385" s="31"/>
      <c r="B385" s="19"/>
      <c r="C385" s="12">
        <f t="shared" si="89"/>
        <v>1</v>
      </c>
      <c r="D385" s="578"/>
      <c r="E385" s="12">
        <f t="shared" si="90"/>
        <v>1</v>
      </c>
      <c r="F385" s="578"/>
      <c r="G385" s="12">
        <f t="shared" si="91"/>
        <v>1</v>
      </c>
      <c r="H385" s="578"/>
      <c r="I385" s="12">
        <f t="shared" si="92"/>
        <v>1</v>
      </c>
      <c r="J385" s="578"/>
      <c r="K385" s="12">
        <f t="shared" si="93"/>
        <v>1</v>
      </c>
      <c r="L385" s="578"/>
      <c r="M385" s="12">
        <f t="shared" si="94"/>
        <v>1</v>
      </c>
      <c r="N385" s="578"/>
      <c r="O385" s="12">
        <f t="shared" si="95"/>
        <v>1</v>
      </c>
      <c r="P385" s="578"/>
      <c r="Q385" s="12">
        <f t="shared" si="96"/>
        <v>1</v>
      </c>
      <c r="R385" s="12">
        <f t="shared" si="101"/>
        <v>0</v>
      </c>
      <c r="S385" s="246">
        <f t="shared" si="102"/>
        <v>0</v>
      </c>
      <c r="T385" s="821">
        <f t="shared" si="103"/>
        <v>0</v>
      </c>
      <c r="U385" s="2689">
        <f t="shared" si="97"/>
        <v>0</v>
      </c>
      <c r="V385" s="2689">
        <f t="shared" si="98"/>
        <v>0</v>
      </c>
      <c r="W385" s="909"/>
      <c r="X385" s="2689">
        <f t="shared" si="99"/>
        <v>0</v>
      </c>
      <c r="Y385" s="2689">
        <f t="shared" si="100"/>
        <v>0</v>
      </c>
      <c r="Z385" s="909"/>
    </row>
    <row r="386" spans="1:26">
      <c r="A386" s="31"/>
      <c r="B386" s="19"/>
      <c r="C386" s="12">
        <f t="shared" si="89"/>
        <v>1</v>
      </c>
      <c r="D386" s="578"/>
      <c r="E386" s="12">
        <f t="shared" si="90"/>
        <v>1</v>
      </c>
      <c r="F386" s="578"/>
      <c r="G386" s="12">
        <f t="shared" si="91"/>
        <v>1</v>
      </c>
      <c r="H386" s="578"/>
      <c r="I386" s="12">
        <f t="shared" si="92"/>
        <v>1</v>
      </c>
      <c r="J386" s="578"/>
      <c r="K386" s="12">
        <f t="shared" si="93"/>
        <v>1</v>
      </c>
      <c r="L386" s="578"/>
      <c r="M386" s="12">
        <f t="shared" si="94"/>
        <v>1</v>
      </c>
      <c r="N386" s="578"/>
      <c r="O386" s="12">
        <f t="shared" si="95"/>
        <v>1</v>
      </c>
      <c r="P386" s="578"/>
      <c r="Q386" s="12">
        <f t="shared" si="96"/>
        <v>1</v>
      </c>
      <c r="R386" s="12">
        <f t="shared" si="101"/>
        <v>0</v>
      </c>
      <c r="S386" s="246">
        <f t="shared" si="102"/>
        <v>0</v>
      </c>
      <c r="T386" s="821">
        <f t="shared" si="103"/>
        <v>0</v>
      </c>
      <c r="U386" s="2689">
        <f t="shared" si="97"/>
        <v>0</v>
      </c>
      <c r="V386" s="2689">
        <f t="shared" si="98"/>
        <v>0</v>
      </c>
      <c r="W386" s="909"/>
      <c r="X386" s="2689">
        <f t="shared" si="99"/>
        <v>0</v>
      </c>
      <c r="Y386" s="2689">
        <f t="shared" si="100"/>
        <v>0</v>
      </c>
      <c r="Z386" s="909"/>
    </row>
    <row r="387" spans="1:26">
      <c r="A387" s="31"/>
      <c r="B387" s="19"/>
      <c r="C387" s="12">
        <f t="shared" si="89"/>
        <v>1</v>
      </c>
      <c r="D387" s="578"/>
      <c r="E387" s="12">
        <f t="shared" si="90"/>
        <v>1</v>
      </c>
      <c r="F387" s="578"/>
      <c r="G387" s="12">
        <f t="shared" si="91"/>
        <v>1</v>
      </c>
      <c r="H387" s="578"/>
      <c r="I387" s="12">
        <f t="shared" si="92"/>
        <v>1</v>
      </c>
      <c r="J387" s="578"/>
      <c r="K387" s="12">
        <f t="shared" si="93"/>
        <v>1</v>
      </c>
      <c r="L387" s="578"/>
      <c r="M387" s="12">
        <f t="shared" si="94"/>
        <v>1</v>
      </c>
      <c r="N387" s="578"/>
      <c r="O387" s="12">
        <f t="shared" si="95"/>
        <v>1</v>
      </c>
      <c r="P387" s="578"/>
      <c r="Q387" s="12">
        <f t="shared" si="96"/>
        <v>1</v>
      </c>
      <c r="R387" s="12">
        <f t="shared" si="101"/>
        <v>0</v>
      </c>
      <c r="S387" s="246">
        <f t="shared" si="102"/>
        <v>0</v>
      </c>
      <c r="T387" s="821">
        <f t="shared" si="103"/>
        <v>0</v>
      </c>
      <c r="U387" s="2689">
        <f t="shared" si="97"/>
        <v>0</v>
      </c>
      <c r="V387" s="2689">
        <f t="shared" si="98"/>
        <v>0</v>
      </c>
      <c r="W387" s="909"/>
      <c r="X387" s="2689">
        <f t="shared" si="99"/>
        <v>0</v>
      </c>
      <c r="Y387" s="2689">
        <f t="shared" si="100"/>
        <v>0</v>
      </c>
      <c r="Z387" s="909"/>
    </row>
    <row r="388" spans="1:26">
      <c r="A388" s="31"/>
      <c r="B388" s="19"/>
      <c r="C388" s="12">
        <f t="shared" si="89"/>
        <v>1</v>
      </c>
      <c r="D388" s="578"/>
      <c r="E388" s="12">
        <f t="shared" si="90"/>
        <v>1</v>
      </c>
      <c r="F388" s="578"/>
      <c r="G388" s="12">
        <f t="shared" si="91"/>
        <v>1</v>
      </c>
      <c r="H388" s="578"/>
      <c r="I388" s="12">
        <f t="shared" si="92"/>
        <v>1</v>
      </c>
      <c r="J388" s="578"/>
      <c r="K388" s="12">
        <f t="shared" si="93"/>
        <v>1</v>
      </c>
      <c r="L388" s="578"/>
      <c r="M388" s="12">
        <f t="shared" si="94"/>
        <v>1</v>
      </c>
      <c r="N388" s="578"/>
      <c r="O388" s="12">
        <f t="shared" si="95"/>
        <v>1</v>
      </c>
      <c r="P388" s="578"/>
      <c r="Q388" s="12">
        <f t="shared" si="96"/>
        <v>1</v>
      </c>
      <c r="R388" s="12">
        <f t="shared" si="101"/>
        <v>0</v>
      </c>
      <c r="S388" s="246">
        <f t="shared" si="102"/>
        <v>0</v>
      </c>
      <c r="T388" s="821">
        <f t="shared" si="103"/>
        <v>0</v>
      </c>
      <c r="U388" s="2689">
        <f t="shared" si="97"/>
        <v>0</v>
      </c>
      <c r="V388" s="2689">
        <f t="shared" si="98"/>
        <v>0</v>
      </c>
      <c r="W388" s="909"/>
      <c r="X388" s="2689">
        <f t="shared" si="99"/>
        <v>0</v>
      </c>
      <c r="Y388" s="2689">
        <f t="shared" si="100"/>
        <v>0</v>
      </c>
      <c r="Z388" s="909"/>
    </row>
    <row r="389" spans="1:26">
      <c r="A389" s="31"/>
      <c r="B389" s="19"/>
      <c r="C389" s="12">
        <f t="shared" si="89"/>
        <v>1</v>
      </c>
      <c r="D389" s="578"/>
      <c r="E389" s="12">
        <f t="shared" si="90"/>
        <v>1</v>
      </c>
      <c r="F389" s="578"/>
      <c r="G389" s="12">
        <f t="shared" si="91"/>
        <v>1</v>
      </c>
      <c r="H389" s="578"/>
      <c r="I389" s="12">
        <f t="shared" si="92"/>
        <v>1</v>
      </c>
      <c r="J389" s="578"/>
      <c r="K389" s="12">
        <f t="shared" si="93"/>
        <v>1</v>
      </c>
      <c r="L389" s="578"/>
      <c r="M389" s="12">
        <f t="shared" si="94"/>
        <v>1</v>
      </c>
      <c r="N389" s="578"/>
      <c r="O389" s="12">
        <f t="shared" si="95"/>
        <v>1</v>
      </c>
      <c r="P389" s="578"/>
      <c r="Q389" s="12">
        <f t="shared" si="96"/>
        <v>1</v>
      </c>
      <c r="R389" s="12">
        <f t="shared" si="101"/>
        <v>0</v>
      </c>
      <c r="S389" s="246">
        <f t="shared" si="102"/>
        <v>0</v>
      </c>
      <c r="T389" s="821">
        <f t="shared" si="103"/>
        <v>0</v>
      </c>
      <c r="U389" s="2689">
        <f t="shared" si="97"/>
        <v>0</v>
      </c>
      <c r="V389" s="2689">
        <f t="shared" si="98"/>
        <v>0</v>
      </c>
      <c r="W389" s="909"/>
      <c r="X389" s="2689">
        <f t="shared" si="99"/>
        <v>0</v>
      </c>
      <c r="Y389" s="2689">
        <f t="shared" si="100"/>
        <v>0</v>
      </c>
      <c r="Z389" s="909"/>
    </row>
    <row r="390" spans="1:26">
      <c r="A390" s="31"/>
      <c r="B390" s="19"/>
      <c r="C390" s="12">
        <f t="shared" si="89"/>
        <v>1</v>
      </c>
      <c r="D390" s="578"/>
      <c r="E390" s="12">
        <f t="shared" si="90"/>
        <v>1</v>
      </c>
      <c r="F390" s="578"/>
      <c r="G390" s="12">
        <f t="shared" si="91"/>
        <v>1</v>
      </c>
      <c r="H390" s="578"/>
      <c r="I390" s="12">
        <f t="shared" si="92"/>
        <v>1</v>
      </c>
      <c r="J390" s="578"/>
      <c r="K390" s="12">
        <f t="shared" si="93"/>
        <v>1</v>
      </c>
      <c r="L390" s="578"/>
      <c r="M390" s="12">
        <f t="shared" si="94"/>
        <v>1</v>
      </c>
      <c r="N390" s="578"/>
      <c r="O390" s="12">
        <f t="shared" si="95"/>
        <v>1</v>
      </c>
      <c r="P390" s="578"/>
      <c r="Q390" s="12">
        <f t="shared" si="96"/>
        <v>1</v>
      </c>
      <c r="R390" s="12">
        <f t="shared" si="101"/>
        <v>0</v>
      </c>
      <c r="S390" s="246">
        <f t="shared" si="102"/>
        <v>0</v>
      </c>
      <c r="T390" s="821">
        <f t="shared" si="103"/>
        <v>0</v>
      </c>
      <c r="U390" s="2689">
        <f t="shared" si="97"/>
        <v>0</v>
      </c>
      <c r="V390" s="2689">
        <f t="shared" si="98"/>
        <v>0</v>
      </c>
      <c r="W390" s="909"/>
      <c r="X390" s="2689">
        <f t="shared" si="99"/>
        <v>0</v>
      </c>
      <c r="Y390" s="2689">
        <f t="shared" si="100"/>
        <v>0</v>
      </c>
      <c r="Z390" s="909"/>
    </row>
    <row r="391" spans="1:26">
      <c r="A391" s="31"/>
      <c r="B391" s="19"/>
      <c r="C391" s="12">
        <f t="shared" si="89"/>
        <v>1</v>
      </c>
      <c r="D391" s="578"/>
      <c r="E391" s="12">
        <f t="shared" si="90"/>
        <v>1</v>
      </c>
      <c r="F391" s="578"/>
      <c r="G391" s="12">
        <f t="shared" si="91"/>
        <v>1</v>
      </c>
      <c r="H391" s="578"/>
      <c r="I391" s="12">
        <f t="shared" si="92"/>
        <v>1</v>
      </c>
      <c r="J391" s="578"/>
      <c r="K391" s="12">
        <f t="shared" si="93"/>
        <v>1</v>
      </c>
      <c r="L391" s="578"/>
      <c r="M391" s="12">
        <f t="shared" si="94"/>
        <v>1</v>
      </c>
      <c r="N391" s="578"/>
      <c r="O391" s="12">
        <f t="shared" si="95"/>
        <v>1</v>
      </c>
      <c r="P391" s="578"/>
      <c r="Q391" s="12">
        <f t="shared" si="96"/>
        <v>1</v>
      </c>
      <c r="R391" s="12">
        <f t="shared" si="101"/>
        <v>0</v>
      </c>
      <c r="S391" s="246">
        <f t="shared" si="102"/>
        <v>0</v>
      </c>
      <c r="T391" s="821">
        <f t="shared" si="103"/>
        <v>0</v>
      </c>
      <c r="U391" s="2689">
        <f t="shared" si="97"/>
        <v>0</v>
      </c>
      <c r="V391" s="2689">
        <f t="shared" si="98"/>
        <v>0</v>
      </c>
      <c r="W391" s="909"/>
      <c r="X391" s="2689">
        <f t="shared" si="99"/>
        <v>0</v>
      </c>
      <c r="Y391" s="2689">
        <f t="shared" si="100"/>
        <v>0</v>
      </c>
      <c r="Z391" s="909"/>
    </row>
    <row r="392" spans="1:26">
      <c r="A392" s="31"/>
      <c r="B392" s="19"/>
      <c r="C392" s="12">
        <f t="shared" si="89"/>
        <v>1</v>
      </c>
      <c r="D392" s="578"/>
      <c r="E392" s="12">
        <f t="shared" si="90"/>
        <v>1</v>
      </c>
      <c r="F392" s="578"/>
      <c r="G392" s="12">
        <f t="shared" si="91"/>
        <v>1</v>
      </c>
      <c r="H392" s="578"/>
      <c r="I392" s="12">
        <f t="shared" si="92"/>
        <v>1</v>
      </c>
      <c r="J392" s="578"/>
      <c r="K392" s="12">
        <f t="shared" si="93"/>
        <v>1</v>
      </c>
      <c r="L392" s="578"/>
      <c r="M392" s="12">
        <f t="shared" si="94"/>
        <v>1</v>
      </c>
      <c r="N392" s="578"/>
      <c r="O392" s="12">
        <f t="shared" si="95"/>
        <v>1</v>
      </c>
      <c r="P392" s="578"/>
      <c r="Q392" s="12">
        <f t="shared" si="96"/>
        <v>1</v>
      </c>
      <c r="R392" s="12">
        <f t="shared" si="101"/>
        <v>0</v>
      </c>
      <c r="S392" s="246">
        <f t="shared" si="102"/>
        <v>0</v>
      </c>
      <c r="T392" s="821">
        <f t="shared" si="103"/>
        <v>0</v>
      </c>
      <c r="U392" s="2689">
        <f t="shared" si="97"/>
        <v>0</v>
      </c>
      <c r="V392" s="2689">
        <f t="shared" si="98"/>
        <v>0</v>
      </c>
      <c r="W392" s="909"/>
      <c r="X392" s="2689">
        <f t="shared" si="99"/>
        <v>0</v>
      </c>
      <c r="Y392" s="2689">
        <f t="shared" si="100"/>
        <v>0</v>
      </c>
      <c r="Z392" s="909"/>
    </row>
    <row r="393" spans="1:26">
      <c r="A393" s="31"/>
      <c r="B393" s="19"/>
      <c r="C393" s="12">
        <f t="shared" si="89"/>
        <v>1</v>
      </c>
      <c r="D393" s="578"/>
      <c r="E393" s="12">
        <f t="shared" si="90"/>
        <v>1</v>
      </c>
      <c r="F393" s="578"/>
      <c r="G393" s="12">
        <f t="shared" si="91"/>
        <v>1</v>
      </c>
      <c r="H393" s="578"/>
      <c r="I393" s="12">
        <f t="shared" si="92"/>
        <v>1</v>
      </c>
      <c r="J393" s="578"/>
      <c r="K393" s="12">
        <f t="shared" si="93"/>
        <v>1</v>
      </c>
      <c r="L393" s="578"/>
      <c r="M393" s="12">
        <f t="shared" si="94"/>
        <v>1</v>
      </c>
      <c r="N393" s="578"/>
      <c r="O393" s="12">
        <f t="shared" si="95"/>
        <v>1</v>
      </c>
      <c r="P393" s="578"/>
      <c r="Q393" s="12">
        <f t="shared" si="96"/>
        <v>1</v>
      </c>
      <c r="R393" s="12">
        <f t="shared" si="101"/>
        <v>0</v>
      </c>
      <c r="S393" s="246">
        <f t="shared" si="102"/>
        <v>0</v>
      </c>
      <c r="T393" s="821">
        <f t="shared" si="103"/>
        <v>0</v>
      </c>
      <c r="U393" s="2689">
        <f t="shared" si="97"/>
        <v>0</v>
      </c>
      <c r="V393" s="2689">
        <f t="shared" si="98"/>
        <v>0</v>
      </c>
      <c r="W393" s="909"/>
      <c r="X393" s="2689">
        <f t="shared" si="99"/>
        <v>0</v>
      </c>
      <c r="Y393" s="2689">
        <f t="shared" si="100"/>
        <v>0</v>
      </c>
      <c r="Z393" s="909"/>
    </row>
    <row r="394" spans="1:26">
      <c r="A394" s="31"/>
      <c r="B394" s="19"/>
      <c r="C394" s="12">
        <f t="shared" si="89"/>
        <v>1</v>
      </c>
      <c r="D394" s="578"/>
      <c r="E394" s="12">
        <f t="shared" si="90"/>
        <v>1</v>
      </c>
      <c r="F394" s="578"/>
      <c r="G394" s="12">
        <f t="shared" si="91"/>
        <v>1</v>
      </c>
      <c r="H394" s="578"/>
      <c r="I394" s="12">
        <f t="shared" si="92"/>
        <v>1</v>
      </c>
      <c r="J394" s="578"/>
      <c r="K394" s="12">
        <f t="shared" si="93"/>
        <v>1</v>
      </c>
      <c r="L394" s="578"/>
      <c r="M394" s="12">
        <f t="shared" si="94"/>
        <v>1</v>
      </c>
      <c r="N394" s="578"/>
      <c r="O394" s="12">
        <f t="shared" si="95"/>
        <v>1</v>
      </c>
      <c r="P394" s="578"/>
      <c r="Q394" s="12">
        <f t="shared" si="96"/>
        <v>1</v>
      </c>
      <c r="R394" s="12">
        <f t="shared" si="101"/>
        <v>0</v>
      </c>
      <c r="S394" s="246">
        <f t="shared" si="102"/>
        <v>0</v>
      </c>
      <c r="T394" s="821">
        <f t="shared" si="103"/>
        <v>0</v>
      </c>
      <c r="U394" s="2689">
        <f t="shared" si="97"/>
        <v>0</v>
      </c>
      <c r="V394" s="2689">
        <f t="shared" si="98"/>
        <v>0</v>
      </c>
      <c r="W394" s="909"/>
      <c r="X394" s="2689">
        <f t="shared" si="99"/>
        <v>0</v>
      </c>
      <c r="Y394" s="2689">
        <f t="shared" si="100"/>
        <v>0</v>
      </c>
      <c r="Z394" s="909"/>
    </row>
    <row r="395" spans="1:26">
      <c r="A395" s="31"/>
      <c r="B395" s="19"/>
      <c r="C395" s="12">
        <f t="shared" si="89"/>
        <v>1</v>
      </c>
      <c r="D395" s="578"/>
      <c r="E395" s="12">
        <f t="shared" si="90"/>
        <v>1</v>
      </c>
      <c r="F395" s="578"/>
      <c r="G395" s="12">
        <f t="shared" si="91"/>
        <v>1</v>
      </c>
      <c r="H395" s="578"/>
      <c r="I395" s="12">
        <f t="shared" si="92"/>
        <v>1</v>
      </c>
      <c r="J395" s="578"/>
      <c r="K395" s="12">
        <f t="shared" si="93"/>
        <v>1</v>
      </c>
      <c r="L395" s="578"/>
      <c r="M395" s="12">
        <f t="shared" si="94"/>
        <v>1</v>
      </c>
      <c r="N395" s="578"/>
      <c r="O395" s="12">
        <f t="shared" si="95"/>
        <v>1</v>
      </c>
      <c r="P395" s="578"/>
      <c r="Q395" s="12">
        <f t="shared" si="96"/>
        <v>1</v>
      </c>
      <c r="R395" s="12">
        <f t="shared" si="101"/>
        <v>0</v>
      </c>
      <c r="S395" s="246">
        <f t="shared" si="102"/>
        <v>0</v>
      </c>
      <c r="T395" s="821">
        <f t="shared" si="103"/>
        <v>0</v>
      </c>
      <c r="U395" s="2689">
        <f t="shared" si="97"/>
        <v>0</v>
      </c>
      <c r="V395" s="2689">
        <f t="shared" si="98"/>
        <v>0</v>
      </c>
      <c r="W395" s="909"/>
      <c r="X395" s="2689">
        <f t="shared" si="99"/>
        <v>0</v>
      </c>
      <c r="Y395" s="2689">
        <f t="shared" si="100"/>
        <v>0</v>
      </c>
      <c r="Z395" s="909"/>
    </row>
    <row r="396" spans="1:26">
      <c r="A396" s="31"/>
      <c r="B396" s="19"/>
      <c r="C396" s="12">
        <f t="shared" si="89"/>
        <v>1</v>
      </c>
      <c r="D396" s="578"/>
      <c r="E396" s="12">
        <f t="shared" si="90"/>
        <v>1</v>
      </c>
      <c r="F396" s="578"/>
      <c r="G396" s="12">
        <f t="shared" si="91"/>
        <v>1</v>
      </c>
      <c r="H396" s="578"/>
      <c r="I396" s="12">
        <f t="shared" si="92"/>
        <v>1</v>
      </c>
      <c r="J396" s="578"/>
      <c r="K396" s="12">
        <f t="shared" si="93"/>
        <v>1</v>
      </c>
      <c r="L396" s="578"/>
      <c r="M396" s="12">
        <f t="shared" si="94"/>
        <v>1</v>
      </c>
      <c r="N396" s="578"/>
      <c r="O396" s="12">
        <f t="shared" si="95"/>
        <v>1</v>
      </c>
      <c r="P396" s="578"/>
      <c r="Q396" s="12">
        <f t="shared" si="96"/>
        <v>1</v>
      </c>
      <c r="R396" s="12">
        <f t="shared" si="101"/>
        <v>0</v>
      </c>
      <c r="S396" s="246">
        <f t="shared" si="102"/>
        <v>0</v>
      </c>
      <c r="T396" s="821">
        <f t="shared" si="103"/>
        <v>0</v>
      </c>
      <c r="U396" s="2689">
        <f t="shared" si="97"/>
        <v>0</v>
      </c>
      <c r="V396" s="2689">
        <f t="shared" si="98"/>
        <v>0</v>
      </c>
      <c r="W396" s="909"/>
      <c r="X396" s="2689">
        <f t="shared" si="99"/>
        <v>0</v>
      </c>
      <c r="Y396" s="2689">
        <f t="shared" si="100"/>
        <v>0</v>
      </c>
      <c r="Z396" s="909"/>
    </row>
    <row r="397" spans="1:26">
      <c r="A397" s="31"/>
      <c r="B397" s="19"/>
      <c r="C397" s="12">
        <f t="shared" si="89"/>
        <v>1</v>
      </c>
      <c r="D397" s="578"/>
      <c r="E397" s="12">
        <f t="shared" si="90"/>
        <v>1</v>
      </c>
      <c r="F397" s="578"/>
      <c r="G397" s="12">
        <f t="shared" si="91"/>
        <v>1</v>
      </c>
      <c r="H397" s="578"/>
      <c r="I397" s="12">
        <f t="shared" si="92"/>
        <v>1</v>
      </c>
      <c r="J397" s="578"/>
      <c r="K397" s="12">
        <f t="shared" si="93"/>
        <v>1</v>
      </c>
      <c r="L397" s="578"/>
      <c r="M397" s="12">
        <f t="shared" si="94"/>
        <v>1</v>
      </c>
      <c r="N397" s="578"/>
      <c r="O397" s="12">
        <f t="shared" si="95"/>
        <v>1</v>
      </c>
      <c r="P397" s="578"/>
      <c r="Q397" s="12">
        <f t="shared" si="96"/>
        <v>1</v>
      </c>
      <c r="R397" s="12">
        <f t="shared" si="101"/>
        <v>0</v>
      </c>
      <c r="S397" s="246">
        <f t="shared" si="102"/>
        <v>0</v>
      </c>
      <c r="T397" s="821">
        <f t="shared" si="103"/>
        <v>0</v>
      </c>
      <c r="U397" s="2689">
        <f t="shared" si="97"/>
        <v>0</v>
      </c>
      <c r="V397" s="2689">
        <f t="shared" si="98"/>
        <v>0</v>
      </c>
      <c r="W397" s="909"/>
      <c r="X397" s="2689">
        <f t="shared" si="99"/>
        <v>0</v>
      </c>
      <c r="Y397" s="2689">
        <f t="shared" si="100"/>
        <v>0</v>
      </c>
      <c r="Z397" s="909"/>
    </row>
    <row r="398" spans="1:26">
      <c r="A398" s="31"/>
      <c r="B398" s="19"/>
      <c r="C398" s="12">
        <f t="shared" si="89"/>
        <v>1</v>
      </c>
      <c r="D398" s="578"/>
      <c r="E398" s="12">
        <f t="shared" si="90"/>
        <v>1</v>
      </c>
      <c r="F398" s="578"/>
      <c r="G398" s="12">
        <f t="shared" si="91"/>
        <v>1</v>
      </c>
      <c r="H398" s="578"/>
      <c r="I398" s="12">
        <f t="shared" si="92"/>
        <v>1</v>
      </c>
      <c r="J398" s="578"/>
      <c r="K398" s="12">
        <f t="shared" si="93"/>
        <v>1</v>
      </c>
      <c r="L398" s="578"/>
      <c r="M398" s="12">
        <f t="shared" si="94"/>
        <v>1</v>
      </c>
      <c r="N398" s="578"/>
      <c r="O398" s="12">
        <f t="shared" si="95"/>
        <v>1</v>
      </c>
      <c r="P398" s="578"/>
      <c r="Q398" s="12">
        <f t="shared" si="96"/>
        <v>1</v>
      </c>
      <c r="R398" s="12">
        <f t="shared" si="101"/>
        <v>0</v>
      </c>
      <c r="S398" s="246">
        <f t="shared" si="102"/>
        <v>0</v>
      </c>
      <c r="T398" s="821">
        <f t="shared" si="103"/>
        <v>0</v>
      </c>
      <c r="U398" s="2689">
        <f t="shared" si="97"/>
        <v>0</v>
      </c>
      <c r="V398" s="2689">
        <f t="shared" si="98"/>
        <v>0</v>
      </c>
      <c r="W398" s="909"/>
      <c r="X398" s="2689">
        <f t="shared" si="99"/>
        <v>0</v>
      </c>
      <c r="Y398" s="2689">
        <f t="shared" si="100"/>
        <v>0</v>
      </c>
      <c r="Z398" s="909"/>
    </row>
    <row r="399" spans="1:26">
      <c r="A399" s="31"/>
      <c r="B399" s="19"/>
      <c r="C399" s="12">
        <f t="shared" si="89"/>
        <v>1</v>
      </c>
      <c r="D399" s="578"/>
      <c r="E399" s="12">
        <f t="shared" si="90"/>
        <v>1</v>
      </c>
      <c r="F399" s="578"/>
      <c r="G399" s="12">
        <f t="shared" si="91"/>
        <v>1</v>
      </c>
      <c r="H399" s="578"/>
      <c r="I399" s="12">
        <f t="shared" si="92"/>
        <v>1</v>
      </c>
      <c r="J399" s="578"/>
      <c r="K399" s="12">
        <f t="shared" si="93"/>
        <v>1</v>
      </c>
      <c r="L399" s="578"/>
      <c r="M399" s="12">
        <f t="shared" si="94"/>
        <v>1</v>
      </c>
      <c r="N399" s="578"/>
      <c r="O399" s="12">
        <f t="shared" si="95"/>
        <v>1</v>
      </c>
      <c r="P399" s="578"/>
      <c r="Q399" s="12">
        <f t="shared" si="96"/>
        <v>1</v>
      </c>
      <c r="R399" s="12">
        <f t="shared" si="101"/>
        <v>0</v>
      </c>
      <c r="S399" s="246">
        <f t="shared" si="102"/>
        <v>0</v>
      </c>
      <c r="T399" s="821">
        <f t="shared" si="103"/>
        <v>0</v>
      </c>
      <c r="U399" s="2689">
        <f t="shared" si="97"/>
        <v>0</v>
      </c>
      <c r="V399" s="2689">
        <f t="shared" si="98"/>
        <v>0</v>
      </c>
      <c r="W399" s="909"/>
      <c r="X399" s="2689">
        <f t="shared" si="99"/>
        <v>0</v>
      </c>
      <c r="Y399" s="2689">
        <f t="shared" si="100"/>
        <v>0</v>
      </c>
      <c r="Z399" s="909"/>
    </row>
    <row r="400" spans="1:26">
      <c r="A400" s="31"/>
      <c r="B400" s="19"/>
      <c r="C400" s="12">
        <f t="shared" si="89"/>
        <v>1</v>
      </c>
      <c r="D400" s="578"/>
      <c r="E400" s="12">
        <f t="shared" si="90"/>
        <v>1</v>
      </c>
      <c r="F400" s="578"/>
      <c r="G400" s="12">
        <f t="shared" si="91"/>
        <v>1</v>
      </c>
      <c r="H400" s="578"/>
      <c r="I400" s="12">
        <f t="shared" si="92"/>
        <v>1</v>
      </c>
      <c r="J400" s="578"/>
      <c r="K400" s="12">
        <f t="shared" si="93"/>
        <v>1</v>
      </c>
      <c r="L400" s="578"/>
      <c r="M400" s="12">
        <f t="shared" si="94"/>
        <v>1</v>
      </c>
      <c r="N400" s="578"/>
      <c r="O400" s="12">
        <f t="shared" si="95"/>
        <v>1</v>
      </c>
      <c r="P400" s="578"/>
      <c r="Q400" s="12">
        <f t="shared" si="96"/>
        <v>1</v>
      </c>
      <c r="R400" s="12">
        <f t="shared" si="101"/>
        <v>0</v>
      </c>
      <c r="S400" s="246">
        <f t="shared" si="102"/>
        <v>0</v>
      </c>
      <c r="T400" s="821">
        <f t="shared" si="103"/>
        <v>0</v>
      </c>
      <c r="U400" s="2689">
        <f t="shared" si="97"/>
        <v>0</v>
      </c>
      <c r="V400" s="2689">
        <f t="shared" si="98"/>
        <v>0</v>
      </c>
      <c r="W400" s="909"/>
      <c r="X400" s="2689">
        <f t="shared" si="99"/>
        <v>0</v>
      </c>
      <c r="Y400" s="2689">
        <f t="shared" si="100"/>
        <v>0</v>
      </c>
      <c r="Z400" s="909"/>
    </row>
    <row r="401" spans="1:26">
      <c r="A401" s="31"/>
      <c r="B401" s="19"/>
      <c r="C401" s="12">
        <f t="shared" si="89"/>
        <v>1</v>
      </c>
      <c r="D401" s="578"/>
      <c r="E401" s="12">
        <f t="shared" si="90"/>
        <v>1</v>
      </c>
      <c r="F401" s="578"/>
      <c r="G401" s="12">
        <f t="shared" si="91"/>
        <v>1</v>
      </c>
      <c r="H401" s="578"/>
      <c r="I401" s="12">
        <f t="shared" si="92"/>
        <v>1</v>
      </c>
      <c r="J401" s="578"/>
      <c r="K401" s="12">
        <f t="shared" si="93"/>
        <v>1</v>
      </c>
      <c r="L401" s="578"/>
      <c r="M401" s="12">
        <f t="shared" si="94"/>
        <v>1</v>
      </c>
      <c r="N401" s="578"/>
      <c r="O401" s="12">
        <f t="shared" si="95"/>
        <v>1</v>
      </c>
      <c r="P401" s="578"/>
      <c r="Q401" s="12">
        <f t="shared" si="96"/>
        <v>1</v>
      </c>
      <c r="R401" s="12">
        <f t="shared" si="101"/>
        <v>0</v>
      </c>
      <c r="S401" s="246">
        <f t="shared" si="102"/>
        <v>0</v>
      </c>
      <c r="T401" s="821">
        <f t="shared" si="103"/>
        <v>0</v>
      </c>
      <c r="U401" s="2689">
        <f t="shared" si="97"/>
        <v>0</v>
      </c>
      <c r="V401" s="2689">
        <f t="shared" si="98"/>
        <v>0</v>
      </c>
      <c r="W401" s="909"/>
      <c r="X401" s="2689">
        <f t="shared" si="99"/>
        <v>0</v>
      </c>
      <c r="Y401" s="2689">
        <f t="shared" si="100"/>
        <v>0</v>
      </c>
      <c r="Z401" s="909"/>
    </row>
    <row r="402" spans="1:26">
      <c r="A402" s="31"/>
      <c r="B402" s="19"/>
      <c r="C402" s="12">
        <f t="shared" si="89"/>
        <v>1</v>
      </c>
      <c r="D402" s="578"/>
      <c r="E402" s="12">
        <f t="shared" si="90"/>
        <v>1</v>
      </c>
      <c r="F402" s="578"/>
      <c r="G402" s="12">
        <f t="shared" si="91"/>
        <v>1</v>
      </c>
      <c r="H402" s="578"/>
      <c r="I402" s="12">
        <f t="shared" si="92"/>
        <v>1</v>
      </c>
      <c r="J402" s="578"/>
      <c r="K402" s="12">
        <f t="shared" si="93"/>
        <v>1</v>
      </c>
      <c r="L402" s="578"/>
      <c r="M402" s="12">
        <f t="shared" si="94"/>
        <v>1</v>
      </c>
      <c r="N402" s="578"/>
      <c r="O402" s="12">
        <f t="shared" si="95"/>
        <v>1</v>
      </c>
      <c r="P402" s="578"/>
      <c r="Q402" s="12">
        <f t="shared" si="96"/>
        <v>1</v>
      </c>
      <c r="R402" s="12">
        <f t="shared" si="101"/>
        <v>0</v>
      </c>
      <c r="S402" s="246">
        <f t="shared" si="102"/>
        <v>0</v>
      </c>
      <c r="T402" s="821">
        <f t="shared" si="103"/>
        <v>0</v>
      </c>
      <c r="U402" s="2689">
        <f t="shared" si="97"/>
        <v>0</v>
      </c>
      <c r="V402" s="2689">
        <f t="shared" si="98"/>
        <v>0</v>
      </c>
      <c r="W402" s="909"/>
      <c r="X402" s="2689">
        <f t="shared" si="99"/>
        <v>0</v>
      </c>
      <c r="Y402" s="2689">
        <f t="shared" si="100"/>
        <v>0</v>
      </c>
      <c r="Z402" s="909"/>
    </row>
    <row r="403" spans="1:26">
      <c r="A403" s="31"/>
      <c r="B403" s="19"/>
      <c r="C403" s="12">
        <f t="shared" si="89"/>
        <v>1</v>
      </c>
      <c r="D403" s="578"/>
      <c r="E403" s="12">
        <f t="shared" si="90"/>
        <v>1</v>
      </c>
      <c r="F403" s="578"/>
      <c r="G403" s="12">
        <f t="shared" si="91"/>
        <v>1</v>
      </c>
      <c r="H403" s="578"/>
      <c r="I403" s="12">
        <f t="shared" si="92"/>
        <v>1</v>
      </c>
      <c r="J403" s="578"/>
      <c r="K403" s="12">
        <f t="shared" si="93"/>
        <v>1</v>
      </c>
      <c r="L403" s="578"/>
      <c r="M403" s="12">
        <f t="shared" si="94"/>
        <v>1</v>
      </c>
      <c r="N403" s="578"/>
      <c r="O403" s="12">
        <f t="shared" si="95"/>
        <v>1</v>
      </c>
      <c r="P403" s="578"/>
      <c r="Q403" s="12">
        <f t="shared" si="96"/>
        <v>1</v>
      </c>
      <c r="R403" s="12">
        <f t="shared" si="101"/>
        <v>0</v>
      </c>
      <c r="S403" s="246">
        <f t="shared" si="102"/>
        <v>0</v>
      </c>
      <c r="T403" s="821">
        <f t="shared" si="103"/>
        <v>0</v>
      </c>
      <c r="U403" s="2689">
        <f t="shared" si="97"/>
        <v>0</v>
      </c>
      <c r="V403" s="2689">
        <f t="shared" si="98"/>
        <v>0</v>
      </c>
      <c r="W403" s="909"/>
      <c r="X403" s="2689">
        <f t="shared" si="99"/>
        <v>0</v>
      </c>
      <c r="Y403" s="2689">
        <f t="shared" si="100"/>
        <v>0</v>
      </c>
      <c r="Z403" s="909"/>
    </row>
    <row r="404" spans="1:26">
      <c r="A404" s="31"/>
      <c r="B404" s="19"/>
      <c r="C404" s="12">
        <f t="shared" si="89"/>
        <v>1</v>
      </c>
      <c r="D404" s="578"/>
      <c r="E404" s="12">
        <f t="shared" si="90"/>
        <v>1</v>
      </c>
      <c r="F404" s="578"/>
      <c r="G404" s="12">
        <f t="shared" si="91"/>
        <v>1</v>
      </c>
      <c r="H404" s="578"/>
      <c r="I404" s="12">
        <f t="shared" si="92"/>
        <v>1</v>
      </c>
      <c r="J404" s="578"/>
      <c r="K404" s="12">
        <f t="shared" si="93"/>
        <v>1</v>
      </c>
      <c r="L404" s="578"/>
      <c r="M404" s="12">
        <f t="shared" si="94"/>
        <v>1</v>
      </c>
      <c r="N404" s="578"/>
      <c r="O404" s="12">
        <f t="shared" si="95"/>
        <v>1</v>
      </c>
      <c r="P404" s="578"/>
      <c r="Q404" s="12">
        <f t="shared" si="96"/>
        <v>1</v>
      </c>
      <c r="R404" s="12">
        <f t="shared" si="101"/>
        <v>0</v>
      </c>
      <c r="S404" s="246">
        <f t="shared" si="102"/>
        <v>0</v>
      </c>
      <c r="T404" s="821">
        <f t="shared" si="103"/>
        <v>0</v>
      </c>
      <c r="U404" s="2689">
        <f t="shared" si="97"/>
        <v>0</v>
      </c>
      <c r="V404" s="2689">
        <f t="shared" si="98"/>
        <v>0</v>
      </c>
      <c r="W404" s="909"/>
      <c r="X404" s="2689">
        <f t="shared" si="99"/>
        <v>0</v>
      </c>
      <c r="Y404" s="2689">
        <f t="shared" si="100"/>
        <v>0</v>
      </c>
      <c r="Z404" s="909"/>
    </row>
    <row r="405" spans="1:26">
      <c r="A405" s="31"/>
      <c r="B405" s="19"/>
      <c r="C405" s="12">
        <f t="shared" si="89"/>
        <v>1</v>
      </c>
      <c r="D405" s="578"/>
      <c r="E405" s="12">
        <f t="shared" si="90"/>
        <v>1</v>
      </c>
      <c r="F405" s="578"/>
      <c r="G405" s="12">
        <f t="shared" si="91"/>
        <v>1</v>
      </c>
      <c r="H405" s="578"/>
      <c r="I405" s="12">
        <f t="shared" si="92"/>
        <v>1</v>
      </c>
      <c r="J405" s="578"/>
      <c r="K405" s="12">
        <f t="shared" si="93"/>
        <v>1</v>
      </c>
      <c r="L405" s="578"/>
      <c r="M405" s="12">
        <f t="shared" si="94"/>
        <v>1</v>
      </c>
      <c r="N405" s="578"/>
      <c r="O405" s="12">
        <f t="shared" si="95"/>
        <v>1</v>
      </c>
      <c r="P405" s="578"/>
      <c r="Q405" s="12">
        <f t="shared" si="96"/>
        <v>1</v>
      </c>
      <c r="R405" s="12">
        <f t="shared" si="101"/>
        <v>0</v>
      </c>
      <c r="S405" s="246">
        <f t="shared" si="102"/>
        <v>0</v>
      </c>
      <c r="T405" s="821">
        <f t="shared" si="103"/>
        <v>0</v>
      </c>
      <c r="U405" s="2689">
        <f t="shared" si="97"/>
        <v>0</v>
      </c>
      <c r="V405" s="2689">
        <f t="shared" si="98"/>
        <v>0</v>
      </c>
      <c r="W405" s="909"/>
      <c r="X405" s="2689">
        <f t="shared" si="99"/>
        <v>0</v>
      </c>
      <c r="Y405" s="2689">
        <f t="shared" si="100"/>
        <v>0</v>
      </c>
      <c r="Z405" s="909"/>
    </row>
    <row r="406" spans="1:26">
      <c r="A406" s="31"/>
      <c r="B406" s="19"/>
      <c r="C406" s="12">
        <f t="shared" si="89"/>
        <v>1</v>
      </c>
      <c r="D406" s="578"/>
      <c r="E406" s="12">
        <f t="shared" si="90"/>
        <v>1</v>
      </c>
      <c r="F406" s="578"/>
      <c r="G406" s="12">
        <f t="shared" si="91"/>
        <v>1</v>
      </c>
      <c r="H406" s="578"/>
      <c r="I406" s="12">
        <f t="shared" si="92"/>
        <v>1</v>
      </c>
      <c r="J406" s="578"/>
      <c r="K406" s="12">
        <f t="shared" si="93"/>
        <v>1</v>
      </c>
      <c r="L406" s="578"/>
      <c r="M406" s="12">
        <f t="shared" si="94"/>
        <v>1</v>
      </c>
      <c r="N406" s="578"/>
      <c r="O406" s="12">
        <f t="shared" si="95"/>
        <v>1</v>
      </c>
      <c r="P406" s="578"/>
      <c r="Q406" s="12">
        <f t="shared" si="96"/>
        <v>1</v>
      </c>
      <c r="R406" s="12">
        <f t="shared" si="101"/>
        <v>0</v>
      </c>
      <c r="S406" s="246">
        <f t="shared" si="102"/>
        <v>0</v>
      </c>
      <c r="T406" s="821">
        <f t="shared" si="103"/>
        <v>0</v>
      </c>
      <c r="U406" s="2689">
        <f t="shared" si="97"/>
        <v>0</v>
      </c>
      <c r="V406" s="2689">
        <f t="shared" si="98"/>
        <v>0</v>
      </c>
      <c r="W406" s="909"/>
      <c r="X406" s="2689">
        <f t="shared" si="99"/>
        <v>0</v>
      </c>
      <c r="Y406" s="2689">
        <f t="shared" si="100"/>
        <v>0</v>
      </c>
      <c r="Z406" s="909"/>
    </row>
    <row r="407" spans="1:26">
      <c r="A407" s="31"/>
      <c r="B407" s="19"/>
      <c r="C407" s="12">
        <f t="shared" si="89"/>
        <v>1</v>
      </c>
      <c r="D407" s="578"/>
      <c r="E407" s="12">
        <f t="shared" si="90"/>
        <v>1</v>
      </c>
      <c r="F407" s="578"/>
      <c r="G407" s="12">
        <f t="shared" si="91"/>
        <v>1</v>
      </c>
      <c r="H407" s="578"/>
      <c r="I407" s="12">
        <f t="shared" si="92"/>
        <v>1</v>
      </c>
      <c r="J407" s="578"/>
      <c r="K407" s="12">
        <f t="shared" si="93"/>
        <v>1</v>
      </c>
      <c r="L407" s="578"/>
      <c r="M407" s="12">
        <f t="shared" si="94"/>
        <v>1</v>
      </c>
      <c r="N407" s="578"/>
      <c r="O407" s="12">
        <f t="shared" si="95"/>
        <v>1</v>
      </c>
      <c r="P407" s="578"/>
      <c r="Q407" s="12">
        <f t="shared" si="96"/>
        <v>1</v>
      </c>
      <c r="R407" s="12">
        <f t="shared" si="101"/>
        <v>0</v>
      </c>
      <c r="S407" s="246">
        <f t="shared" si="102"/>
        <v>0</v>
      </c>
      <c r="T407" s="821">
        <f t="shared" si="103"/>
        <v>0</v>
      </c>
      <c r="U407" s="2689">
        <f t="shared" si="97"/>
        <v>0</v>
      </c>
      <c r="V407" s="2689">
        <f t="shared" si="98"/>
        <v>0</v>
      </c>
      <c r="W407" s="909"/>
      <c r="X407" s="2689">
        <f t="shared" si="99"/>
        <v>0</v>
      </c>
      <c r="Y407" s="2689">
        <f t="shared" si="100"/>
        <v>0</v>
      </c>
      <c r="Z407" s="909"/>
    </row>
    <row r="408" spans="1:26">
      <c r="A408" s="31"/>
      <c r="B408" s="19"/>
      <c r="C408" s="12">
        <f t="shared" si="89"/>
        <v>1</v>
      </c>
      <c r="D408" s="578"/>
      <c r="E408" s="12">
        <f t="shared" si="90"/>
        <v>1</v>
      </c>
      <c r="F408" s="578"/>
      <c r="G408" s="12">
        <f t="shared" si="91"/>
        <v>1</v>
      </c>
      <c r="H408" s="578"/>
      <c r="I408" s="12">
        <f t="shared" si="92"/>
        <v>1</v>
      </c>
      <c r="J408" s="578"/>
      <c r="K408" s="12">
        <f t="shared" si="93"/>
        <v>1</v>
      </c>
      <c r="L408" s="578"/>
      <c r="M408" s="12">
        <f t="shared" si="94"/>
        <v>1</v>
      </c>
      <c r="N408" s="578"/>
      <c r="O408" s="12">
        <f t="shared" si="95"/>
        <v>1</v>
      </c>
      <c r="P408" s="578"/>
      <c r="Q408" s="12">
        <f t="shared" si="96"/>
        <v>1</v>
      </c>
      <c r="R408" s="12">
        <f t="shared" si="101"/>
        <v>0</v>
      </c>
      <c r="S408" s="246">
        <f t="shared" si="102"/>
        <v>0</v>
      </c>
      <c r="T408" s="821">
        <f t="shared" si="103"/>
        <v>0</v>
      </c>
      <c r="U408" s="2689">
        <f t="shared" si="97"/>
        <v>0</v>
      </c>
      <c r="V408" s="2689">
        <f t="shared" si="98"/>
        <v>0</v>
      </c>
      <c r="W408" s="909"/>
      <c r="X408" s="2689">
        <f t="shared" si="99"/>
        <v>0</v>
      </c>
      <c r="Y408" s="2689">
        <f t="shared" si="100"/>
        <v>0</v>
      </c>
      <c r="Z408" s="909"/>
    </row>
    <row r="409" spans="1:26">
      <c r="A409" s="31"/>
      <c r="B409" s="19"/>
      <c r="C409" s="12">
        <f t="shared" si="89"/>
        <v>1</v>
      </c>
      <c r="D409" s="578"/>
      <c r="E409" s="12">
        <f t="shared" si="90"/>
        <v>1</v>
      </c>
      <c r="F409" s="578"/>
      <c r="G409" s="12">
        <f t="shared" si="91"/>
        <v>1</v>
      </c>
      <c r="H409" s="578"/>
      <c r="I409" s="12">
        <f t="shared" si="92"/>
        <v>1</v>
      </c>
      <c r="J409" s="578"/>
      <c r="K409" s="12">
        <f t="shared" si="93"/>
        <v>1</v>
      </c>
      <c r="L409" s="578"/>
      <c r="M409" s="12">
        <f t="shared" si="94"/>
        <v>1</v>
      </c>
      <c r="N409" s="578"/>
      <c r="O409" s="12">
        <f t="shared" si="95"/>
        <v>1</v>
      </c>
      <c r="P409" s="578"/>
      <c r="Q409" s="12">
        <f t="shared" si="96"/>
        <v>1</v>
      </c>
      <c r="R409" s="12">
        <f t="shared" si="101"/>
        <v>0</v>
      </c>
      <c r="S409" s="246">
        <f t="shared" si="102"/>
        <v>0</v>
      </c>
      <c r="T409" s="821">
        <f t="shared" si="103"/>
        <v>0</v>
      </c>
      <c r="U409" s="2689">
        <f t="shared" si="97"/>
        <v>0</v>
      </c>
      <c r="V409" s="2689">
        <f t="shared" si="98"/>
        <v>0</v>
      </c>
      <c r="W409" s="909"/>
      <c r="X409" s="2689">
        <f t="shared" si="99"/>
        <v>0</v>
      </c>
      <c r="Y409" s="2689">
        <f t="shared" si="100"/>
        <v>0</v>
      </c>
      <c r="Z409" s="909"/>
    </row>
    <row r="410" spans="1:26">
      <c r="A410" s="31"/>
      <c r="B410" s="19"/>
      <c r="C410" s="12">
        <f t="shared" si="89"/>
        <v>1</v>
      </c>
      <c r="D410" s="578"/>
      <c r="E410" s="12">
        <f t="shared" si="90"/>
        <v>1</v>
      </c>
      <c r="F410" s="578"/>
      <c r="G410" s="12">
        <f t="shared" si="91"/>
        <v>1</v>
      </c>
      <c r="H410" s="578"/>
      <c r="I410" s="12">
        <f t="shared" si="92"/>
        <v>1</v>
      </c>
      <c r="J410" s="578"/>
      <c r="K410" s="12">
        <f t="shared" si="93"/>
        <v>1</v>
      </c>
      <c r="L410" s="578"/>
      <c r="M410" s="12">
        <f t="shared" si="94"/>
        <v>1</v>
      </c>
      <c r="N410" s="578"/>
      <c r="O410" s="12">
        <f t="shared" si="95"/>
        <v>1</v>
      </c>
      <c r="P410" s="578"/>
      <c r="Q410" s="12">
        <f t="shared" si="96"/>
        <v>1</v>
      </c>
      <c r="R410" s="12">
        <f t="shared" si="101"/>
        <v>0</v>
      </c>
      <c r="S410" s="246">
        <f t="shared" si="102"/>
        <v>0</v>
      </c>
      <c r="T410" s="821">
        <f t="shared" si="103"/>
        <v>0</v>
      </c>
      <c r="U410" s="2689">
        <f t="shared" si="97"/>
        <v>0</v>
      </c>
      <c r="V410" s="2689">
        <f t="shared" si="98"/>
        <v>0</v>
      </c>
      <c r="W410" s="909"/>
      <c r="X410" s="2689">
        <f t="shared" si="99"/>
        <v>0</v>
      </c>
      <c r="Y410" s="2689">
        <f t="shared" si="100"/>
        <v>0</v>
      </c>
      <c r="Z410" s="909"/>
    </row>
    <row r="411" spans="1:26">
      <c r="A411" s="31"/>
      <c r="B411" s="19"/>
      <c r="C411" s="12">
        <f t="shared" si="89"/>
        <v>1</v>
      </c>
      <c r="D411" s="578"/>
      <c r="E411" s="12">
        <f t="shared" si="90"/>
        <v>1</v>
      </c>
      <c r="F411" s="578"/>
      <c r="G411" s="12">
        <f t="shared" si="91"/>
        <v>1</v>
      </c>
      <c r="H411" s="578"/>
      <c r="I411" s="12">
        <f t="shared" si="92"/>
        <v>1</v>
      </c>
      <c r="J411" s="578"/>
      <c r="K411" s="12">
        <f t="shared" si="93"/>
        <v>1</v>
      </c>
      <c r="L411" s="578"/>
      <c r="M411" s="12">
        <f t="shared" si="94"/>
        <v>1</v>
      </c>
      <c r="N411" s="578"/>
      <c r="O411" s="12">
        <f t="shared" si="95"/>
        <v>1</v>
      </c>
      <c r="P411" s="578"/>
      <c r="Q411" s="12">
        <f t="shared" si="96"/>
        <v>1</v>
      </c>
      <c r="R411" s="12">
        <f t="shared" si="101"/>
        <v>0</v>
      </c>
      <c r="S411" s="246">
        <f t="shared" si="102"/>
        <v>0</v>
      </c>
      <c r="T411" s="821">
        <f t="shared" si="103"/>
        <v>0</v>
      </c>
      <c r="U411" s="2689">
        <f t="shared" si="97"/>
        <v>0</v>
      </c>
      <c r="V411" s="2689">
        <f t="shared" si="98"/>
        <v>0</v>
      </c>
      <c r="W411" s="909"/>
      <c r="X411" s="2689">
        <f t="shared" si="99"/>
        <v>0</v>
      </c>
      <c r="Y411" s="2689">
        <f t="shared" si="100"/>
        <v>0</v>
      </c>
      <c r="Z411" s="909"/>
    </row>
    <row r="412" spans="1:26">
      <c r="A412" s="31"/>
      <c r="B412" s="19"/>
      <c r="C412" s="12">
        <f t="shared" ref="C412:C475" si="104">IF(B412="",1,(LOOKUP(B412,$6:$6,$7:$7)-LOOKUP($B$27,$6:$6,$7:$7)+100)/100)</f>
        <v>1</v>
      </c>
      <c r="D412" s="578"/>
      <c r="E412" s="12">
        <f t="shared" ref="E412:E475" si="105">(SUMIF($8:$8,D412,$9:$9)-SUMIF($8:$8,$D$27,$9:$9)+100)/100</f>
        <v>1</v>
      </c>
      <c r="F412" s="578"/>
      <c r="G412" s="12">
        <f t="shared" ref="G412:G475" si="106">(SUMIF($10:$10,F412,$11:$11)-SUMIF($10:$10,$F$27,$11:$11)+100)/100</f>
        <v>1</v>
      </c>
      <c r="H412" s="578"/>
      <c r="I412" s="12">
        <f t="shared" ref="I412:I475" si="107">(SUMIF($12:$12,H412,$13:$13)-SUMIF($12:$12,$H$27,$13:$13)+100)/100</f>
        <v>1</v>
      </c>
      <c r="J412" s="578"/>
      <c r="K412" s="12">
        <f t="shared" ref="K412:K475" si="108">(SUMIF($14:$14,J412,$15:$15)-SUMIF($14:$14,$J$27,$15:$15)+100)/100</f>
        <v>1</v>
      </c>
      <c r="L412" s="578"/>
      <c r="M412" s="12">
        <f t="shared" ref="M412:M475" si="109">(SUMIF($16:$16,L412,$17:$17)-SUMIF($16:$16,$L$27,$17:$17)+100)/100</f>
        <v>1</v>
      </c>
      <c r="N412" s="578"/>
      <c r="O412" s="12">
        <f t="shared" ref="O412:O475" si="110">(SUMIF($18:$18,N412,$19:$19)-SUMIF($18:$18,$N$27,$19:$19)+100)/100</f>
        <v>1</v>
      </c>
      <c r="P412" s="578"/>
      <c r="Q412" s="12">
        <f t="shared" ref="Q412:Q475" si="111">(SUMIF($20:$20,P412,$21:$21)-SUMIF($20:$20,$P$27,$21:$21)+100)/100</f>
        <v>1</v>
      </c>
      <c r="R412" s="12">
        <f t="shared" si="101"/>
        <v>0</v>
      </c>
      <c r="S412" s="246">
        <f t="shared" si="102"/>
        <v>0</v>
      </c>
      <c r="T412" s="821">
        <f t="shared" si="103"/>
        <v>0</v>
      </c>
      <c r="U412" s="2689">
        <f t="shared" ref="U412:U475" si="112">ROUND(W412*B412,0)</f>
        <v>0</v>
      </c>
      <c r="V412" s="2689">
        <f t="shared" ref="V412:V475" si="113">ROUND(W412*B412/10000,0)</f>
        <v>0</v>
      </c>
      <c r="W412" s="909"/>
      <c r="X412" s="2689">
        <f t="shared" ref="X412:X475" si="114">ROUND(Z412*B412,0)</f>
        <v>0</v>
      </c>
      <c r="Y412" s="2689">
        <f t="shared" ref="Y412:Y475" si="115">ROUND(Z412*B412/10000,0)</f>
        <v>0</v>
      </c>
      <c r="Z412" s="909"/>
    </row>
    <row r="413" spans="1:26">
      <c r="A413" s="31"/>
      <c r="B413" s="19"/>
      <c r="C413" s="12">
        <f t="shared" si="104"/>
        <v>1</v>
      </c>
      <c r="D413" s="578"/>
      <c r="E413" s="12">
        <f t="shared" si="105"/>
        <v>1</v>
      </c>
      <c r="F413" s="578"/>
      <c r="G413" s="12">
        <f t="shared" si="106"/>
        <v>1</v>
      </c>
      <c r="H413" s="578"/>
      <c r="I413" s="12">
        <f t="shared" si="107"/>
        <v>1</v>
      </c>
      <c r="J413" s="578"/>
      <c r="K413" s="12">
        <f t="shared" si="108"/>
        <v>1</v>
      </c>
      <c r="L413" s="578"/>
      <c r="M413" s="12">
        <f t="shared" si="109"/>
        <v>1</v>
      </c>
      <c r="N413" s="578"/>
      <c r="O413" s="12">
        <f t="shared" si="110"/>
        <v>1</v>
      </c>
      <c r="P413" s="578"/>
      <c r="Q413" s="12">
        <f t="shared" si="111"/>
        <v>1</v>
      </c>
      <c r="R413" s="12">
        <f t="shared" ref="R413:R476" si="116">IF(B413="",0,ROUND($R$27*C413*E413*G413*I413*K413*M413*O413*Q413,0))</f>
        <v>0</v>
      </c>
      <c r="S413" s="246">
        <f t="shared" ref="S413:S476" si="117">ROUND(R413*B413,0)</f>
        <v>0</v>
      </c>
      <c r="T413" s="821">
        <f t="shared" ref="T413:T476" si="118">ROUND(R413*B413/10000,0)</f>
        <v>0</v>
      </c>
      <c r="U413" s="2689">
        <f t="shared" si="112"/>
        <v>0</v>
      </c>
      <c r="V413" s="2689">
        <f t="shared" si="113"/>
        <v>0</v>
      </c>
      <c r="W413" s="909"/>
      <c r="X413" s="2689">
        <f t="shared" si="114"/>
        <v>0</v>
      </c>
      <c r="Y413" s="2689">
        <f t="shared" si="115"/>
        <v>0</v>
      </c>
      <c r="Z413" s="909"/>
    </row>
    <row r="414" spans="1:26">
      <c r="A414" s="31"/>
      <c r="B414" s="19"/>
      <c r="C414" s="12">
        <f t="shared" si="104"/>
        <v>1</v>
      </c>
      <c r="D414" s="578"/>
      <c r="E414" s="12">
        <f t="shared" si="105"/>
        <v>1</v>
      </c>
      <c r="F414" s="578"/>
      <c r="G414" s="12">
        <f t="shared" si="106"/>
        <v>1</v>
      </c>
      <c r="H414" s="578"/>
      <c r="I414" s="12">
        <f t="shared" si="107"/>
        <v>1</v>
      </c>
      <c r="J414" s="578"/>
      <c r="K414" s="12">
        <f t="shared" si="108"/>
        <v>1</v>
      </c>
      <c r="L414" s="578"/>
      <c r="M414" s="12">
        <f t="shared" si="109"/>
        <v>1</v>
      </c>
      <c r="N414" s="578"/>
      <c r="O414" s="12">
        <f t="shared" si="110"/>
        <v>1</v>
      </c>
      <c r="P414" s="578"/>
      <c r="Q414" s="12">
        <f t="shared" si="111"/>
        <v>1</v>
      </c>
      <c r="R414" s="12">
        <f t="shared" si="116"/>
        <v>0</v>
      </c>
      <c r="S414" s="246">
        <f t="shared" si="117"/>
        <v>0</v>
      </c>
      <c r="T414" s="821">
        <f t="shared" si="118"/>
        <v>0</v>
      </c>
      <c r="U414" s="2689">
        <f t="shared" si="112"/>
        <v>0</v>
      </c>
      <c r="V414" s="2689">
        <f t="shared" si="113"/>
        <v>0</v>
      </c>
      <c r="W414" s="909"/>
      <c r="X414" s="2689">
        <f t="shared" si="114"/>
        <v>0</v>
      </c>
      <c r="Y414" s="2689">
        <f t="shared" si="115"/>
        <v>0</v>
      </c>
      <c r="Z414" s="909"/>
    </row>
    <row r="415" spans="1:26">
      <c r="A415" s="31"/>
      <c r="B415" s="19"/>
      <c r="C415" s="12">
        <f t="shared" si="104"/>
        <v>1</v>
      </c>
      <c r="D415" s="578"/>
      <c r="E415" s="12">
        <f t="shared" si="105"/>
        <v>1</v>
      </c>
      <c r="F415" s="578"/>
      <c r="G415" s="12">
        <f t="shared" si="106"/>
        <v>1</v>
      </c>
      <c r="H415" s="578"/>
      <c r="I415" s="12">
        <f t="shared" si="107"/>
        <v>1</v>
      </c>
      <c r="J415" s="578"/>
      <c r="K415" s="12">
        <f t="shared" si="108"/>
        <v>1</v>
      </c>
      <c r="L415" s="578"/>
      <c r="M415" s="12">
        <f t="shared" si="109"/>
        <v>1</v>
      </c>
      <c r="N415" s="578"/>
      <c r="O415" s="12">
        <f t="shared" si="110"/>
        <v>1</v>
      </c>
      <c r="P415" s="578"/>
      <c r="Q415" s="12">
        <f t="shared" si="111"/>
        <v>1</v>
      </c>
      <c r="R415" s="12">
        <f t="shared" si="116"/>
        <v>0</v>
      </c>
      <c r="S415" s="246">
        <f t="shared" si="117"/>
        <v>0</v>
      </c>
      <c r="T415" s="821">
        <f t="shared" si="118"/>
        <v>0</v>
      </c>
      <c r="U415" s="2689">
        <f t="shared" si="112"/>
        <v>0</v>
      </c>
      <c r="V415" s="2689">
        <f t="shared" si="113"/>
        <v>0</v>
      </c>
      <c r="W415" s="909"/>
      <c r="X415" s="2689">
        <f t="shared" si="114"/>
        <v>0</v>
      </c>
      <c r="Y415" s="2689">
        <f t="shared" si="115"/>
        <v>0</v>
      </c>
      <c r="Z415" s="909"/>
    </row>
    <row r="416" spans="1:26">
      <c r="A416" s="31"/>
      <c r="B416" s="19"/>
      <c r="C416" s="12">
        <f t="shared" si="104"/>
        <v>1</v>
      </c>
      <c r="D416" s="578"/>
      <c r="E416" s="12">
        <f t="shared" si="105"/>
        <v>1</v>
      </c>
      <c r="F416" s="578"/>
      <c r="G416" s="12">
        <f t="shared" si="106"/>
        <v>1</v>
      </c>
      <c r="H416" s="578"/>
      <c r="I416" s="12">
        <f t="shared" si="107"/>
        <v>1</v>
      </c>
      <c r="J416" s="578"/>
      <c r="K416" s="12">
        <f t="shared" si="108"/>
        <v>1</v>
      </c>
      <c r="L416" s="578"/>
      <c r="M416" s="12">
        <f t="shared" si="109"/>
        <v>1</v>
      </c>
      <c r="N416" s="578"/>
      <c r="O416" s="12">
        <f t="shared" si="110"/>
        <v>1</v>
      </c>
      <c r="P416" s="578"/>
      <c r="Q416" s="12">
        <f t="shared" si="111"/>
        <v>1</v>
      </c>
      <c r="R416" s="12">
        <f t="shared" si="116"/>
        <v>0</v>
      </c>
      <c r="S416" s="246">
        <f t="shared" si="117"/>
        <v>0</v>
      </c>
      <c r="T416" s="821">
        <f t="shared" si="118"/>
        <v>0</v>
      </c>
      <c r="U416" s="2689">
        <f t="shared" si="112"/>
        <v>0</v>
      </c>
      <c r="V416" s="2689">
        <f t="shared" si="113"/>
        <v>0</v>
      </c>
      <c r="W416" s="909"/>
      <c r="X416" s="2689">
        <f t="shared" si="114"/>
        <v>0</v>
      </c>
      <c r="Y416" s="2689">
        <f t="shared" si="115"/>
        <v>0</v>
      </c>
      <c r="Z416" s="909"/>
    </row>
    <row r="417" spans="1:26">
      <c r="A417" s="31"/>
      <c r="B417" s="19"/>
      <c r="C417" s="12">
        <f t="shared" si="104"/>
        <v>1</v>
      </c>
      <c r="D417" s="578"/>
      <c r="E417" s="12">
        <f t="shared" si="105"/>
        <v>1</v>
      </c>
      <c r="F417" s="578"/>
      <c r="G417" s="12">
        <f t="shared" si="106"/>
        <v>1</v>
      </c>
      <c r="H417" s="578"/>
      <c r="I417" s="12">
        <f t="shared" si="107"/>
        <v>1</v>
      </c>
      <c r="J417" s="578"/>
      <c r="K417" s="12">
        <f t="shared" si="108"/>
        <v>1</v>
      </c>
      <c r="L417" s="578"/>
      <c r="M417" s="12">
        <f t="shared" si="109"/>
        <v>1</v>
      </c>
      <c r="N417" s="578"/>
      <c r="O417" s="12">
        <f t="shared" si="110"/>
        <v>1</v>
      </c>
      <c r="P417" s="578"/>
      <c r="Q417" s="12">
        <f t="shared" si="111"/>
        <v>1</v>
      </c>
      <c r="R417" s="12">
        <f t="shared" si="116"/>
        <v>0</v>
      </c>
      <c r="S417" s="246">
        <f t="shared" si="117"/>
        <v>0</v>
      </c>
      <c r="T417" s="821">
        <f t="shared" si="118"/>
        <v>0</v>
      </c>
      <c r="U417" s="2689">
        <f t="shared" si="112"/>
        <v>0</v>
      </c>
      <c r="V417" s="2689">
        <f t="shared" si="113"/>
        <v>0</v>
      </c>
      <c r="W417" s="909"/>
      <c r="X417" s="2689">
        <f t="shared" si="114"/>
        <v>0</v>
      </c>
      <c r="Y417" s="2689">
        <f t="shared" si="115"/>
        <v>0</v>
      </c>
      <c r="Z417" s="909"/>
    </row>
    <row r="418" spans="1:26">
      <c r="A418" s="31"/>
      <c r="B418" s="19"/>
      <c r="C418" s="12">
        <f t="shared" si="104"/>
        <v>1</v>
      </c>
      <c r="D418" s="578"/>
      <c r="E418" s="12">
        <f t="shared" si="105"/>
        <v>1</v>
      </c>
      <c r="F418" s="578"/>
      <c r="G418" s="12">
        <f t="shared" si="106"/>
        <v>1</v>
      </c>
      <c r="H418" s="578"/>
      <c r="I418" s="12">
        <f t="shared" si="107"/>
        <v>1</v>
      </c>
      <c r="J418" s="578"/>
      <c r="K418" s="12">
        <f t="shared" si="108"/>
        <v>1</v>
      </c>
      <c r="L418" s="578"/>
      <c r="M418" s="12">
        <f t="shared" si="109"/>
        <v>1</v>
      </c>
      <c r="N418" s="578"/>
      <c r="O418" s="12">
        <f t="shared" si="110"/>
        <v>1</v>
      </c>
      <c r="P418" s="578"/>
      <c r="Q418" s="12">
        <f t="shared" si="111"/>
        <v>1</v>
      </c>
      <c r="R418" s="12">
        <f t="shared" si="116"/>
        <v>0</v>
      </c>
      <c r="S418" s="246">
        <f t="shared" si="117"/>
        <v>0</v>
      </c>
      <c r="T418" s="821">
        <f t="shared" si="118"/>
        <v>0</v>
      </c>
      <c r="U418" s="2689">
        <f t="shared" si="112"/>
        <v>0</v>
      </c>
      <c r="V418" s="2689">
        <f t="shared" si="113"/>
        <v>0</v>
      </c>
      <c r="W418" s="909"/>
      <c r="X418" s="2689">
        <f t="shared" si="114"/>
        <v>0</v>
      </c>
      <c r="Y418" s="2689">
        <f t="shared" si="115"/>
        <v>0</v>
      </c>
      <c r="Z418" s="909"/>
    </row>
    <row r="419" spans="1:26">
      <c r="A419" s="31"/>
      <c r="B419" s="19"/>
      <c r="C419" s="12">
        <f t="shared" si="104"/>
        <v>1</v>
      </c>
      <c r="D419" s="578"/>
      <c r="E419" s="12">
        <f t="shared" si="105"/>
        <v>1</v>
      </c>
      <c r="F419" s="578"/>
      <c r="G419" s="12">
        <f t="shared" si="106"/>
        <v>1</v>
      </c>
      <c r="H419" s="578"/>
      <c r="I419" s="12">
        <f t="shared" si="107"/>
        <v>1</v>
      </c>
      <c r="J419" s="578"/>
      <c r="K419" s="12">
        <f t="shared" si="108"/>
        <v>1</v>
      </c>
      <c r="L419" s="578"/>
      <c r="M419" s="12">
        <f t="shared" si="109"/>
        <v>1</v>
      </c>
      <c r="N419" s="578"/>
      <c r="O419" s="12">
        <f t="shared" si="110"/>
        <v>1</v>
      </c>
      <c r="P419" s="578"/>
      <c r="Q419" s="12">
        <f t="shared" si="111"/>
        <v>1</v>
      </c>
      <c r="R419" s="12">
        <f t="shared" si="116"/>
        <v>0</v>
      </c>
      <c r="S419" s="246">
        <f t="shared" si="117"/>
        <v>0</v>
      </c>
      <c r="T419" s="821">
        <f t="shared" si="118"/>
        <v>0</v>
      </c>
      <c r="U419" s="2689">
        <f t="shared" si="112"/>
        <v>0</v>
      </c>
      <c r="V419" s="2689">
        <f t="shared" si="113"/>
        <v>0</v>
      </c>
      <c r="W419" s="909"/>
      <c r="X419" s="2689">
        <f t="shared" si="114"/>
        <v>0</v>
      </c>
      <c r="Y419" s="2689">
        <f t="shared" si="115"/>
        <v>0</v>
      </c>
      <c r="Z419" s="909"/>
    </row>
    <row r="420" spans="1:26">
      <c r="A420" s="31"/>
      <c r="B420" s="19"/>
      <c r="C420" s="12">
        <f t="shared" si="104"/>
        <v>1</v>
      </c>
      <c r="D420" s="578"/>
      <c r="E420" s="12">
        <f t="shared" si="105"/>
        <v>1</v>
      </c>
      <c r="F420" s="578"/>
      <c r="G420" s="12">
        <f t="shared" si="106"/>
        <v>1</v>
      </c>
      <c r="H420" s="578"/>
      <c r="I420" s="12">
        <f t="shared" si="107"/>
        <v>1</v>
      </c>
      <c r="J420" s="578"/>
      <c r="K420" s="12">
        <f t="shared" si="108"/>
        <v>1</v>
      </c>
      <c r="L420" s="578"/>
      <c r="M420" s="12">
        <f t="shared" si="109"/>
        <v>1</v>
      </c>
      <c r="N420" s="578"/>
      <c r="O420" s="12">
        <f t="shared" si="110"/>
        <v>1</v>
      </c>
      <c r="P420" s="578"/>
      <c r="Q420" s="12">
        <f t="shared" si="111"/>
        <v>1</v>
      </c>
      <c r="R420" s="12">
        <f t="shared" si="116"/>
        <v>0</v>
      </c>
      <c r="S420" s="246">
        <f t="shared" si="117"/>
        <v>0</v>
      </c>
      <c r="T420" s="821">
        <f t="shared" si="118"/>
        <v>0</v>
      </c>
      <c r="U420" s="2689">
        <f t="shared" si="112"/>
        <v>0</v>
      </c>
      <c r="V420" s="2689">
        <f t="shared" si="113"/>
        <v>0</v>
      </c>
      <c r="W420" s="909"/>
      <c r="X420" s="2689">
        <f t="shared" si="114"/>
        <v>0</v>
      </c>
      <c r="Y420" s="2689">
        <f t="shared" si="115"/>
        <v>0</v>
      </c>
      <c r="Z420" s="909"/>
    </row>
    <row r="421" spans="1:26">
      <c r="A421" s="31"/>
      <c r="B421" s="19"/>
      <c r="C421" s="12">
        <f t="shared" si="104"/>
        <v>1</v>
      </c>
      <c r="D421" s="578"/>
      <c r="E421" s="12">
        <f t="shared" si="105"/>
        <v>1</v>
      </c>
      <c r="F421" s="578"/>
      <c r="G421" s="12">
        <f t="shared" si="106"/>
        <v>1</v>
      </c>
      <c r="H421" s="578"/>
      <c r="I421" s="12">
        <f t="shared" si="107"/>
        <v>1</v>
      </c>
      <c r="J421" s="578"/>
      <c r="K421" s="12">
        <f t="shared" si="108"/>
        <v>1</v>
      </c>
      <c r="L421" s="578"/>
      <c r="M421" s="12">
        <f t="shared" si="109"/>
        <v>1</v>
      </c>
      <c r="N421" s="578"/>
      <c r="O421" s="12">
        <f t="shared" si="110"/>
        <v>1</v>
      </c>
      <c r="P421" s="578"/>
      <c r="Q421" s="12">
        <f t="shared" si="111"/>
        <v>1</v>
      </c>
      <c r="R421" s="12">
        <f t="shared" si="116"/>
        <v>0</v>
      </c>
      <c r="S421" s="246">
        <f t="shared" si="117"/>
        <v>0</v>
      </c>
      <c r="T421" s="821">
        <f t="shared" si="118"/>
        <v>0</v>
      </c>
      <c r="U421" s="2689">
        <f t="shared" si="112"/>
        <v>0</v>
      </c>
      <c r="V421" s="2689">
        <f t="shared" si="113"/>
        <v>0</v>
      </c>
      <c r="W421" s="909"/>
      <c r="X421" s="2689">
        <f t="shared" si="114"/>
        <v>0</v>
      </c>
      <c r="Y421" s="2689">
        <f t="shared" si="115"/>
        <v>0</v>
      </c>
      <c r="Z421" s="909"/>
    </row>
    <row r="422" spans="1:26">
      <c r="A422" s="31"/>
      <c r="B422" s="19"/>
      <c r="C422" s="12">
        <f t="shared" si="104"/>
        <v>1</v>
      </c>
      <c r="D422" s="578"/>
      <c r="E422" s="12">
        <f t="shared" si="105"/>
        <v>1</v>
      </c>
      <c r="F422" s="578"/>
      <c r="G422" s="12">
        <f t="shared" si="106"/>
        <v>1</v>
      </c>
      <c r="H422" s="578"/>
      <c r="I422" s="12">
        <f t="shared" si="107"/>
        <v>1</v>
      </c>
      <c r="J422" s="578"/>
      <c r="K422" s="12">
        <f t="shared" si="108"/>
        <v>1</v>
      </c>
      <c r="L422" s="578"/>
      <c r="M422" s="12">
        <f t="shared" si="109"/>
        <v>1</v>
      </c>
      <c r="N422" s="578"/>
      <c r="O422" s="12">
        <f t="shared" si="110"/>
        <v>1</v>
      </c>
      <c r="P422" s="578"/>
      <c r="Q422" s="12">
        <f t="shared" si="111"/>
        <v>1</v>
      </c>
      <c r="R422" s="12">
        <f t="shared" si="116"/>
        <v>0</v>
      </c>
      <c r="S422" s="246">
        <f t="shared" si="117"/>
        <v>0</v>
      </c>
      <c r="T422" s="821">
        <f t="shared" si="118"/>
        <v>0</v>
      </c>
      <c r="U422" s="2689">
        <f t="shared" si="112"/>
        <v>0</v>
      </c>
      <c r="V422" s="2689">
        <f t="shared" si="113"/>
        <v>0</v>
      </c>
      <c r="W422" s="909"/>
      <c r="X422" s="2689">
        <f t="shared" si="114"/>
        <v>0</v>
      </c>
      <c r="Y422" s="2689">
        <f t="shared" si="115"/>
        <v>0</v>
      </c>
      <c r="Z422" s="909"/>
    </row>
    <row r="423" spans="1:26">
      <c r="A423" s="31"/>
      <c r="B423" s="19"/>
      <c r="C423" s="12">
        <f t="shared" si="104"/>
        <v>1</v>
      </c>
      <c r="D423" s="578"/>
      <c r="E423" s="12">
        <f t="shared" si="105"/>
        <v>1</v>
      </c>
      <c r="F423" s="578"/>
      <c r="G423" s="12">
        <f t="shared" si="106"/>
        <v>1</v>
      </c>
      <c r="H423" s="578"/>
      <c r="I423" s="12">
        <f t="shared" si="107"/>
        <v>1</v>
      </c>
      <c r="J423" s="578"/>
      <c r="K423" s="12">
        <f t="shared" si="108"/>
        <v>1</v>
      </c>
      <c r="L423" s="578"/>
      <c r="M423" s="12">
        <f t="shared" si="109"/>
        <v>1</v>
      </c>
      <c r="N423" s="578"/>
      <c r="O423" s="12">
        <f t="shared" si="110"/>
        <v>1</v>
      </c>
      <c r="P423" s="578"/>
      <c r="Q423" s="12">
        <f t="shared" si="111"/>
        <v>1</v>
      </c>
      <c r="R423" s="12">
        <f t="shared" si="116"/>
        <v>0</v>
      </c>
      <c r="S423" s="246">
        <f t="shared" si="117"/>
        <v>0</v>
      </c>
      <c r="T423" s="821">
        <f t="shared" si="118"/>
        <v>0</v>
      </c>
      <c r="U423" s="2689">
        <f t="shared" si="112"/>
        <v>0</v>
      </c>
      <c r="V423" s="2689">
        <f t="shared" si="113"/>
        <v>0</v>
      </c>
      <c r="W423" s="909"/>
      <c r="X423" s="2689">
        <f t="shared" si="114"/>
        <v>0</v>
      </c>
      <c r="Y423" s="2689">
        <f t="shared" si="115"/>
        <v>0</v>
      </c>
      <c r="Z423" s="909"/>
    </row>
    <row r="424" spans="1:26">
      <c r="A424" s="31"/>
      <c r="B424" s="19"/>
      <c r="C424" s="12">
        <f t="shared" si="104"/>
        <v>1</v>
      </c>
      <c r="D424" s="578"/>
      <c r="E424" s="12">
        <f t="shared" si="105"/>
        <v>1</v>
      </c>
      <c r="F424" s="578"/>
      <c r="G424" s="12">
        <f t="shared" si="106"/>
        <v>1</v>
      </c>
      <c r="H424" s="578"/>
      <c r="I424" s="12">
        <f t="shared" si="107"/>
        <v>1</v>
      </c>
      <c r="J424" s="578"/>
      <c r="K424" s="12">
        <f t="shared" si="108"/>
        <v>1</v>
      </c>
      <c r="L424" s="578"/>
      <c r="M424" s="12">
        <f t="shared" si="109"/>
        <v>1</v>
      </c>
      <c r="N424" s="578"/>
      <c r="O424" s="12">
        <f t="shared" si="110"/>
        <v>1</v>
      </c>
      <c r="P424" s="578"/>
      <c r="Q424" s="12">
        <f t="shared" si="111"/>
        <v>1</v>
      </c>
      <c r="R424" s="12">
        <f t="shared" si="116"/>
        <v>0</v>
      </c>
      <c r="S424" s="246">
        <f t="shared" si="117"/>
        <v>0</v>
      </c>
      <c r="T424" s="821">
        <f t="shared" si="118"/>
        <v>0</v>
      </c>
      <c r="U424" s="2689">
        <f t="shared" si="112"/>
        <v>0</v>
      </c>
      <c r="V424" s="2689">
        <f t="shared" si="113"/>
        <v>0</v>
      </c>
      <c r="W424" s="909"/>
      <c r="X424" s="2689">
        <f t="shared" si="114"/>
        <v>0</v>
      </c>
      <c r="Y424" s="2689">
        <f t="shared" si="115"/>
        <v>0</v>
      </c>
      <c r="Z424" s="909"/>
    </row>
    <row r="425" spans="1:26">
      <c r="A425" s="31"/>
      <c r="B425" s="19"/>
      <c r="C425" s="12">
        <f t="shared" si="104"/>
        <v>1</v>
      </c>
      <c r="D425" s="578"/>
      <c r="E425" s="12">
        <f t="shared" si="105"/>
        <v>1</v>
      </c>
      <c r="F425" s="578"/>
      <c r="G425" s="12">
        <f t="shared" si="106"/>
        <v>1</v>
      </c>
      <c r="H425" s="578"/>
      <c r="I425" s="12">
        <f t="shared" si="107"/>
        <v>1</v>
      </c>
      <c r="J425" s="578"/>
      <c r="K425" s="12">
        <f t="shared" si="108"/>
        <v>1</v>
      </c>
      <c r="L425" s="578"/>
      <c r="M425" s="12">
        <f t="shared" si="109"/>
        <v>1</v>
      </c>
      <c r="N425" s="578"/>
      <c r="O425" s="12">
        <f t="shared" si="110"/>
        <v>1</v>
      </c>
      <c r="P425" s="578"/>
      <c r="Q425" s="12">
        <f t="shared" si="111"/>
        <v>1</v>
      </c>
      <c r="R425" s="12">
        <f t="shared" si="116"/>
        <v>0</v>
      </c>
      <c r="S425" s="246">
        <f t="shared" si="117"/>
        <v>0</v>
      </c>
      <c r="T425" s="821">
        <f t="shared" si="118"/>
        <v>0</v>
      </c>
      <c r="U425" s="2689">
        <f t="shared" si="112"/>
        <v>0</v>
      </c>
      <c r="V425" s="2689">
        <f t="shared" si="113"/>
        <v>0</v>
      </c>
      <c r="W425" s="909"/>
      <c r="X425" s="2689">
        <f t="shared" si="114"/>
        <v>0</v>
      </c>
      <c r="Y425" s="2689">
        <f t="shared" si="115"/>
        <v>0</v>
      </c>
      <c r="Z425" s="909"/>
    </row>
    <row r="426" spans="1:26">
      <c r="A426" s="31"/>
      <c r="B426" s="19"/>
      <c r="C426" s="12">
        <f t="shared" si="104"/>
        <v>1</v>
      </c>
      <c r="D426" s="578"/>
      <c r="E426" s="12">
        <f t="shared" si="105"/>
        <v>1</v>
      </c>
      <c r="F426" s="578"/>
      <c r="G426" s="12">
        <f t="shared" si="106"/>
        <v>1</v>
      </c>
      <c r="H426" s="578"/>
      <c r="I426" s="12">
        <f t="shared" si="107"/>
        <v>1</v>
      </c>
      <c r="J426" s="578"/>
      <c r="K426" s="12">
        <f t="shared" si="108"/>
        <v>1</v>
      </c>
      <c r="L426" s="578"/>
      <c r="M426" s="12">
        <f t="shared" si="109"/>
        <v>1</v>
      </c>
      <c r="N426" s="578"/>
      <c r="O426" s="12">
        <f t="shared" si="110"/>
        <v>1</v>
      </c>
      <c r="P426" s="578"/>
      <c r="Q426" s="12">
        <f t="shared" si="111"/>
        <v>1</v>
      </c>
      <c r="R426" s="12">
        <f t="shared" si="116"/>
        <v>0</v>
      </c>
      <c r="S426" s="246">
        <f t="shared" si="117"/>
        <v>0</v>
      </c>
      <c r="T426" s="821">
        <f t="shared" si="118"/>
        <v>0</v>
      </c>
      <c r="U426" s="2689">
        <f t="shared" si="112"/>
        <v>0</v>
      </c>
      <c r="V426" s="2689">
        <f t="shared" si="113"/>
        <v>0</v>
      </c>
      <c r="W426" s="909"/>
      <c r="X426" s="2689">
        <f t="shared" si="114"/>
        <v>0</v>
      </c>
      <c r="Y426" s="2689">
        <f t="shared" si="115"/>
        <v>0</v>
      </c>
      <c r="Z426" s="909"/>
    </row>
    <row r="427" spans="1:26">
      <c r="A427" s="31"/>
      <c r="B427" s="19"/>
      <c r="C427" s="12">
        <f t="shared" si="104"/>
        <v>1</v>
      </c>
      <c r="D427" s="578"/>
      <c r="E427" s="12">
        <f t="shared" si="105"/>
        <v>1</v>
      </c>
      <c r="F427" s="578"/>
      <c r="G427" s="12">
        <f t="shared" si="106"/>
        <v>1</v>
      </c>
      <c r="H427" s="578"/>
      <c r="I427" s="12">
        <f t="shared" si="107"/>
        <v>1</v>
      </c>
      <c r="J427" s="578"/>
      <c r="K427" s="12">
        <f t="shared" si="108"/>
        <v>1</v>
      </c>
      <c r="L427" s="578"/>
      <c r="M427" s="12">
        <f t="shared" si="109"/>
        <v>1</v>
      </c>
      <c r="N427" s="578"/>
      <c r="O427" s="12">
        <f t="shared" si="110"/>
        <v>1</v>
      </c>
      <c r="P427" s="578"/>
      <c r="Q427" s="12">
        <f t="shared" si="111"/>
        <v>1</v>
      </c>
      <c r="R427" s="12">
        <f t="shared" si="116"/>
        <v>0</v>
      </c>
      <c r="S427" s="246">
        <f t="shared" si="117"/>
        <v>0</v>
      </c>
      <c r="T427" s="821">
        <f t="shared" si="118"/>
        <v>0</v>
      </c>
      <c r="U427" s="2689">
        <f t="shared" si="112"/>
        <v>0</v>
      </c>
      <c r="V427" s="2689">
        <f t="shared" si="113"/>
        <v>0</v>
      </c>
      <c r="W427" s="909"/>
      <c r="X427" s="2689">
        <f t="shared" si="114"/>
        <v>0</v>
      </c>
      <c r="Y427" s="2689">
        <f t="shared" si="115"/>
        <v>0</v>
      </c>
      <c r="Z427" s="909"/>
    </row>
    <row r="428" spans="1:26">
      <c r="A428" s="31"/>
      <c r="B428" s="19"/>
      <c r="C428" s="12">
        <f t="shared" si="104"/>
        <v>1</v>
      </c>
      <c r="D428" s="578"/>
      <c r="E428" s="12">
        <f t="shared" si="105"/>
        <v>1</v>
      </c>
      <c r="F428" s="578"/>
      <c r="G428" s="12">
        <f t="shared" si="106"/>
        <v>1</v>
      </c>
      <c r="H428" s="578"/>
      <c r="I428" s="12">
        <f t="shared" si="107"/>
        <v>1</v>
      </c>
      <c r="J428" s="578"/>
      <c r="K428" s="12">
        <f t="shared" si="108"/>
        <v>1</v>
      </c>
      <c r="L428" s="578"/>
      <c r="M428" s="12">
        <f t="shared" si="109"/>
        <v>1</v>
      </c>
      <c r="N428" s="578"/>
      <c r="O428" s="12">
        <f t="shared" si="110"/>
        <v>1</v>
      </c>
      <c r="P428" s="578"/>
      <c r="Q428" s="12">
        <f t="shared" si="111"/>
        <v>1</v>
      </c>
      <c r="R428" s="12">
        <f t="shared" si="116"/>
        <v>0</v>
      </c>
      <c r="S428" s="246">
        <f t="shared" si="117"/>
        <v>0</v>
      </c>
      <c r="T428" s="821">
        <f t="shared" si="118"/>
        <v>0</v>
      </c>
      <c r="U428" s="2689">
        <f t="shared" si="112"/>
        <v>0</v>
      </c>
      <c r="V428" s="2689">
        <f t="shared" si="113"/>
        <v>0</v>
      </c>
      <c r="W428" s="909"/>
      <c r="X428" s="2689">
        <f t="shared" si="114"/>
        <v>0</v>
      </c>
      <c r="Y428" s="2689">
        <f t="shared" si="115"/>
        <v>0</v>
      </c>
      <c r="Z428" s="909"/>
    </row>
    <row r="429" spans="1:26">
      <c r="A429" s="31"/>
      <c r="B429" s="19"/>
      <c r="C429" s="12">
        <f t="shared" si="104"/>
        <v>1</v>
      </c>
      <c r="D429" s="578"/>
      <c r="E429" s="12">
        <f t="shared" si="105"/>
        <v>1</v>
      </c>
      <c r="F429" s="578"/>
      <c r="G429" s="12">
        <f t="shared" si="106"/>
        <v>1</v>
      </c>
      <c r="H429" s="578"/>
      <c r="I429" s="12">
        <f t="shared" si="107"/>
        <v>1</v>
      </c>
      <c r="J429" s="578"/>
      <c r="K429" s="12">
        <f t="shared" si="108"/>
        <v>1</v>
      </c>
      <c r="L429" s="578"/>
      <c r="M429" s="12">
        <f t="shared" si="109"/>
        <v>1</v>
      </c>
      <c r="N429" s="578"/>
      <c r="O429" s="12">
        <f t="shared" si="110"/>
        <v>1</v>
      </c>
      <c r="P429" s="578"/>
      <c r="Q429" s="12">
        <f t="shared" si="111"/>
        <v>1</v>
      </c>
      <c r="R429" s="12">
        <f t="shared" si="116"/>
        <v>0</v>
      </c>
      <c r="S429" s="246">
        <f t="shared" si="117"/>
        <v>0</v>
      </c>
      <c r="T429" s="821">
        <f t="shared" si="118"/>
        <v>0</v>
      </c>
      <c r="U429" s="2689">
        <f t="shared" si="112"/>
        <v>0</v>
      </c>
      <c r="V429" s="2689">
        <f t="shared" si="113"/>
        <v>0</v>
      </c>
      <c r="W429" s="909"/>
      <c r="X429" s="2689">
        <f t="shared" si="114"/>
        <v>0</v>
      </c>
      <c r="Y429" s="2689">
        <f t="shared" si="115"/>
        <v>0</v>
      </c>
      <c r="Z429" s="909"/>
    </row>
    <row r="430" spans="1:26">
      <c r="A430" s="31"/>
      <c r="B430" s="19"/>
      <c r="C430" s="12">
        <f t="shared" si="104"/>
        <v>1</v>
      </c>
      <c r="D430" s="578"/>
      <c r="E430" s="12">
        <f t="shared" si="105"/>
        <v>1</v>
      </c>
      <c r="F430" s="578"/>
      <c r="G430" s="12">
        <f t="shared" si="106"/>
        <v>1</v>
      </c>
      <c r="H430" s="578"/>
      <c r="I430" s="12">
        <f t="shared" si="107"/>
        <v>1</v>
      </c>
      <c r="J430" s="578"/>
      <c r="K430" s="12">
        <f t="shared" si="108"/>
        <v>1</v>
      </c>
      <c r="L430" s="578"/>
      <c r="M430" s="12">
        <f t="shared" si="109"/>
        <v>1</v>
      </c>
      <c r="N430" s="578"/>
      <c r="O430" s="12">
        <f t="shared" si="110"/>
        <v>1</v>
      </c>
      <c r="P430" s="578"/>
      <c r="Q430" s="12">
        <f t="shared" si="111"/>
        <v>1</v>
      </c>
      <c r="R430" s="12">
        <f t="shared" si="116"/>
        <v>0</v>
      </c>
      <c r="S430" s="246">
        <f t="shared" si="117"/>
        <v>0</v>
      </c>
      <c r="T430" s="821">
        <f t="shared" si="118"/>
        <v>0</v>
      </c>
      <c r="U430" s="2689">
        <f t="shared" si="112"/>
        <v>0</v>
      </c>
      <c r="V430" s="2689">
        <f t="shared" si="113"/>
        <v>0</v>
      </c>
      <c r="W430" s="909"/>
      <c r="X430" s="2689">
        <f t="shared" si="114"/>
        <v>0</v>
      </c>
      <c r="Y430" s="2689">
        <f t="shared" si="115"/>
        <v>0</v>
      </c>
      <c r="Z430" s="909"/>
    </row>
    <row r="431" spans="1:26">
      <c r="A431" s="31"/>
      <c r="B431" s="19"/>
      <c r="C431" s="12">
        <f t="shared" si="104"/>
        <v>1</v>
      </c>
      <c r="D431" s="578"/>
      <c r="E431" s="12">
        <f t="shared" si="105"/>
        <v>1</v>
      </c>
      <c r="F431" s="578"/>
      <c r="G431" s="12">
        <f t="shared" si="106"/>
        <v>1</v>
      </c>
      <c r="H431" s="578"/>
      <c r="I431" s="12">
        <f t="shared" si="107"/>
        <v>1</v>
      </c>
      <c r="J431" s="578"/>
      <c r="K431" s="12">
        <f t="shared" si="108"/>
        <v>1</v>
      </c>
      <c r="L431" s="578"/>
      <c r="M431" s="12">
        <f t="shared" si="109"/>
        <v>1</v>
      </c>
      <c r="N431" s="578"/>
      <c r="O431" s="12">
        <f t="shared" si="110"/>
        <v>1</v>
      </c>
      <c r="P431" s="578"/>
      <c r="Q431" s="12">
        <f t="shared" si="111"/>
        <v>1</v>
      </c>
      <c r="R431" s="12">
        <f t="shared" si="116"/>
        <v>0</v>
      </c>
      <c r="S431" s="246">
        <f t="shared" si="117"/>
        <v>0</v>
      </c>
      <c r="T431" s="821">
        <f t="shared" si="118"/>
        <v>0</v>
      </c>
      <c r="U431" s="2689">
        <f t="shared" si="112"/>
        <v>0</v>
      </c>
      <c r="V431" s="2689">
        <f t="shared" si="113"/>
        <v>0</v>
      </c>
      <c r="W431" s="909"/>
      <c r="X431" s="2689">
        <f t="shared" si="114"/>
        <v>0</v>
      </c>
      <c r="Y431" s="2689">
        <f t="shared" si="115"/>
        <v>0</v>
      </c>
      <c r="Z431" s="909"/>
    </row>
    <row r="432" spans="1:26">
      <c r="A432" s="31"/>
      <c r="B432" s="19"/>
      <c r="C432" s="12">
        <f t="shared" si="104"/>
        <v>1</v>
      </c>
      <c r="D432" s="578"/>
      <c r="E432" s="12">
        <f t="shared" si="105"/>
        <v>1</v>
      </c>
      <c r="F432" s="578"/>
      <c r="G432" s="12">
        <f t="shared" si="106"/>
        <v>1</v>
      </c>
      <c r="H432" s="578"/>
      <c r="I432" s="12">
        <f t="shared" si="107"/>
        <v>1</v>
      </c>
      <c r="J432" s="578"/>
      <c r="K432" s="12">
        <f t="shared" si="108"/>
        <v>1</v>
      </c>
      <c r="L432" s="578"/>
      <c r="M432" s="12">
        <f t="shared" si="109"/>
        <v>1</v>
      </c>
      <c r="N432" s="578"/>
      <c r="O432" s="12">
        <f t="shared" si="110"/>
        <v>1</v>
      </c>
      <c r="P432" s="578"/>
      <c r="Q432" s="12">
        <f t="shared" si="111"/>
        <v>1</v>
      </c>
      <c r="R432" s="12">
        <f t="shared" si="116"/>
        <v>0</v>
      </c>
      <c r="S432" s="246">
        <f t="shared" si="117"/>
        <v>0</v>
      </c>
      <c r="T432" s="821">
        <f t="shared" si="118"/>
        <v>0</v>
      </c>
      <c r="U432" s="2689">
        <f t="shared" si="112"/>
        <v>0</v>
      </c>
      <c r="V432" s="2689">
        <f t="shared" si="113"/>
        <v>0</v>
      </c>
      <c r="W432" s="909"/>
      <c r="X432" s="2689">
        <f t="shared" si="114"/>
        <v>0</v>
      </c>
      <c r="Y432" s="2689">
        <f t="shared" si="115"/>
        <v>0</v>
      </c>
      <c r="Z432" s="909"/>
    </row>
    <row r="433" spans="1:26">
      <c r="A433" s="31"/>
      <c r="B433" s="19"/>
      <c r="C433" s="12">
        <f t="shared" si="104"/>
        <v>1</v>
      </c>
      <c r="D433" s="578"/>
      <c r="E433" s="12">
        <f t="shared" si="105"/>
        <v>1</v>
      </c>
      <c r="F433" s="578"/>
      <c r="G433" s="12">
        <f t="shared" si="106"/>
        <v>1</v>
      </c>
      <c r="H433" s="578"/>
      <c r="I433" s="12">
        <f t="shared" si="107"/>
        <v>1</v>
      </c>
      <c r="J433" s="578"/>
      <c r="K433" s="12">
        <f t="shared" si="108"/>
        <v>1</v>
      </c>
      <c r="L433" s="578"/>
      <c r="M433" s="12">
        <f t="shared" si="109"/>
        <v>1</v>
      </c>
      <c r="N433" s="578"/>
      <c r="O433" s="12">
        <f t="shared" si="110"/>
        <v>1</v>
      </c>
      <c r="P433" s="578"/>
      <c r="Q433" s="12">
        <f t="shared" si="111"/>
        <v>1</v>
      </c>
      <c r="R433" s="12">
        <f t="shared" si="116"/>
        <v>0</v>
      </c>
      <c r="S433" s="246">
        <f t="shared" si="117"/>
        <v>0</v>
      </c>
      <c r="T433" s="821">
        <f t="shared" si="118"/>
        <v>0</v>
      </c>
      <c r="U433" s="2689">
        <f t="shared" si="112"/>
        <v>0</v>
      </c>
      <c r="V433" s="2689">
        <f t="shared" si="113"/>
        <v>0</v>
      </c>
      <c r="W433" s="909"/>
      <c r="X433" s="2689">
        <f t="shared" si="114"/>
        <v>0</v>
      </c>
      <c r="Y433" s="2689">
        <f t="shared" si="115"/>
        <v>0</v>
      </c>
      <c r="Z433" s="909"/>
    </row>
    <row r="434" spans="1:26">
      <c r="A434" s="31"/>
      <c r="B434" s="19"/>
      <c r="C434" s="12">
        <f t="shared" si="104"/>
        <v>1</v>
      </c>
      <c r="D434" s="578"/>
      <c r="E434" s="12">
        <f t="shared" si="105"/>
        <v>1</v>
      </c>
      <c r="F434" s="578"/>
      <c r="G434" s="12">
        <f t="shared" si="106"/>
        <v>1</v>
      </c>
      <c r="H434" s="578"/>
      <c r="I434" s="12">
        <f t="shared" si="107"/>
        <v>1</v>
      </c>
      <c r="J434" s="578"/>
      <c r="K434" s="12">
        <f t="shared" si="108"/>
        <v>1</v>
      </c>
      <c r="L434" s="578"/>
      <c r="M434" s="12">
        <f t="shared" si="109"/>
        <v>1</v>
      </c>
      <c r="N434" s="578"/>
      <c r="O434" s="12">
        <f t="shared" si="110"/>
        <v>1</v>
      </c>
      <c r="P434" s="578"/>
      <c r="Q434" s="12">
        <f t="shared" si="111"/>
        <v>1</v>
      </c>
      <c r="R434" s="12">
        <f t="shared" si="116"/>
        <v>0</v>
      </c>
      <c r="S434" s="246">
        <f t="shared" si="117"/>
        <v>0</v>
      </c>
      <c r="T434" s="821">
        <f t="shared" si="118"/>
        <v>0</v>
      </c>
      <c r="U434" s="2689">
        <f t="shared" si="112"/>
        <v>0</v>
      </c>
      <c r="V434" s="2689">
        <f t="shared" si="113"/>
        <v>0</v>
      </c>
      <c r="W434" s="909"/>
      <c r="X434" s="2689">
        <f t="shared" si="114"/>
        <v>0</v>
      </c>
      <c r="Y434" s="2689">
        <f t="shared" si="115"/>
        <v>0</v>
      </c>
      <c r="Z434" s="909"/>
    </row>
    <row r="435" spans="1:26">
      <c r="A435" s="31"/>
      <c r="B435" s="19"/>
      <c r="C435" s="12">
        <f t="shared" si="104"/>
        <v>1</v>
      </c>
      <c r="D435" s="578"/>
      <c r="E435" s="12">
        <f t="shared" si="105"/>
        <v>1</v>
      </c>
      <c r="F435" s="578"/>
      <c r="G435" s="12">
        <f t="shared" si="106"/>
        <v>1</v>
      </c>
      <c r="H435" s="578"/>
      <c r="I435" s="12">
        <f t="shared" si="107"/>
        <v>1</v>
      </c>
      <c r="J435" s="578"/>
      <c r="K435" s="12">
        <f t="shared" si="108"/>
        <v>1</v>
      </c>
      <c r="L435" s="578"/>
      <c r="M435" s="12">
        <f t="shared" si="109"/>
        <v>1</v>
      </c>
      <c r="N435" s="578"/>
      <c r="O435" s="12">
        <f t="shared" si="110"/>
        <v>1</v>
      </c>
      <c r="P435" s="578"/>
      <c r="Q435" s="12">
        <f t="shared" si="111"/>
        <v>1</v>
      </c>
      <c r="R435" s="12">
        <f t="shared" si="116"/>
        <v>0</v>
      </c>
      <c r="S435" s="246">
        <f t="shared" si="117"/>
        <v>0</v>
      </c>
      <c r="T435" s="821">
        <f t="shared" si="118"/>
        <v>0</v>
      </c>
      <c r="U435" s="2689">
        <f t="shared" si="112"/>
        <v>0</v>
      </c>
      <c r="V435" s="2689">
        <f t="shared" si="113"/>
        <v>0</v>
      </c>
      <c r="W435" s="909"/>
      <c r="X435" s="2689">
        <f t="shared" si="114"/>
        <v>0</v>
      </c>
      <c r="Y435" s="2689">
        <f t="shared" si="115"/>
        <v>0</v>
      </c>
      <c r="Z435" s="909"/>
    </row>
    <row r="436" spans="1:26">
      <c r="A436" s="31"/>
      <c r="B436" s="19"/>
      <c r="C436" s="12">
        <f t="shared" si="104"/>
        <v>1</v>
      </c>
      <c r="D436" s="578"/>
      <c r="E436" s="12">
        <f t="shared" si="105"/>
        <v>1</v>
      </c>
      <c r="F436" s="578"/>
      <c r="G436" s="12">
        <f t="shared" si="106"/>
        <v>1</v>
      </c>
      <c r="H436" s="578"/>
      <c r="I436" s="12">
        <f t="shared" si="107"/>
        <v>1</v>
      </c>
      <c r="J436" s="578"/>
      <c r="K436" s="12">
        <f t="shared" si="108"/>
        <v>1</v>
      </c>
      <c r="L436" s="578"/>
      <c r="M436" s="12">
        <f t="shared" si="109"/>
        <v>1</v>
      </c>
      <c r="N436" s="578"/>
      <c r="O436" s="12">
        <f t="shared" si="110"/>
        <v>1</v>
      </c>
      <c r="P436" s="578"/>
      <c r="Q436" s="12">
        <f t="shared" si="111"/>
        <v>1</v>
      </c>
      <c r="R436" s="12">
        <f t="shared" si="116"/>
        <v>0</v>
      </c>
      <c r="S436" s="246">
        <f t="shared" si="117"/>
        <v>0</v>
      </c>
      <c r="T436" s="821">
        <f t="shared" si="118"/>
        <v>0</v>
      </c>
      <c r="U436" s="2689">
        <f t="shared" si="112"/>
        <v>0</v>
      </c>
      <c r="V436" s="2689">
        <f t="shared" si="113"/>
        <v>0</v>
      </c>
      <c r="W436" s="909"/>
      <c r="X436" s="2689">
        <f t="shared" si="114"/>
        <v>0</v>
      </c>
      <c r="Y436" s="2689">
        <f t="shared" si="115"/>
        <v>0</v>
      </c>
      <c r="Z436" s="909"/>
    </row>
    <row r="437" spans="1:26">
      <c r="A437" s="31"/>
      <c r="B437" s="19"/>
      <c r="C437" s="12">
        <f t="shared" si="104"/>
        <v>1</v>
      </c>
      <c r="D437" s="578"/>
      <c r="E437" s="12">
        <f t="shared" si="105"/>
        <v>1</v>
      </c>
      <c r="F437" s="578"/>
      <c r="G437" s="12">
        <f t="shared" si="106"/>
        <v>1</v>
      </c>
      <c r="H437" s="578"/>
      <c r="I437" s="12">
        <f t="shared" si="107"/>
        <v>1</v>
      </c>
      <c r="J437" s="578"/>
      <c r="K437" s="12">
        <f t="shared" si="108"/>
        <v>1</v>
      </c>
      <c r="L437" s="578"/>
      <c r="M437" s="12">
        <f t="shared" si="109"/>
        <v>1</v>
      </c>
      <c r="N437" s="578"/>
      <c r="O437" s="12">
        <f t="shared" si="110"/>
        <v>1</v>
      </c>
      <c r="P437" s="578"/>
      <c r="Q437" s="12">
        <f t="shared" si="111"/>
        <v>1</v>
      </c>
      <c r="R437" s="12">
        <f t="shared" si="116"/>
        <v>0</v>
      </c>
      <c r="S437" s="246">
        <f t="shared" si="117"/>
        <v>0</v>
      </c>
      <c r="T437" s="821">
        <f t="shared" si="118"/>
        <v>0</v>
      </c>
      <c r="U437" s="2689">
        <f t="shared" si="112"/>
        <v>0</v>
      </c>
      <c r="V437" s="2689">
        <f t="shared" si="113"/>
        <v>0</v>
      </c>
      <c r="W437" s="909"/>
      <c r="X437" s="2689">
        <f t="shared" si="114"/>
        <v>0</v>
      </c>
      <c r="Y437" s="2689">
        <f t="shared" si="115"/>
        <v>0</v>
      </c>
      <c r="Z437" s="909"/>
    </row>
    <row r="438" spans="1:26">
      <c r="A438" s="31"/>
      <c r="B438" s="19"/>
      <c r="C438" s="12">
        <f t="shared" si="104"/>
        <v>1</v>
      </c>
      <c r="D438" s="578"/>
      <c r="E438" s="12">
        <f t="shared" si="105"/>
        <v>1</v>
      </c>
      <c r="F438" s="578"/>
      <c r="G438" s="12">
        <f t="shared" si="106"/>
        <v>1</v>
      </c>
      <c r="H438" s="578"/>
      <c r="I438" s="12">
        <f t="shared" si="107"/>
        <v>1</v>
      </c>
      <c r="J438" s="578"/>
      <c r="K438" s="12">
        <f t="shared" si="108"/>
        <v>1</v>
      </c>
      <c r="L438" s="578"/>
      <c r="M438" s="12">
        <f t="shared" si="109"/>
        <v>1</v>
      </c>
      <c r="N438" s="578"/>
      <c r="O438" s="12">
        <f t="shared" si="110"/>
        <v>1</v>
      </c>
      <c r="P438" s="578"/>
      <c r="Q438" s="12">
        <f t="shared" si="111"/>
        <v>1</v>
      </c>
      <c r="R438" s="12">
        <f t="shared" si="116"/>
        <v>0</v>
      </c>
      <c r="S438" s="246">
        <f t="shared" si="117"/>
        <v>0</v>
      </c>
      <c r="T438" s="821">
        <f t="shared" si="118"/>
        <v>0</v>
      </c>
      <c r="U438" s="2689">
        <f t="shared" si="112"/>
        <v>0</v>
      </c>
      <c r="V438" s="2689">
        <f t="shared" si="113"/>
        <v>0</v>
      </c>
      <c r="W438" s="909"/>
      <c r="X438" s="2689">
        <f t="shared" si="114"/>
        <v>0</v>
      </c>
      <c r="Y438" s="2689">
        <f t="shared" si="115"/>
        <v>0</v>
      </c>
      <c r="Z438" s="909"/>
    </row>
    <row r="439" spans="1:26">
      <c r="A439" s="31"/>
      <c r="B439" s="19"/>
      <c r="C439" s="12">
        <f t="shared" si="104"/>
        <v>1</v>
      </c>
      <c r="D439" s="578"/>
      <c r="E439" s="12">
        <f t="shared" si="105"/>
        <v>1</v>
      </c>
      <c r="F439" s="578"/>
      <c r="G439" s="12">
        <f t="shared" si="106"/>
        <v>1</v>
      </c>
      <c r="H439" s="578"/>
      <c r="I439" s="12">
        <f t="shared" si="107"/>
        <v>1</v>
      </c>
      <c r="J439" s="578"/>
      <c r="K439" s="12">
        <f t="shared" si="108"/>
        <v>1</v>
      </c>
      <c r="L439" s="578"/>
      <c r="M439" s="12">
        <f t="shared" si="109"/>
        <v>1</v>
      </c>
      <c r="N439" s="578"/>
      <c r="O439" s="12">
        <f t="shared" si="110"/>
        <v>1</v>
      </c>
      <c r="P439" s="578"/>
      <c r="Q439" s="12">
        <f t="shared" si="111"/>
        <v>1</v>
      </c>
      <c r="R439" s="12">
        <f t="shared" si="116"/>
        <v>0</v>
      </c>
      <c r="S439" s="246">
        <f t="shared" si="117"/>
        <v>0</v>
      </c>
      <c r="T439" s="821">
        <f t="shared" si="118"/>
        <v>0</v>
      </c>
      <c r="U439" s="2689">
        <f t="shared" si="112"/>
        <v>0</v>
      </c>
      <c r="V439" s="2689">
        <f t="shared" si="113"/>
        <v>0</v>
      </c>
      <c r="W439" s="909"/>
      <c r="X439" s="2689">
        <f t="shared" si="114"/>
        <v>0</v>
      </c>
      <c r="Y439" s="2689">
        <f t="shared" si="115"/>
        <v>0</v>
      </c>
      <c r="Z439" s="909"/>
    </row>
    <row r="440" spans="1:26">
      <c r="A440" s="31"/>
      <c r="B440" s="19"/>
      <c r="C440" s="12">
        <f t="shared" si="104"/>
        <v>1</v>
      </c>
      <c r="D440" s="578"/>
      <c r="E440" s="12">
        <f t="shared" si="105"/>
        <v>1</v>
      </c>
      <c r="F440" s="578"/>
      <c r="G440" s="12">
        <f t="shared" si="106"/>
        <v>1</v>
      </c>
      <c r="H440" s="578"/>
      <c r="I440" s="12">
        <f t="shared" si="107"/>
        <v>1</v>
      </c>
      <c r="J440" s="578"/>
      <c r="K440" s="12">
        <f t="shared" si="108"/>
        <v>1</v>
      </c>
      <c r="L440" s="578"/>
      <c r="M440" s="12">
        <f t="shared" si="109"/>
        <v>1</v>
      </c>
      <c r="N440" s="578"/>
      <c r="O440" s="12">
        <f t="shared" si="110"/>
        <v>1</v>
      </c>
      <c r="P440" s="578"/>
      <c r="Q440" s="12">
        <f t="shared" si="111"/>
        <v>1</v>
      </c>
      <c r="R440" s="12">
        <f t="shared" si="116"/>
        <v>0</v>
      </c>
      <c r="S440" s="246">
        <f t="shared" si="117"/>
        <v>0</v>
      </c>
      <c r="T440" s="821">
        <f t="shared" si="118"/>
        <v>0</v>
      </c>
      <c r="U440" s="2689">
        <f t="shared" si="112"/>
        <v>0</v>
      </c>
      <c r="V440" s="2689">
        <f t="shared" si="113"/>
        <v>0</v>
      </c>
      <c r="W440" s="909"/>
      <c r="X440" s="2689">
        <f t="shared" si="114"/>
        <v>0</v>
      </c>
      <c r="Y440" s="2689">
        <f t="shared" si="115"/>
        <v>0</v>
      </c>
      <c r="Z440" s="909"/>
    </row>
    <row r="441" spans="1:26">
      <c r="A441" s="31"/>
      <c r="B441" s="19"/>
      <c r="C441" s="12">
        <f t="shared" si="104"/>
        <v>1</v>
      </c>
      <c r="D441" s="578"/>
      <c r="E441" s="12">
        <f t="shared" si="105"/>
        <v>1</v>
      </c>
      <c r="F441" s="578"/>
      <c r="G441" s="12">
        <f t="shared" si="106"/>
        <v>1</v>
      </c>
      <c r="H441" s="578"/>
      <c r="I441" s="12">
        <f t="shared" si="107"/>
        <v>1</v>
      </c>
      <c r="J441" s="578"/>
      <c r="K441" s="12">
        <f t="shared" si="108"/>
        <v>1</v>
      </c>
      <c r="L441" s="578"/>
      <c r="M441" s="12">
        <f t="shared" si="109"/>
        <v>1</v>
      </c>
      <c r="N441" s="578"/>
      <c r="O441" s="12">
        <f t="shared" si="110"/>
        <v>1</v>
      </c>
      <c r="P441" s="578"/>
      <c r="Q441" s="12">
        <f t="shared" si="111"/>
        <v>1</v>
      </c>
      <c r="R441" s="12">
        <f t="shared" si="116"/>
        <v>0</v>
      </c>
      <c r="S441" s="246">
        <f t="shared" si="117"/>
        <v>0</v>
      </c>
      <c r="T441" s="821">
        <f t="shared" si="118"/>
        <v>0</v>
      </c>
      <c r="U441" s="2689">
        <f t="shared" si="112"/>
        <v>0</v>
      </c>
      <c r="V441" s="2689">
        <f t="shared" si="113"/>
        <v>0</v>
      </c>
      <c r="W441" s="909"/>
      <c r="X441" s="2689">
        <f t="shared" si="114"/>
        <v>0</v>
      </c>
      <c r="Y441" s="2689">
        <f t="shared" si="115"/>
        <v>0</v>
      </c>
      <c r="Z441" s="909"/>
    </row>
    <row r="442" spans="1:26">
      <c r="A442" s="31"/>
      <c r="B442" s="19"/>
      <c r="C442" s="12">
        <f t="shared" si="104"/>
        <v>1</v>
      </c>
      <c r="D442" s="578"/>
      <c r="E442" s="12">
        <f t="shared" si="105"/>
        <v>1</v>
      </c>
      <c r="F442" s="578"/>
      <c r="G442" s="12">
        <f t="shared" si="106"/>
        <v>1</v>
      </c>
      <c r="H442" s="578"/>
      <c r="I442" s="12">
        <f t="shared" si="107"/>
        <v>1</v>
      </c>
      <c r="J442" s="578"/>
      <c r="K442" s="12">
        <f t="shared" si="108"/>
        <v>1</v>
      </c>
      <c r="L442" s="578"/>
      <c r="M442" s="12">
        <f t="shared" si="109"/>
        <v>1</v>
      </c>
      <c r="N442" s="578"/>
      <c r="O442" s="12">
        <f t="shared" si="110"/>
        <v>1</v>
      </c>
      <c r="P442" s="578"/>
      <c r="Q442" s="12">
        <f t="shared" si="111"/>
        <v>1</v>
      </c>
      <c r="R442" s="12">
        <f t="shared" si="116"/>
        <v>0</v>
      </c>
      <c r="S442" s="246">
        <f t="shared" si="117"/>
        <v>0</v>
      </c>
      <c r="T442" s="821">
        <f t="shared" si="118"/>
        <v>0</v>
      </c>
      <c r="U442" s="2689">
        <f t="shared" si="112"/>
        <v>0</v>
      </c>
      <c r="V442" s="2689">
        <f t="shared" si="113"/>
        <v>0</v>
      </c>
      <c r="W442" s="909"/>
      <c r="X442" s="2689">
        <f t="shared" si="114"/>
        <v>0</v>
      </c>
      <c r="Y442" s="2689">
        <f t="shared" si="115"/>
        <v>0</v>
      </c>
      <c r="Z442" s="909"/>
    </row>
    <row r="443" spans="1:26">
      <c r="A443" s="31"/>
      <c r="B443" s="19"/>
      <c r="C443" s="12">
        <f t="shared" si="104"/>
        <v>1</v>
      </c>
      <c r="D443" s="578"/>
      <c r="E443" s="12">
        <f t="shared" si="105"/>
        <v>1</v>
      </c>
      <c r="F443" s="578"/>
      <c r="G443" s="12">
        <f t="shared" si="106"/>
        <v>1</v>
      </c>
      <c r="H443" s="578"/>
      <c r="I443" s="12">
        <f t="shared" si="107"/>
        <v>1</v>
      </c>
      <c r="J443" s="578"/>
      <c r="K443" s="12">
        <f t="shared" si="108"/>
        <v>1</v>
      </c>
      <c r="L443" s="578"/>
      <c r="M443" s="12">
        <f t="shared" si="109"/>
        <v>1</v>
      </c>
      <c r="N443" s="578"/>
      <c r="O443" s="12">
        <f t="shared" si="110"/>
        <v>1</v>
      </c>
      <c r="P443" s="578"/>
      <c r="Q443" s="12">
        <f t="shared" si="111"/>
        <v>1</v>
      </c>
      <c r="R443" s="12">
        <f t="shared" si="116"/>
        <v>0</v>
      </c>
      <c r="S443" s="246">
        <f t="shared" si="117"/>
        <v>0</v>
      </c>
      <c r="T443" s="821">
        <f t="shared" si="118"/>
        <v>0</v>
      </c>
      <c r="U443" s="2689">
        <f t="shared" si="112"/>
        <v>0</v>
      </c>
      <c r="V443" s="2689">
        <f t="shared" si="113"/>
        <v>0</v>
      </c>
      <c r="W443" s="909"/>
      <c r="X443" s="2689">
        <f t="shared" si="114"/>
        <v>0</v>
      </c>
      <c r="Y443" s="2689">
        <f t="shared" si="115"/>
        <v>0</v>
      </c>
      <c r="Z443" s="909"/>
    </row>
    <row r="444" spans="1:26">
      <c r="A444" s="31"/>
      <c r="B444" s="19"/>
      <c r="C444" s="12">
        <f t="shared" si="104"/>
        <v>1</v>
      </c>
      <c r="D444" s="578"/>
      <c r="E444" s="12">
        <f t="shared" si="105"/>
        <v>1</v>
      </c>
      <c r="F444" s="578"/>
      <c r="G444" s="12">
        <f t="shared" si="106"/>
        <v>1</v>
      </c>
      <c r="H444" s="578"/>
      <c r="I444" s="12">
        <f t="shared" si="107"/>
        <v>1</v>
      </c>
      <c r="J444" s="578"/>
      <c r="K444" s="12">
        <f t="shared" si="108"/>
        <v>1</v>
      </c>
      <c r="L444" s="578"/>
      <c r="M444" s="12">
        <f t="shared" si="109"/>
        <v>1</v>
      </c>
      <c r="N444" s="578"/>
      <c r="O444" s="12">
        <f t="shared" si="110"/>
        <v>1</v>
      </c>
      <c r="P444" s="578"/>
      <c r="Q444" s="12">
        <f t="shared" si="111"/>
        <v>1</v>
      </c>
      <c r="R444" s="12">
        <f t="shared" si="116"/>
        <v>0</v>
      </c>
      <c r="S444" s="246">
        <f t="shared" si="117"/>
        <v>0</v>
      </c>
      <c r="T444" s="821">
        <f t="shared" si="118"/>
        <v>0</v>
      </c>
      <c r="U444" s="2689">
        <f t="shared" si="112"/>
        <v>0</v>
      </c>
      <c r="V444" s="2689">
        <f t="shared" si="113"/>
        <v>0</v>
      </c>
      <c r="W444" s="909"/>
      <c r="X444" s="2689">
        <f t="shared" si="114"/>
        <v>0</v>
      </c>
      <c r="Y444" s="2689">
        <f t="shared" si="115"/>
        <v>0</v>
      </c>
      <c r="Z444" s="909"/>
    </row>
    <row r="445" spans="1:26">
      <c r="A445" s="31"/>
      <c r="B445" s="19"/>
      <c r="C445" s="12">
        <f t="shared" si="104"/>
        <v>1</v>
      </c>
      <c r="D445" s="578"/>
      <c r="E445" s="12">
        <f t="shared" si="105"/>
        <v>1</v>
      </c>
      <c r="F445" s="578"/>
      <c r="G445" s="12">
        <f t="shared" si="106"/>
        <v>1</v>
      </c>
      <c r="H445" s="578"/>
      <c r="I445" s="12">
        <f t="shared" si="107"/>
        <v>1</v>
      </c>
      <c r="J445" s="578"/>
      <c r="K445" s="12">
        <f t="shared" si="108"/>
        <v>1</v>
      </c>
      <c r="L445" s="578"/>
      <c r="M445" s="12">
        <f t="shared" si="109"/>
        <v>1</v>
      </c>
      <c r="N445" s="578"/>
      <c r="O445" s="12">
        <f t="shared" si="110"/>
        <v>1</v>
      </c>
      <c r="P445" s="578"/>
      <c r="Q445" s="12">
        <f t="shared" si="111"/>
        <v>1</v>
      </c>
      <c r="R445" s="12">
        <f t="shared" si="116"/>
        <v>0</v>
      </c>
      <c r="S445" s="246">
        <f t="shared" si="117"/>
        <v>0</v>
      </c>
      <c r="T445" s="821">
        <f t="shared" si="118"/>
        <v>0</v>
      </c>
      <c r="U445" s="2689">
        <f t="shared" si="112"/>
        <v>0</v>
      </c>
      <c r="V445" s="2689">
        <f t="shared" si="113"/>
        <v>0</v>
      </c>
      <c r="W445" s="909"/>
      <c r="X445" s="2689">
        <f t="shared" si="114"/>
        <v>0</v>
      </c>
      <c r="Y445" s="2689">
        <f t="shared" si="115"/>
        <v>0</v>
      </c>
      <c r="Z445" s="909"/>
    </row>
    <row r="446" spans="1:26">
      <c r="A446" s="31"/>
      <c r="B446" s="19"/>
      <c r="C446" s="12">
        <f t="shared" si="104"/>
        <v>1</v>
      </c>
      <c r="D446" s="578"/>
      <c r="E446" s="12">
        <f t="shared" si="105"/>
        <v>1</v>
      </c>
      <c r="F446" s="578"/>
      <c r="G446" s="12">
        <f t="shared" si="106"/>
        <v>1</v>
      </c>
      <c r="H446" s="578"/>
      <c r="I446" s="12">
        <f t="shared" si="107"/>
        <v>1</v>
      </c>
      <c r="J446" s="578"/>
      <c r="K446" s="12">
        <f t="shared" si="108"/>
        <v>1</v>
      </c>
      <c r="L446" s="578"/>
      <c r="M446" s="12">
        <f t="shared" si="109"/>
        <v>1</v>
      </c>
      <c r="N446" s="578"/>
      <c r="O446" s="12">
        <f t="shared" si="110"/>
        <v>1</v>
      </c>
      <c r="P446" s="578"/>
      <c r="Q446" s="12">
        <f t="shared" si="111"/>
        <v>1</v>
      </c>
      <c r="R446" s="12">
        <f t="shared" si="116"/>
        <v>0</v>
      </c>
      <c r="S446" s="246">
        <f t="shared" si="117"/>
        <v>0</v>
      </c>
      <c r="T446" s="821">
        <f t="shared" si="118"/>
        <v>0</v>
      </c>
      <c r="U446" s="2689">
        <f t="shared" si="112"/>
        <v>0</v>
      </c>
      <c r="V446" s="2689">
        <f t="shared" si="113"/>
        <v>0</v>
      </c>
      <c r="W446" s="909"/>
      <c r="X446" s="2689">
        <f t="shared" si="114"/>
        <v>0</v>
      </c>
      <c r="Y446" s="2689">
        <f t="shared" si="115"/>
        <v>0</v>
      </c>
      <c r="Z446" s="909"/>
    </row>
    <row r="447" spans="1:26">
      <c r="A447" s="31"/>
      <c r="B447" s="19"/>
      <c r="C447" s="12">
        <f t="shared" si="104"/>
        <v>1</v>
      </c>
      <c r="D447" s="578"/>
      <c r="E447" s="12">
        <f t="shared" si="105"/>
        <v>1</v>
      </c>
      <c r="F447" s="578"/>
      <c r="G447" s="12">
        <f t="shared" si="106"/>
        <v>1</v>
      </c>
      <c r="H447" s="578"/>
      <c r="I447" s="12">
        <f t="shared" si="107"/>
        <v>1</v>
      </c>
      <c r="J447" s="578"/>
      <c r="K447" s="12">
        <f t="shared" si="108"/>
        <v>1</v>
      </c>
      <c r="L447" s="578"/>
      <c r="M447" s="12">
        <f t="shared" si="109"/>
        <v>1</v>
      </c>
      <c r="N447" s="578"/>
      <c r="O447" s="12">
        <f t="shared" si="110"/>
        <v>1</v>
      </c>
      <c r="P447" s="578"/>
      <c r="Q447" s="12">
        <f t="shared" si="111"/>
        <v>1</v>
      </c>
      <c r="R447" s="12">
        <f t="shared" si="116"/>
        <v>0</v>
      </c>
      <c r="S447" s="246">
        <f t="shared" si="117"/>
        <v>0</v>
      </c>
      <c r="T447" s="821">
        <f t="shared" si="118"/>
        <v>0</v>
      </c>
      <c r="U447" s="2689">
        <f t="shared" si="112"/>
        <v>0</v>
      </c>
      <c r="V447" s="2689">
        <f t="shared" si="113"/>
        <v>0</v>
      </c>
      <c r="W447" s="909"/>
      <c r="X447" s="2689">
        <f t="shared" si="114"/>
        <v>0</v>
      </c>
      <c r="Y447" s="2689">
        <f t="shared" si="115"/>
        <v>0</v>
      </c>
      <c r="Z447" s="909"/>
    </row>
    <row r="448" spans="1:26">
      <c r="A448" s="31"/>
      <c r="B448" s="19"/>
      <c r="C448" s="12">
        <f t="shared" si="104"/>
        <v>1</v>
      </c>
      <c r="D448" s="578"/>
      <c r="E448" s="12">
        <f t="shared" si="105"/>
        <v>1</v>
      </c>
      <c r="F448" s="578"/>
      <c r="G448" s="12">
        <f t="shared" si="106"/>
        <v>1</v>
      </c>
      <c r="H448" s="578"/>
      <c r="I448" s="12">
        <f t="shared" si="107"/>
        <v>1</v>
      </c>
      <c r="J448" s="578"/>
      <c r="K448" s="12">
        <f t="shared" si="108"/>
        <v>1</v>
      </c>
      <c r="L448" s="578"/>
      <c r="M448" s="12">
        <f t="shared" si="109"/>
        <v>1</v>
      </c>
      <c r="N448" s="578"/>
      <c r="O448" s="12">
        <f t="shared" si="110"/>
        <v>1</v>
      </c>
      <c r="P448" s="578"/>
      <c r="Q448" s="12">
        <f t="shared" si="111"/>
        <v>1</v>
      </c>
      <c r="R448" s="12">
        <f t="shared" si="116"/>
        <v>0</v>
      </c>
      <c r="S448" s="246">
        <f t="shared" si="117"/>
        <v>0</v>
      </c>
      <c r="T448" s="821">
        <f t="shared" si="118"/>
        <v>0</v>
      </c>
      <c r="U448" s="2689">
        <f t="shared" si="112"/>
        <v>0</v>
      </c>
      <c r="V448" s="2689">
        <f t="shared" si="113"/>
        <v>0</v>
      </c>
      <c r="W448" s="909"/>
      <c r="X448" s="2689">
        <f t="shared" si="114"/>
        <v>0</v>
      </c>
      <c r="Y448" s="2689">
        <f t="shared" si="115"/>
        <v>0</v>
      </c>
      <c r="Z448" s="909"/>
    </row>
    <row r="449" spans="1:26">
      <c r="A449" s="31"/>
      <c r="B449" s="19"/>
      <c r="C449" s="12">
        <f t="shared" si="104"/>
        <v>1</v>
      </c>
      <c r="D449" s="578"/>
      <c r="E449" s="12">
        <f t="shared" si="105"/>
        <v>1</v>
      </c>
      <c r="F449" s="578"/>
      <c r="G449" s="12">
        <f t="shared" si="106"/>
        <v>1</v>
      </c>
      <c r="H449" s="578"/>
      <c r="I449" s="12">
        <f t="shared" si="107"/>
        <v>1</v>
      </c>
      <c r="J449" s="578"/>
      <c r="K449" s="12">
        <f t="shared" si="108"/>
        <v>1</v>
      </c>
      <c r="L449" s="578"/>
      <c r="M449" s="12">
        <f t="shared" si="109"/>
        <v>1</v>
      </c>
      <c r="N449" s="578"/>
      <c r="O449" s="12">
        <f t="shared" si="110"/>
        <v>1</v>
      </c>
      <c r="P449" s="578"/>
      <c r="Q449" s="12">
        <f t="shared" si="111"/>
        <v>1</v>
      </c>
      <c r="R449" s="12">
        <f t="shared" si="116"/>
        <v>0</v>
      </c>
      <c r="S449" s="246">
        <f t="shared" si="117"/>
        <v>0</v>
      </c>
      <c r="T449" s="821">
        <f t="shared" si="118"/>
        <v>0</v>
      </c>
      <c r="U449" s="2689">
        <f t="shared" si="112"/>
        <v>0</v>
      </c>
      <c r="V449" s="2689">
        <f t="shared" si="113"/>
        <v>0</v>
      </c>
      <c r="W449" s="909"/>
      <c r="X449" s="2689">
        <f t="shared" si="114"/>
        <v>0</v>
      </c>
      <c r="Y449" s="2689">
        <f t="shared" si="115"/>
        <v>0</v>
      </c>
      <c r="Z449" s="909"/>
    </row>
    <row r="450" spans="1:26">
      <c r="A450" s="31"/>
      <c r="B450" s="19"/>
      <c r="C450" s="12">
        <f t="shared" si="104"/>
        <v>1</v>
      </c>
      <c r="D450" s="578"/>
      <c r="E450" s="12">
        <f t="shared" si="105"/>
        <v>1</v>
      </c>
      <c r="F450" s="578"/>
      <c r="G450" s="12">
        <f t="shared" si="106"/>
        <v>1</v>
      </c>
      <c r="H450" s="578"/>
      <c r="I450" s="12">
        <f t="shared" si="107"/>
        <v>1</v>
      </c>
      <c r="J450" s="578"/>
      <c r="K450" s="12">
        <f t="shared" si="108"/>
        <v>1</v>
      </c>
      <c r="L450" s="578"/>
      <c r="M450" s="12">
        <f t="shared" si="109"/>
        <v>1</v>
      </c>
      <c r="N450" s="578"/>
      <c r="O450" s="12">
        <f t="shared" si="110"/>
        <v>1</v>
      </c>
      <c r="P450" s="578"/>
      <c r="Q450" s="12">
        <f t="shared" si="111"/>
        <v>1</v>
      </c>
      <c r="R450" s="12">
        <f t="shared" si="116"/>
        <v>0</v>
      </c>
      <c r="S450" s="246">
        <f t="shared" si="117"/>
        <v>0</v>
      </c>
      <c r="T450" s="821">
        <f t="shared" si="118"/>
        <v>0</v>
      </c>
      <c r="U450" s="2689">
        <f t="shared" si="112"/>
        <v>0</v>
      </c>
      <c r="V450" s="2689">
        <f t="shared" si="113"/>
        <v>0</v>
      </c>
      <c r="W450" s="909"/>
      <c r="X450" s="2689">
        <f t="shared" si="114"/>
        <v>0</v>
      </c>
      <c r="Y450" s="2689">
        <f t="shared" si="115"/>
        <v>0</v>
      </c>
      <c r="Z450" s="909"/>
    </row>
    <row r="451" spans="1:26">
      <c r="A451" s="31"/>
      <c r="B451" s="19"/>
      <c r="C451" s="12">
        <f t="shared" si="104"/>
        <v>1</v>
      </c>
      <c r="D451" s="578"/>
      <c r="E451" s="12">
        <f t="shared" si="105"/>
        <v>1</v>
      </c>
      <c r="F451" s="578"/>
      <c r="G451" s="12">
        <f t="shared" si="106"/>
        <v>1</v>
      </c>
      <c r="H451" s="578"/>
      <c r="I451" s="12">
        <f t="shared" si="107"/>
        <v>1</v>
      </c>
      <c r="J451" s="578"/>
      <c r="K451" s="12">
        <f t="shared" si="108"/>
        <v>1</v>
      </c>
      <c r="L451" s="578"/>
      <c r="M451" s="12">
        <f t="shared" si="109"/>
        <v>1</v>
      </c>
      <c r="N451" s="578"/>
      <c r="O451" s="12">
        <f t="shared" si="110"/>
        <v>1</v>
      </c>
      <c r="P451" s="578"/>
      <c r="Q451" s="12">
        <f t="shared" si="111"/>
        <v>1</v>
      </c>
      <c r="R451" s="12">
        <f t="shared" si="116"/>
        <v>0</v>
      </c>
      <c r="S451" s="246">
        <f t="shared" si="117"/>
        <v>0</v>
      </c>
      <c r="T451" s="821">
        <f t="shared" si="118"/>
        <v>0</v>
      </c>
      <c r="U451" s="2689">
        <f t="shared" si="112"/>
        <v>0</v>
      </c>
      <c r="V451" s="2689">
        <f t="shared" si="113"/>
        <v>0</v>
      </c>
      <c r="W451" s="909"/>
      <c r="X451" s="2689">
        <f t="shared" si="114"/>
        <v>0</v>
      </c>
      <c r="Y451" s="2689">
        <f t="shared" si="115"/>
        <v>0</v>
      </c>
      <c r="Z451" s="909"/>
    </row>
    <row r="452" spans="1:26">
      <c r="A452" s="31"/>
      <c r="B452" s="19"/>
      <c r="C452" s="12">
        <f t="shared" si="104"/>
        <v>1</v>
      </c>
      <c r="D452" s="578"/>
      <c r="E452" s="12">
        <f t="shared" si="105"/>
        <v>1</v>
      </c>
      <c r="F452" s="578"/>
      <c r="G452" s="12">
        <f t="shared" si="106"/>
        <v>1</v>
      </c>
      <c r="H452" s="578"/>
      <c r="I452" s="12">
        <f t="shared" si="107"/>
        <v>1</v>
      </c>
      <c r="J452" s="578"/>
      <c r="K452" s="12">
        <f t="shared" si="108"/>
        <v>1</v>
      </c>
      <c r="L452" s="578"/>
      <c r="M452" s="12">
        <f t="shared" si="109"/>
        <v>1</v>
      </c>
      <c r="N452" s="578"/>
      <c r="O452" s="12">
        <f t="shared" si="110"/>
        <v>1</v>
      </c>
      <c r="P452" s="578"/>
      <c r="Q452" s="12">
        <f t="shared" si="111"/>
        <v>1</v>
      </c>
      <c r="R452" s="12">
        <f t="shared" si="116"/>
        <v>0</v>
      </c>
      <c r="S452" s="246">
        <f t="shared" si="117"/>
        <v>0</v>
      </c>
      <c r="T452" s="821">
        <f t="shared" si="118"/>
        <v>0</v>
      </c>
      <c r="U452" s="2689">
        <f t="shared" si="112"/>
        <v>0</v>
      </c>
      <c r="V452" s="2689">
        <f t="shared" si="113"/>
        <v>0</v>
      </c>
      <c r="W452" s="909"/>
      <c r="X452" s="2689">
        <f t="shared" si="114"/>
        <v>0</v>
      </c>
      <c r="Y452" s="2689">
        <f t="shared" si="115"/>
        <v>0</v>
      </c>
      <c r="Z452" s="909"/>
    </row>
    <row r="453" spans="1:26">
      <c r="A453" s="31"/>
      <c r="B453" s="19"/>
      <c r="C453" s="12">
        <f t="shared" si="104"/>
        <v>1</v>
      </c>
      <c r="D453" s="578"/>
      <c r="E453" s="12">
        <f t="shared" si="105"/>
        <v>1</v>
      </c>
      <c r="F453" s="578"/>
      <c r="G453" s="12">
        <f t="shared" si="106"/>
        <v>1</v>
      </c>
      <c r="H453" s="578"/>
      <c r="I453" s="12">
        <f t="shared" si="107"/>
        <v>1</v>
      </c>
      <c r="J453" s="578"/>
      <c r="K453" s="12">
        <f t="shared" si="108"/>
        <v>1</v>
      </c>
      <c r="L453" s="578"/>
      <c r="M453" s="12">
        <f t="shared" si="109"/>
        <v>1</v>
      </c>
      <c r="N453" s="578"/>
      <c r="O453" s="12">
        <f t="shared" si="110"/>
        <v>1</v>
      </c>
      <c r="P453" s="578"/>
      <c r="Q453" s="12">
        <f t="shared" si="111"/>
        <v>1</v>
      </c>
      <c r="R453" s="12">
        <f t="shared" si="116"/>
        <v>0</v>
      </c>
      <c r="S453" s="246">
        <f t="shared" si="117"/>
        <v>0</v>
      </c>
      <c r="T453" s="821">
        <f t="shared" si="118"/>
        <v>0</v>
      </c>
      <c r="U453" s="2689">
        <f t="shared" si="112"/>
        <v>0</v>
      </c>
      <c r="V453" s="2689">
        <f t="shared" si="113"/>
        <v>0</v>
      </c>
      <c r="W453" s="909"/>
      <c r="X453" s="2689">
        <f t="shared" si="114"/>
        <v>0</v>
      </c>
      <c r="Y453" s="2689">
        <f t="shared" si="115"/>
        <v>0</v>
      </c>
      <c r="Z453" s="909"/>
    </row>
    <row r="454" spans="1:26">
      <c r="A454" s="31"/>
      <c r="B454" s="19"/>
      <c r="C454" s="12">
        <f t="shared" si="104"/>
        <v>1</v>
      </c>
      <c r="D454" s="578"/>
      <c r="E454" s="12">
        <f t="shared" si="105"/>
        <v>1</v>
      </c>
      <c r="F454" s="578"/>
      <c r="G454" s="12">
        <f t="shared" si="106"/>
        <v>1</v>
      </c>
      <c r="H454" s="578"/>
      <c r="I454" s="12">
        <f t="shared" si="107"/>
        <v>1</v>
      </c>
      <c r="J454" s="578"/>
      <c r="K454" s="12">
        <f t="shared" si="108"/>
        <v>1</v>
      </c>
      <c r="L454" s="578"/>
      <c r="M454" s="12">
        <f t="shared" si="109"/>
        <v>1</v>
      </c>
      <c r="N454" s="578"/>
      <c r="O454" s="12">
        <f t="shared" si="110"/>
        <v>1</v>
      </c>
      <c r="P454" s="578"/>
      <c r="Q454" s="12">
        <f t="shared" si="111"/>
        <v>1</v>
      </c>
      <c r="R454" s="12">
        <f t="shared" si="116"/>
        <v>0</v>
      </c>
      <c r="S454" s="246">
        <f t="shared" si="117"/>
        <v>0</v>
      </c>
      <c r="T454" s="821">
        <f t="shared" si="118"/>
        <v>0</v>
      </c>
      <c r="U454" s="2689">
        <f t="shared" si="112"/>
        <v>0</v>
      </c>
      <c r="V454" s="2689">
        <f t="shared" si="113"/>
        <v>0</v>
      </c>
      <c r="W454" s="909"/>
      <c r="X454" s="2689">
        <f t="shared" si="114"/>
        <v>0</v>
      </c>
      <c r="Y454" s="2689">
        <f t="shared" si="115"/>
        <v>0</v>
      </c>
      <c r="Z454" s="909"/>
    </row>
    <row r="455" spans="1:26">
      <c r="A455" s="31"/>
      <c r="B455" s="19"/>
      <c r="C455" s="12">
        <f t="shared" si="104"/>
        <v>1</v>
      </c>
      <c r="D455" s="578"/>
      <c r="E455" s="12">
        <f t="shared" si="105"/>
        <v>1</v>
      </c>
      <c r="F455" s="578"/>
      <c r="G455" s="12">
        <f t="shared" si="106"/>
        <v>1</v>
      </c>
      <c r="H455" s="578"/>
      <c r="I455" s="12">
        <f t="shared" si="107"/>
        <v>1</v>
      </c>
      <c r="J455" s="578"/>
      <c r="K455" s="12">
        <f t="shared" si="108"/>
        <v>1</v>
      </c>
      <c r="L455" s="578"/>
      <c r="M455" s="12">
        <f t="shared" si="109"/>
        <v>1</v>
      </c>
      <c r="N455" s="578"/>
      <c r="O455" s="12">
        <f t="shared" si="110"/>
        <v>1</v>
      </c>
      <c r="P455" s="578"/>
      <c r="Q455" s="12">
        <f t="shared" si="111"/>
        <v>1</v>
      </c>
      <c r="R455" s="12">
        <f t="shared" si="116"/>
        <v>0</v>
      </c>
      <c r="S455" s="246">
        <f t="shared" si="117"/>
        <v>0</v>
      </c>
      <c r="T455" s="821">
        <f t="shared" si="118"/>
        <v>0</v>
      </c>
      <c r="U455" s="2689">
        <f t="shared" si="112"/>
        <v>0</v>
      </c>
      <c r="V455" s="2689">
        <f t="shared" si="113"/>
        <v>0</v>
      </c>
      <c r="W455" s="909"/>
      <c r="X455" s="2689">
        <f t="shared" si="114"/>
        <v>0</v>
      </c>
      <c r="Y455" s="2689">
        <f t="shared" si="115"/>
        <v>0</v>
      </c>
      <c r="Z455" s="909"/>
    </row>
    <row r="456" spans="1:26">
      <c r="A456" s="31"/>
      <c r="B456" s="19"/>
      <c r="C456" s="12">
        <f t="shared" si="104"/>
        <v>1</v>
      </c>
      <c r="D456" s="578"/>
      <c r="E456" s="12">
        <f t="shared" si="105"/>
        <v>1</v>
      </c>
      <c r="F456" s="578"/>
      <c r="G456" s="12">
        <f t="shared" si="106"/>
        <v>1</v>
      </c>
      <c r="H456" s="578"/>
      <c r="I456" s="12">
        <f t="shared" si="107"/>
        <v>1</v>
      </c>
      <c r="J456" s="578"/>
      <c r="K456" s="12">
        <f t="shared" si="108"/>
        <v>1</v>
      </c>
      <c r="L456" s="578"/>
      <c r="M456" s="12">
        <f t="shared" si="109"/>
        <v>1</v>
      </c>
      <c r="N456" s="578"/>
      <c r="O456" s="12">
        <f t="shared" si="110"/>
        <v>1</v>
      </c>
      <c r="P456" s="578"/>
      <c r="Q456" s="12">
        <f t="shared" si="111"/>
        <v>1</v>
      </c>
      <c r="R456" s="12">
        <f t="shared" si="116"/>
        <v>0</v>
      </c>
      <c r="S456" s="246">
        <f t="shared" si="117"/>
        <v>0</v>
      </c>
      <c r="T456" s="821">
        <f t="shared" si="118"/>
        <v>0</v>
      </c>
      <c r="U456" s="2689">
        <f t="shared" si="112"/>
        <v>0</v>
      </c>
      <c r="V456" s="2689">
        <f t="shared" si="113"/>
        <v>0</v>
      </c>
      <c r="W456" s="909"/>
      <c r="X456" s="2689">
        <f t="shared" si="114"/>
        <v>0</v>
      </c>
      <c r="Y456" s="2689">
        <f t="shared" si="115"/>
        <v>0</v>
      </c>
      <c r="Z456" s="909"/>
    </row>
    <row r="457" spans="1:26">
      <c r="A457" s="31"/>
      <c r="B457" s="19"/>
      <c r="C457" s="12">
        <f t="shared" si="104"/>
        <v>1</v>
      </c>
      <c r="D457" s="578"/>
      <c r="E457" s="12">
        <f t="shared" si="105"/>
        <v>1</v>
      </c>
      <c r="F457" s="578"/>
      <c r="G457" s="12">
        <f t="shared" si="106"/>
        <v>1</v>
      </c>
      <c r="H457" s="578"/>
      <c r="I457" s="12">
        <f t="shared" si="107"/>
        <v>1</v>
      </c>
      <c r="J457" s="578"/>
      <c r="K457" s="12">
        <f t="shared" si="108"/>
        <v>1</v>
      </c>
      <c r="L457" s="578"/>
      <c r="M457" s="12">
        <f t="shared" si="109"/>
        <v>1</v>
      </c>
      <c r="N457" s="578"/>
      <c r="O457" s="12">
        <f t="shared" si="110"/>
        <v>1</v>
      </c>
      <c r="P457" s="578"/>
      <c r="Q457" s="12">
        <f t="shared" si="111"/>
        <v>1</v>
      </c>
      <c r="R457" s="12">
        <f t="shared" si="116"/>
        <v>0</v>
      </c>
      <c r="S457" s="246">
        <f t="shared" si="117"/>
        <v>0</v>
      </c>
      <c r="T457" s="821">
        <f t="shared" si="118"/>
        <v>0</v>
      </c>
      <c r="U457" s="2689">
        <f t="shared" si="112"/>
        <v>0</v>
      </c>
      <c r="V457" s="2689">
        <f t="shared" si="113"/>
        <v>0</v>
      </c>
      <c r="W457" s="909"/>
      <c r="X457" s="2689">
        <f t="shared" si="114"/>
        <v>0</v>
      </c>
      <c r="Y457" s="2689">
        <f t="shared" si="115"/>
        <v>0</v>
      </c>
      <c r="Z457" s="909"/>
    </row>
    <row r="458" spans="1:26">
      <c r="A458" s="31"/>
      <c r="B458" s="19"/>
      <c r="C458" s="12">
        <f t="shared" si="104"/>
        <v>1</v>
      </c>
      <c r="D458" s="578"/>
      <c r="E458" s="12">
        <f t="shared" si="105"/>
        <v>1</v>
      </c>
      <c r="F458" s="578"/>
      <c r="G458" s="12">
        <f t="shared" si="106"/>
        <v>1</v>
      </c>
      <c r="H458" s="578"/>
      <c r="I458" s="12">
        <f t="shared" si="107"/>
        <v>1</v>
      </c>
      <c r="J458" s="578"/>
      <c r="K458" s="12">
        <f t="shared" si="108"/>
        <v>1</v>
      </c>
      <c r="L458" s="578"/>
      <c r="M458" s="12">
        <f t="shared" si="109"/>
        <v>1</v>
      </c>
      <c r="N458" s="578"/>
      <c r="O458" s="12">
        <f t="shared" si="110"/>
        <v>1</v>
      </c>
      <c r="P458" s="578"/>
      <c r="Q458" s="12">
        <f t="shared" si="111"/>
        <v>1</v>
      </c>
      <c r="R458" s="12">
        <f t="shared" si="116"/>
        <v>0</v>
      </c>
      <c r="S458" s="246">
        <f t="shared" si="117"/>
        <v>0</v>
      </c>
      <c r="T458" s="821">
        <f t="shared" si="118"/>
        <v>0</v>
      </c>
      <c r="U458" s="2689">
        <f t="shared" si="112"/>
        <v>0</v>
      </c>
      <c r="V458" s="2689">
        <f t="shared" si="113"/>
        <v>0</v>
      </c>
      <c r="W458" s="909"/>
      <c r="X458" s="2689">
        <f t="shared" si="114"/>
        <v>0</v>
      </c>
      <c r="Y458" s="2689">
        <f t="shared" si="115"/>
        <v>0</v>
      </c>
      <c r="Z458" s="909"/>
    </row>
    <row r="459" spans="1:26">
      <c r="A459" s="31"/>
      <c r="B459" s="19"/>
      <c r="C459" s="12">
        <f t="shared" si="104"/>
        <v>1</v>
      </c>
      <c r="D459" s="578"/>
      <c r="E459" s="12">
        <f t="shared" si="105"/>
        <v>1</v>
      </c>
      <c r="F459" s="578"/>
      <c r="G459" s="12">
        <f t="shared" si="106"/>
        <v>1</v>
      </c>
      <c r="H459" s="578"/>
      <c r="I459" s="12">
        <f t="shared" si="107"/>
        <v>1</v>
      </c>
      <c r="J459" s="578"/>
      <c r="K459" s="12">
        <f t="shared" si="108"/>
        <v>1</v>
      </c>
      <c r="L459" s="578"/>
      <c r="M459" s="12">
        <f t="shared" si="109"/>
        <v>1</v>
      </c>
      <c r="N459" s="578"/>
      <c r="O459" s="12">
        <f t="shared" si="110"/>
        <v>1</v>
      </c>
      <c r="P459" s="578"/>
      <c r="Q459" s="12">
        <f t="shared" si="111"/>
        <v>1</v>
      </c>
      <c r="R459" s="12">
        <f t="shared" si="116"/>
        <v>0</v>
      </c>
      <c r="S459" s="246">
        <f t="shared" si="117"/>
        <v>0</v>
      </c>
      <c r="T459" s="821">
        <f t="shared" si="118"/>
        <v>0</v>
      </c>
      <c r="U459" s="2689">
        <f t="shared" si="112"/>
        <v>0</v>
      </c>
      <c r="V459" s="2689">
        <f t="shared" si="113"/>
        <v>0</v>
      </c>
      <c r="W459" s="909"/>
      <c r="X459" s="2689">
        <f t="shared" si="114"/>
        <v>0</v>
      </c>
      <c r="Y459" s="2689">
        <f t="shared" si="115"/>
        <v>0</v>
      </c>
      <c r="Z459" s="909"/>
    </row>
    <row r="460" spans="1:26">
      <c r="A460" s="31"/>
      <c r="B460" s="19"/>
      <c r="C460" s="12">
        <f t="shared" si="104"/>
        <v>1</v>
      </c>
      <c r="D460" s="578"/>
      <c r="E460" s="12">
        <f t="shared" si="105"/>
        <v>1</v>
      </c>
      <c r="F460" s="578"/>
      <c r="G460" s="12">
        <f t="shared" si="106"/>
        <v>1</v>
      </c>
      <c r="H460" s="578"/>
      <c r="I460" s="12">
        <f t="shared" si="107"/>
        <v>1</v>
      </c>
      <c r="J460" s="578"/>
      <c r="K460" s="12">
        <f t="shared" si="108"/>
        <v>1</v>
      </c>
      <c r="L460" s="578"/>
      <c r="M460" s="12">
        <f t="shared" si="109"/>
        <v>1</v>
      </c>
      <c r="N460" s="578"/>
      <c r="O460" s="12">
        <f t="shared" si="110"/>
        <v>1</v>
      </c>
      <c r="P460" s="578"/>
      <c r="Q460" s="12">
        <f t="shared" si="111"/>
        <v>1</v>
      </c>
      <c r="R460" s="12">
        <f t="shared" si="116"/>
        <v>0</v>
      </c>
      <c r="S460" s="246">
        <f t="shared" si="117"/>
        <v>0</v>
      </c>
      <c r="T460" s="821">
        <f t="shared" si="118"/>
        <v>0</v>
      </c>
      <c r="U460" s="2689">
        <f t="shared" si="112"/>
        <v>0</v>
      </c>
      <c r="V460" s="2689">
        <f t="shared" si="113"/>
        <v>0</v>
      </c>
      <c r="W460" s="909"/>
      <c r="X460" s="2689">
        <f t="shared" si="114"/>
        <v>0</v>
      </c>
      <c r="Y460" s="2689">
        <f t="shared" si="115"/>
        <v>0</v>
      </c>
      <c r="Z460" s="909"/>
    </row>
    <row r="461" spans="1:26">
      <c r="A461" s="31"/>
      <c r="B461" s="19"/>
      <c r="C461" s="12">
        <f t="shared" si="104"/>
        <v>1</v>
      </c>
      <c r="D461" s="578"/>
      <c r="E461" s="12">
        <f t="shared" si="105"/>
        <v>1</v>
      </c>
      <c r="F461" s="578"/>
      <c r="G461" s="12">
        <f t="shared" si="106"/>
        <v>1</v>
      </c>
      <c r="H461" s="578"/>
      <c r="I461" s="12">
        <f t="shared" si="107"/>
        <v>1</v>
      </c>
      <c r="J461" s="578"/>
      <c r="K461" s="12">
        <f t="shared" si="108"/>
        <v>1</v>
      </c>
      <c r="L461" s="578"/>
      <c r="M461" s="12">
        <f t="shared" si="109"/>
        <v>1</v>
      </c>
      <c r="N461" s="578"/>
      <c r="O461" s="12">
        <f t="shared" si="110"/>
        <v>1</v>
      </c>
      <c r="P461" s="578"/>
      <c r="Q461" s="12">
        <f t="shared" si="111"/>
        <v>1</v>
      </c>
      <c r="R461" s="12">
        <f t="shared" si="116"/>
        <v>0</v>
      </c>
      <c r="S461" s="246">
        <f t="shared" si="117"/>
        <v>0</v>
      </c>
      <c r="T461" s="821">
        <f t="shared" si="118"/>
        <v>0</v>
      </c>
      <c r="U461" s="2689">
        <f t="shared" si="112"/>
        <v>0</v>
      </c>
      <c r="V461" s="2689">
        <f t="shared" si="113"/>
        <v>0</v>
      </c>
      <c r="W461" s="909"/>
      <c r="X461" s="2689">
        <f t="shared" si="114"/>
        <v>0</v>
      </c>
      <c r="Y461" s="2689">
        <f t="shared" si="115"/>
        <v>0</v>
      </c>
      <c r="Z461" s="909"/>
    </row>
    <row r="462" spans="1:26">
      <c r="A462" s="31"/>
      <c r="B462" s="19"/>
      <c r="C462" s="12">
        <f t="shared" si="104"/>
        <v>1</v>
      </c>
      <c r="D462" s="578"/>
      <c r="E462" s="12">
        <f t="shared" si="105"/>
        <v>1</v>
      </c>
      <c r="F462" s="578"/>
      <c r="G462" s="12">
        <f t="shared" si="106"/>
        <v>1</v>
      </c>
      <c r="H462" s="578"/>
      <c r="I462" s="12">
        <f t="shared" si="107"/>
        <v>1</v>
      </c>
      <c r="J462" s="578"/>
      <c r="K462" s="12">
        <f t="shared" si="108"/>
        <v>1</v>
      </c>
      <c r="L462" s="578"/>
      <c r="M462" s="12">
        <f t="shared" si="109"/>
        <v>1</v>
      </c>
      <c r="N462" s="578"/>
      <c r="O462" s="12">
        <f t="shared" si="110"/>
        <v>1</v>
      </c>
      <c r="P462" s="578"/>
      <c r="Q462" s="12">
        <f t="shared" si="111"/>
        <v>1</v>
      </c>
      <c r="R462" s="12">
        <f t="shared" si="116"/>
        <v>0</v>
      </c>
      <c r="S462" s="246">
        <f t="shared" si="117"/>
        <v>0</v>
      </c>
      <c r="T462" s="821">
        <f t="shared" si="118"/>
        <v>0</v>
      </c>
      <c r="U462" s="2689">
        <f t="shared" si="112"/>
        <v>0</v>
      </c>
      <c r="V462" s="2689">
        <f t="shared" si="113"/>
        <v>0</v>
      </c>
      <c r="W462" s="909"/>
      <c r="X462" s="2689">
        <f t="shared" si="114"/>
        <v>0</v>
      </c>
      <c r="Y462" s="2689">
        <f t="shared" si="115"/>
        <v>0</v>
      </c>
      <c r="Z462" s="909"/>
    </row>
    <row r="463" spans="1:26">
      <c r="A463" s="31"/>
      <c r="B463" s="19"/>
      <c r="C463" s="12">
        <f t="shared" si="104"/>
        <v>1</v>
      </c>
      <c r="D463" s="578"/>
      <c r="E463" s="12">
        <f t="shared" si="105"/>
        <v>1</v>
      </c>
      <c r="F463" s="578"/>
      <c r="G463" s="12">
        <f t="shared" si="106"/>
        <v>1</v>
      </c>
      <c r="H463" s="578"/>
      <c r="I463" s="12">
        <f t="shared" si="107"/>
        <v>1</v>
      </c>
      <c r="J463" s="578"/>
      <c r="K463" s="12">
        <f t="shared" si="108"/>
        <v>1</v>
      </c>
      <c r="L463" s="578"/>
      <c r="M463" s="12">
        <f t="shared" si="109"/>
        <v>1</v>
      </c>
      <c r="N463" s="578"/>
      <c r="O463" s="12">
        <f t="shared" si="110"/>
        <v>1</v>
      </c>
      <c r="P463" s="578"/>
      <c r="Q463" s="12">
        <f t="shared" si="111"/>
        <v>1</v>
      </c>
      <c r="R463" s="12">
        <f t="shared" si="116"/>
        <v>0</v>
      </c>
      <c r="S463" s="246">
        <f t="shared" si="117"/>
        <v>0</v>
      </c>
      <c r="T463" s="821">
        <f t="shared" si="118"/>
        <v>0</v>
      </c>
      <c r="U463" s="2689">
        <f t="shared" si="112"/>
        <v>0</v>
      </c>
      <c r="V463" s="2689">
        <f t="shared" si="113"/>
        <v>0</v>
      </c>
      <c r="W463" s="909"/>
      <c r="X463" s="2689">
        <f t="shared" si="114"/>
        <v>0</v>
      </c>
      <c r="Y463" s="2689">
        <f t="shared" si="115"/>
        <v>0</v>
      </c>
      <c r="Z463" s="909"/>
    </row>
    <row r="464" spans="1:26">
      <c r="A464" s="31"/>
      <c r="B464" s="19"/>
      <c r="C464" s="12">
        <f t="shared" si="104"/>
        <v>1</v>
      </c>
      <c r="D464" s="578"/>
      <c r="E464" s="12">
        <f t="shared" si="105"/>
        <v>1</v>
      </c>
      <c r="F464" s="578"/>
      <c r="G464" s="12">
        <f t="shared" si="106"/>
        <v>1</v>
      </c>
      <c r="H464" s="578"/>
      <c r="I464" s="12">
        <f t="shared" si="107"/>
        <v>1</v>
      </c>
      <c r="J464" s="578"/>
      <c r="K464" s="12">
        <f t="shared" si="108"/>
        <v>1</v>
      </c>
      <c r="L464" s="578"/>
      <c r="M464" s="12">
        <f t="shared" si="109"/>
        <v>1</v>
      </c>
      <c r="N464" s="578"/>
      <c r="O464" s="12">
        <f t="shared" si="110"/>
        <v>1</v>
      </c>
      <c r="P464" s="578"/>
      <c r="Q464" s="12">
        <f t="shared" si="111"/>
        <v>1</v>
      </c>
      <c r="R464" s="12">
        <f t="shared" si="116"/>
        <v>0</v>
      </c>
      <c r="S464" s="246">
        <f t="shared" si="117"/>
        <v>0</v>
      </c>
      <c r="T464" s="821">
        <f t="shared" si="118"/>
        <v>0</v>
      </c>
      <c r="U464" s="2689">
        <f t="shared" si="112"/>
        <v>0</v>
      </c>
      <c r="V464" s="2689">
        <f t="shared" si="113"/>
        <v>0</v>
      </c>
      <c r="W464" s="909"/>
      <c r="X464" s="2689">
        <f t="shared" si="114"/>
        <v>0</v>
      </c>
      <c r="Y464" s="2689">
        <f t="shared" si="115"/>
        <v>0</v>
      </c>
      <c r="Z464" s="909"/>
    </row>
    <row r="465" spans="1:26">
      <c r="A465" s="31"/>
      <c r="B465" s="19"/>
      <c r="C465" s="12">
        <f t="shared" si="104"/>
        <v>1</v>
      </c>
      <c r="D465" s="578"/>
      <c r="E465" s="12">
        <f t="shared" si="105"/>
        <v>1</v>
      </c>
      <c r="F465" s="578"/>
      <c r="G465" s="12">
        <f t="shared" si="106"/>
        <v>1</v>
      </c>
      <c r="H465" s="578"/>
      <c r="I465" s="12">
        <f t="shared" si="107"/>
        <v>1</v>
      </c>
      <c r="J465" s="578"/>
      <c r="K465" s="12">
        <f t="shared" si="108"/>
        <v>1</v>
      </c>
      <c r="L465" s="578"/>
      <c r="M465" s="12">
        <f t="shared" si="109"/>
        <v>1</v>
      </c>
      <c r="N465" s="578"/>
      <c r="O465" s="12">
        <f t="shared" si="110"/>
        <v>1</v>
      </c>
      <c r="P465" s="578"/>
      <c r="Q465" s="12">
        <f t="shared" si="111"/>
        <v>1</v>
      </c>
      <c r="R465" s="12">
        <f t="shared" si="116"/>
        <v>0</v>
      </c>
      <c r="S465" s="246">
        <f t="shared" si="117"/>
        <v>0</v>
      </c>
      <c r="T465" s="821">
        <f t="shared" si="118"/>
        <v>0</v>
      </c>
      <c r="U465" s="2689">
        <f t="shared" si="112"/>
        <v>0</v>
      </c>
      <c r="V465" s="2689">
        <f t="shared" si="113"/>
        <v>0</v>
      </c>
      <c r="W465" s="909"/>
      <c r="X465" s="2689">
        <f t="shared" si="114"/>
        <v>0</v>
      </c>
      <c r="Y465" s="2689">
        <f t="shared" si="115"/>
        <v>0</v>
      </c>
      <c r="Z465" s="909"/>
    </row>
    <row r="466" spans="1:26">
      <c r="A466" s="31"/>
      <c r="B466" s="19"/>
      <c r="C466" s="12">
        <f t="shared" si="104"/>
        <v>1</v>
      </c>
      <c r="D466" s="578"/>
      <c r="E466" s="12">
        <f t="shared" si="105"/>
        <v>1</v>
      </c>
      <c r="F466" s="578"/>
      <c r="G466" s="12">
        <f t="shared" si="106"/>
        <v>1</v>
      </c>
      <c r="H466" s="578"/>
      <c r="I466" s="12">
        <f t="shared" si="107"/>
        <v>1</v>
      </c>
      <c r="J466" s="578"/>
      <c r="K466" s="12">
        <f t="shared" si="108"/>
        <v>1</v>
      </c>
      <c r="L466" s="578"/>
      <c r="M466" s="12">
        <f t="shared" si="109"/>
        <v>1</v>
      </c>
      <c r="N466" s="578"/>
      <c r="O466" s="12">
        <f t="shared" si="110"/>
        <v>1</v>
      </c>
      <c r="P466" s="578"/>
      <c r="Q466" s="12">
        <f t="shared" si="111"/>
        <v>1</v>
      </c>
      <c r="R466" s="12">
        <f t="shared" si="116"/>
        <v>0</v>
      </c>
      <c r="S466" s="246">
        <f t="shared" si="117"/>
        <v>0</v>
      </c>
      <c r="T466" s="821">
        <f t="shared" si="118"/>
        <v>0</v>
      </c>
      <c r="U466" s="2689">
        <f t="shared" si="112"/>
        <v>0</v>
      </c>
      <c r="V466" s="2689">
        <f t="shared" si="113"/>
        <v>0</v>
      </c>
      <c r="W466" s="909"/>
      <c r="X466" s="2689">
        <f t="shared" si="114"/>
        <v>0</v>
      </c>
      <c r="Y466" s="2689">
        <f t="shared" si="115"/>
        <v>0</v>
      </c>
      <c r="Z466" s="909"/>
    </row>
    <row r="467" spans="1:26">
      <c r="A467" s="31"/>
      <c r="B467" s="19"/>
      <c r="C467" s="12">
        <f t="shared" si="104"/>
        <v>1</v>
      </c>
      <c r="D467" s="578"/>
      <c r="E467" s="12">
        <f t="shared" si="105"/>
        <v>1</v>
      </c>
      <c r="F467" s="578"/>
      <c r="G467" s="12">
        <f t="shared" si="106"/>
        <v>1</v>
      </c>
      <c r="H467" s="578"/>
      <c r="I467" s="12">
        <f t="shared" si="107"/>
        <v>1</v>
      </c>
      <c r="J467" s="578"/>
      <c r="K467" s="12">
        <f t="shared" si="108"/>
        <v>1</v>
      </c>
      <c r="L467" s="578"/>
      <c r="M467" s="12">
        <f t="shared" si="109"/>
        <v>1</v>
      </c>
      <c r="N467" s="578"/>
      <c r="O467" s="12">
        <f t="shared" si="110"/>
        <v>1</v>
      </c>
      <c r="P467" s="578"/>
      <c r="Q467" s="12">
        <f t="shared" si="111"/>
        <v>1</v>
      </c>
      <c r="R467" s="12">
        <f t="shared" si="116"/>
        <v>0</v>
      </c>
      <c r="S467" s="246">
        <f t="shared" si="117"/>
        <v>0</v>
      </c>
      <c r="T467" s="821">
        <f t="shared" si="118"/>
        <v>0</v>
      </c>
      <c r="U467" s="2689">
        <f t="shared" si="112"/>
        <v>0</v>
      </c>
      <c r="V467" s="2689">
        <f t="shared" si="113"/>
        <v>0</v>
      </c>
      <c r="W467" s="909"/>
      <c r="X467" s="2689">
        <f t="shared" si="114"/>
        <v>0</v>
      </c>
      <c r="Y467" s="2689">
        <f t="shared" si="115"/>
        <v>0</v>
      </c>
      <c r="Z467" s="909"/>
    </row>
    <row r="468" spans="1:26">
      <c r="A468" s="31"/>
      <c r="B468" s="19"/>
      <c r="C468" s="12">
        <f t="shared" si="104"/>
        <v>1</v>
      </c>
      <c r="D468" s="578"/>
      <c r="E468" s="12">
        <f t="shared" si="105"/>
        <v>1</v>
      </c>
      <c r="F468" s="578"/>
      <c r="G468" s="12">
        <f t="shared" si="106"/>
        <v>1</v>
      </c>
      <c r="H468" s="578"/>
      <c r="I468" s="12">
        <f t="shared" si="107"/>
        <v>1</v>
      </c>
      <c r="J468" s="578"/>
      <c r="K468" s="12">
        <f t="shared" si="108"/>
        <v>1</v>
      </c>
      <c r="L468" s="578"/>
      <c r="M468" s="12">
        <f t="shared" si="109"/>
        <v>1</v>
      </c>
      <c r="N468" s="578"/>
      <c r="O468" s="12">
        <f t="shared" si="110"/>
        <v>1</v>
      </c>
      <c r="P468" s="578"/>
      <c r="Q468" s="12">
        <f t="shared" si="111"/>
        <v>1</v>
      </c>
      <c r="R468" s="12">
        <f t="shared" si="116"/>
        <v>0</v>
      </c>
      <c r="S468" s="246">
        <f t="shared" si="117"/>
        <v>0</v>
      </c>
      <c r="T468" s="821">
        <f t="shared" si="118"/>
        <v>0</v>
      </c>
      <c r="U468" s="2689">
        <f t="shared" si="112"/>
        <v>0</v>
      </c>
      <c r="V468" s="2689">
        <f t="shared" si="113"/>
        <v>0</v>
      </c>
      <c r="W468" s="909"/>
      <c r="X468" s="2689">
        <f t="shared" si="114"/>
        <v>0</v>
      </c>
      <c r="Y468" s="2689">
        <f t="shared" si="115"/>
        <v>0</v>
      </c>
      <c r="Z468" s="909"/>
    </row>
    <row r="469" spans="1:26">
      <c r="A469" s="31"/>
      <c r="B469" s="19"/>
      <c r="C469" s="12">
        <f t="shared" si="104"/>
        <v>1</v>
      </c>
      <c r="D469" s="578"/>
      <c r="E469" s="12">
        <f t="shared" si="105"/>
        <v>1</v>
      </c>
      <c r="F469" s="578"/>
      <c r="G469" s="12">
        <f t="shared" si="106"/>
        <v>1</v>
      </c>
      <c r="H469" s="578"/>
      <c r="I469" s="12">
        <f t="shared" si="107"/>
        <v>1</v>
      </c>
      <c r="J469" s="578"/>
      <c r="K469" s="12">
        <f t="shared" si="108"/>
        <v>1</v>
      </c>
      <c r="L469" s="578"/>
      <c r="M469" s="12">
        <f t="shared" si="109"/>
        <v>1</v>
      </c>
      <c r="N469" s="578"/>
      <c r="O469" s="12">
        <f t="shared" si="110"/>
        <v>1</v>
      </c>
      <c r="P469" s="578"/>
      <c r="Q469" s="12">
        <f t="shared" si="111"/>
        <v>1</v>
      </c>
      <c r="R469" s="12">
        <f t="shared" si="116"/>
        <v>0</v>
      </c>
      <c r="S469" s="246">
        <f t="shared" si="117"/>
        <v>0</v>
      </c>
      <c r="T469" s="821">
        <f t="shared" si="118"/>
        <v>0</v>
      </c>
      <c r="U469" s="2689">
        <f t="shared" si="112"/>
        <v>0</v>
      </c>
      <c r="V469" s="2689">
        <f t="shared" si="113"/>
        <v>0</v>
      </c>
      <c r="W469" s="909"/>
      <c r="X469" s="2689">
        <f t="shared" si="114"/>
        <v>0</v>
      </c>
      <c r="Y469" s="2689">
        <f t="shared" si="115"/>
        <v>0</v>
      </c>
      <c r="Z469" s="909"/>
    </row>
    <row r="470" spans="1:26">
      <c r="A470" s="31"/>
      <c r="B470" s="19"/>
      <c r="C470" s="12">
        <f t="shared" si="104"/>
        <v>1</v>
      </c>
      <c r="D470" s="578"/>
      <c r="E470" s="12">
        <f t="shared" si="105"/>
        <v>1</v>
      </c>
      <c r="F470" s="578"/>
      <c r="G470" s="12">
        <f t="shared" si="106"/>
        <v>1</v>
      </c>
      <c r="H470" s="578"/>
      <c r="I470" s="12">
        <f t="shared" si="107"/>
        <v>1</v>
      </c>
      <c r="J470" s="578"/>
      <c r="K470" s="12">
        <f t="shared" si="108"/>
        <v>1</v>
      </c>
      <c r="L470" s="578"/>
      <c r="M470" s="12">
        <f t="shared" si="109"/>
        <v>1</v>
      </c>
      <c r="N470" s="578"/>
      <c r="O470" s="12">
        <f t="shared" si="110"/>
        <v>1</v>
      </c>
      <c r="P470" s="578"/>
      <c r="Q470" s="12">
        <f t="shared" si="111"/>
        <v>1</v>
      </c>
      <c r="R470" s="12">
        <f t="shared" si="116"/>
        <v>0</v>
      </c>
      <c r="S470" s="246">
        <f t="shared" si="117"/>
        <v>0</v>
      </c>
      <c r="T470" s="821">
        <f t="shared" si="118"/>
        <v>0</v>
      </c>
      <c r="U470" s="2689">
        <f t="shared" si="112"/>
        <v>0</v>
      </c>
      <c r="V470" s="2689">
        <f t="shared" si="113"/>
        <v>0</v>
      </c>
      <c r="W470" s="909"/>
      <c r="X470" s="2689">
        <f t="shared" si="114"/>
        <v>0</v>
      </c>
      <c r="Y470" s="2689">
        <f t="shared" si="115"/>
        <v>0</v>
      </c>
      <c r="Z470" s="909"/>
    </row>
    <row r="471" spans="1:26">
      <c r="A471" s="31"/>
      <c r="B471" s="19"/>
      <c r="C471" s="12">
        <f t="shared" si="104"/>
        <v>1</v>
      </c>
      <c r="D471" s="578"/>
      <c r="E471" s="12">
        <f t="shared" si="105"/>
        <v>1</v>
      </c>
      <c r="F471" s="578"/>
      <c r="G471" s="12">
        <f t="shared" si="106"/>
        <v>1</v>
      </c>
      <c r="H471" s="578"/>
      <c r="I471" s="12">
        <f t="shared" si="107"/>
        <v>1</v>
      </c>
      <c r="J471" s="578"/>
      <c r="K471" s="12">
        <f t="shared" si="108"/>
        <v>1</v>
      </c>
      <c r="L471" s="578"/>
      <c r="M471" s="12">
        <f t="shared" si="109"/>
        <v>1</v>
      </c>
      <c r="N471" s="578"/>
      <c r="O471" s="12">
        <f t="shared" si="110"/>
        <v>1</v>
      </c>
      <c r="P471" s="578"/>
      <c r="Q471" s="12">
        <f t="shared" si="111"/>
        <v>1</v>
      </c>
      <c r="R471" s="12">
        <f t="shared" si="116"/>
        <v>0</v>
      </c>
      <c r="S471" s="246">
        <f t="shared" si="117"/>
        <v>0</v>
      </c>
      <c r="T471" s="821">
        <f t="shared" si="118"/>
        <v>0</v>
      </c>
      <c r="U471" s="2689">
        <f t="shared" si="112"/>
        <v>0</v>
      </c>
      <c r="V471" s="2689">
        <f t="shared" si="113"/>
        <v>0</v>
      </c>
      <c r="W471" s="909"/>
      <c r="X471" s="2689">
        <f t="shared" si="114"/>
        <v>0</v>
      </c>
      <c r="Y471" s="2689">
        <f t="shared" si="115"/>
        <v>0</v>
      </c>
      <c r="Z471" s="909"/>
    </row>
    <row r="472" spans="1:26">
      <c r="A472" s="31"/>
      <c r="B472" s="19"/>
      <c r="C472" s="12">
        <f t="shared" si="104"/>
        <v>1</v>
      </c>
      <c r="D472" s="578"/>
      <c r="E472" s="12">
        <f t="shared" si="105"/>
        <v>1</v>
      </c>
      <c r="F472" s="578"/>
      <c r="G472" s="12">
        <f t="shared" si="106"/>
        <v>1</v>
      </c>
      <c r="H472" s="578"/>
      <c r="I472" s="12">
        <f t="shared" si="107"/>
        <v>1</v>
      </c>
      <c r="J472" s="578"/>
      <c r="K472" s="12">
        <f t="shared" si="108"/>
        <v>1</v>
      </c>
      <c r="L472" s="578"/>
      <c r="M472" s="12">
        <f t="shared" si="109"/>
        <v>1</v>
      </c>
      <c r="N472" s="578"/>
      <c r="O472" s="12">
        <f t="shared" si="110"/>
        <v>1</v>
      </c>
      <c r="P472" s="578"/>
      <c r="Q472" s="12">
        <f t="shared" si="111"/>
        <v>1</v>
      </c>
      <c r="R472" s="12">
        <f t="shared" si="116"/>
        <v>0</v>
      </c>
      <c r="S472" s="246">
        <f t="shared" si="117"/>
        <v>0</v>
      </c>
      <c r="T472" s="821">
        <f t="shared" si="118"/>
        <v>0</v>
      </c>
      <c r="U472" s="2689">
        <f t="shared" si="112"/>
        <v>0</v>
      </c>
      <c r="V472" s="2689">
        <f t="shared" si="113"/>
        <v>0</v>
      </c>
      <c r="W472" s="909"/>
      <c r="X472" s="2689">
        <f t="shared" si="114"/>
        <v>0</v>
      </c>
      <c r="Y472" s="2689">
        <f t="shared" si="115"/>
        <v>0</v>
      </c>
      <c r="Z472" s="909"/>
    </row>
    <row r="473" spans="1:26">
      <c r="A473" s="31"/>
      <c r="B473" s="19"/>
      <c r="C473" s="12">
        <f t="shared" si="104"/>
        <v>1</v>
      </c>
      <c r="D473" s="578"/>
      <c r="E473" s="12">
        <f t="shared" si="105"/>
        <v>1</v>
      </c>
      <c r="F473" s="578"/>
      <c r="G473" s="12">
        <f t="shared" si="106"/>
        <v>1</v>
      </c>
      <c r="H473" s="578"/>
      <c r="I473" s="12">
        <f t="shared" si="107"/>
        <v>1</v>
      </c>
      <c r="J473" s="578"/>
      <c r="K473" s="12">
        <f t="shared" si="108"/>
        <v>1</v>
      </c>
      <c r="L473" s="578"/>
      <c r="M473" s="12">
        <f t="shared" si="109"/>
        <v>1</v>
      </c>
      <c r="N473" s="578"/>
      <c r="O473" s="12">
        <f t="shared" si="110"/>
        <v>1</v>
      </c>
      <c r="P473" s="578"/>
      <c r="Q473" s="12">
        <f t="shared" si="111"/>
        <v>1</v>
      </c>
      <c r="R473" s="12">
        <f t="shared" si="116"/>
        <v>0</v>
      </c>
      <c r="S473" s="246">
        <f t="shared" si="117"/>
        <v>0</v>
      </c>
      <c r="T473" s="821">
        <f t="shared" si="118"/>
        <v>0</v>
      </c>
      <c r="U473" s="2689">
        <f t="shared" si="112"/>
        <v>0</v>
      </c>
      <c r="V473" s="2689">
        <f t="shared" si="113"/>
        <v>0</v>
      </c>
      <c r="W473" s="909"/>
      <c r="X473" s="2689">
        <f t="shared" si="114"/>
        <v>0</v>
      </c>
      <c r="Y473" s="2689">
        <f t="shared" si="115"/>
        <v>0</v>
      </c>
      <c r="Z473" s="909"/>
    </row>
    <row r="474" spans="1:26">
      <c r="A474" s="31"/>
      <c r="B474" s="19"/>
      <c r="C474" s="12">
        <f t="shared" si="104"/>
        <v>1</v>
      </c>
      <c r="D474" s="578"/>
      <c r="E474" s="12">
        <f t="shared" si="105"/>
        <v>1</v>
      </c>
      <c r="F474" s="578"/>
      <c r="G474" s="12">
        <f t="shared" si="106"/>
        <v>1</v>
      </c>
      <c r="H474" s="578"/>
      <c r="I474" s="12">
        <f t="shared" si="107"/>
        <v>1</v>
      </c>
      <c r="J474" s="578"/>
      <c r="K474" s="12">
        <f t="shared" si="108"/>
        <v>1</v>
      </c>
      <c r="L474" s="578"/>
      <c r="M474" s="12">
        <f t="shared" si="109"/>
        <v>1</v>
      </c>
      <c r="N474" s="578"/>
      <c r="O474" s="12">
        <f t="shared" si="110"/>
        <v>1</v>
      </c>
      <c r="P474" s="578"/>
      <c r="Q474" s="12">
        <f t="shared" si="111"/>
        <v>1</v>
      </c>
      <c r="R474" s="12">
        <f t="shared" si="116"/>
        <v>0</v>
      </c>
      <c r="S474" s="246">
        <f t="shared" si="117"/>
        <v>0</v>
      </c>
      <c r="T474" s="821">
        <f t="shared" si="118"/>
        <v>0</v>
      </c>
      <c r="U474" s="2689">
        <f t="shared" si="112"/>
        <v>0</v>
      </c>
      <c r="V474" s="2689">
        <f t="shared" si="113"/>
        <v>0</v>
      </c>
      <c r="W474" s="909"/>
      <c r="X474" s="2689">
        <f t="shared" si="114"/>
        <v>0</v>
      </c>
      <c r="Y474" s="2689">
        <f t="shared" si="115"/>
        <v>0</v>
      </c>
      <c r="Z474" s="909"/>
    </row>
    <row r="475" spans="1:26">
      <c r="A475" s="31"/>
      <c r="B475" s="19"/>
      <c r="C475" s="12">
        <f t="shared" si="104"/>
        <v>1</v>
      </c>
      <c r="D475" s="578"/>
      <c r="E475" s="12">
        <f t="shared" si="105"/>
        <v>1</v>
      </c>
      <c r="F475" s="578"/>
      <c r="G475" s="12">
        <f t="shared" si="106"/>
        <v>1</v>
      </c>
      <c r="H475" s="578"/>
      <c r="I475" s="12">
        <f t="shared" si="107"/>
        <v>1</v>
      </c>
      <c r="J475" s="578"/>
      <c r="K475" s="12">
        <f t="shared" si="108"/>
        <v>1</v>
      </c>
      <c r="L475" s="578"/>
      <c r="M475" s="12">
        <f t="shared" si="109"/>
        <v>1</v>
      </c>
      <c r="N475" s="578"/>
      <c r="O475" s="12">
        <f t="shared" si="110"/>
        <v>1</v>
      </c>
      <c r="P475" s="578"/>
      <c r="Q475" s="12">
        <f t="shared" si="111"/>
        <v>1</v>
      </c>
      <c r="R475" s="12">
        <f t="shared" si="116"/>
        <v>0</v>
      </c>
      <c r="S475" s="246">
        <f t="shared" si="117"/>
        <v>0</v>
      </c>
      <c r="T475" s="821">
        <f t="shared" si="118"/>
        <v>0</v>
      </c>
      <c r="U475" s="2689">
        <f t="shared" si="112"/>
        <v>0</v>
      </c>
      <c r="V475" s="2689">
        <f t="shared" si="113"/>
        <v>0</v>
      </c>
      <c r="W475" s="909"/>
      <c r="X475" s="2689">
        <f t="shared" si="114"/>
        <v>0</v>
      </c>
      <c r="Y475" s="2689">
        <f t="shared" si="115"/>
        <v>0</v>
      </c>
      <c r="Z475" s="909"/>
    </row>
    <row r="476" spans="1:26">
      <c r="A476" s="31"/>
      <c r="B476" s="19"/>
      <c r="C476" s="12">
        <f t="shared" ref="C476:C527" si="119">IF(B476="",1,(LOOKUP(B476,$6:$6,$7:$7)-LOOKUP($B$27,$6:$6,$7:$7)+100)/100)</f>
        <v>1</v>
      </c>
      <c r="D476" s="578"/>
      <c r="E476" s="12">
        <f t="shared" ref="E476:E527" si="120">(SUMIF($8:$8,D476,$9:$9)-SUMIF($8:$8,$D$27,$9:$9)+100)/100</f>
        <v>1</v>
      </c>
      <c r="F476" s="578"/>
      <c r="G476" s="12">
        <f t="shared" ref="G476:G527" si="121">(SUMIF($10:$10,F476,$11:$11)-SUMIF($10:$10,$F$27,$11:$11)+100)/100</f>
        <v>1</v>
      </c>
      <c r="H476" s="578"/>
      <c r="I476" s="12">
        <f t="shared" ref="I476:I527" si="122">(SUMIF($12:$12,H476,$13:$13)-SUMIF($12:$12,$H$27,$13:$13)+100)/100</f>
        <v>1</v>
      </c>
      <c r="J476" s="578"/>
      <c r="K476" s="12">
        <f t="shared" ref="K476:K527" si="123">(SUMIF($14:$14,J476,$15:$15)-SUMIF($14:$14,$J$27,$15:$15)+100)/100</f>
        <v>1</v>
      </c>
      <c r="L476" s="578"/>
      <c r="M476" s="12">
        <f t="shared" ref="M476:M527" si="124">(SUMIF($16:$16,L476,$17:$17)-SUMIF($16:$16,$L$27,$17:$17)+100)/100</f>
        <v>1</v>
      </c>
      <c r="N476" s="578"/>
      <c r="O476" s="12">
        <f t="shared" ref="O476:O527" si="125">(SUMIF($18:$18,N476,$19:$19)-SUMIF($18:$18,$N$27,$19:$19)+100)/100</f>
        <v>1</v>
      </c>
      <c r="P476" s="578"/>
      <c r="Q476" s="12">
        <f t="shared" ref="Q476:Q527" si="126">(SUMIF($20:$20,P476,$21:$21)-SUMIF($20:$20,$P$27,$21:$21)+100)/100</f>
        <v>1</v>
      </c>
      <c r="R476" s="12">
        <f t="shared" si="116"/>
        <v>0</v>
      </c>
      <c r="S476" s="246">
        <f t="shared" si="117"/>
        <v>0</v>
      </c>
      <c r="T476" s="821">
        <f t="shared" si="118"/>
        <v>0</v>
      </c>
      <c r="U476" s="2689">
        <f t="shared" ref="U476:U527" si="127">ROUND(W476*B476,0)</f>
        <v>0</v>
      </c>
      <c r="V476" s="2689">
        <f t="shared" ref="V476:V527" si="128">ROUND(W476*B476/10000,0)</f>
        <v>0</v>
      </c>
      <c r="W476" s="909"/>
      <c r="X476" s="2689">
        <f t="shared" ref="X476:X527" si="129">ROUND(Z476*B476,0)</f>
        <v>0</v>
      </c>
      <c r="Y476" s="2689">
        <f t="shared" ref="Y476:Y527" si="130">ROUND(Z476*B476/10000,0)</f>
        <v>0</v>
      </c>
      <c r="Z476" s="909"/>
    </row>
    <row r="477" spans="1:26">
      <c r="A477" s="31"/>
      <c r="B477" s="19"/>
      <c r="C477" s="12">
        <f t="shared" si="119"/>
        <v>1</v>
      </c>
      <c r="D477" s="578"/>
      <c r="E477" s="12">
        <f t="shared" si="120"/>
        <v>1</v>
      </c>
      <c r="F477" s="578"/>
      <c r="G477" s="12">
        <f t="shared" si="121"/>
        <v>1</v>
      </c>
      <c r="H477" s="578"/>
      <c r="I477" s="12">
        <f t="shared" si="122"/>
        <v>1</v>
      </c>
      <c r="J477" s="578"/>
      <c r="K477" s="12">
        <f t="shared" si="123"/>
        <v>1</v>
      </c>
      <c r="L477" s="578"/>
      <c r="M477" s="12">
        <f t="shared" si="124"/>
        <v>1</v>
      </c>
      <c r="N477" s="578"/>
      <c r="O477" s="12">
        <f t="shared" si="125"/>
        <v>1</v>
      </c>
      <c r="P477" s="578"/>
      <c r="Q477" s="12">
        <f t="shared" si="126"/>
        <v>1</v>
      </c>
      <c r="R477" s="12">
        <f t="shared" ref="R477:R527" si="131">IF(B477="",0,ROUND($R$27*C477*E477*G477*I477*K477*M477*O477*Q477,0))</f>
        <v>0</v>
      </c>
      <c r="S477" s="246">
        <f t="shared" ref="S477:S527" si="132">ROUND(R477*B477,0)</f>
        <v>0</v>
      </c>
      <c r="T477" s="821">
        <f t="shared" ref="T477:T527" si="133">ROUND(R477*B477/10000,0)</f>
        <v>0</v>
      </c>
      <c r="U477" s="2689">
        <f t="shared" si="127"/>
        <v>0</v>
      </c>
      <c r="V477" s="2689">
        <f t="shared" si="128"/>
        <v>0</v>
      </c>
      <c r="W477" s="909"/>
      <c r="X477" s="2689">
        <f t="shared" si="129"/>
        <v>0</v>
      </c>
      <c r="Y477" s="2689">
        <f t="shared" si="130"/>
        <v>0</v>
      </c>
      <c r="Z477" s="909"/>
    </row>
    <row r="478" spans="1:26">
      <c r="A478" s="31"/>
      <c r="B478" s="19"/>
      <c r="C478" s="12">
        <f t="shared" si="119"/>
        <v>1</v>
      </c>
      <c r="D478" s="578"/>
      <c r="E478" s="12">
        <f t="shared" si="120"/>
        <v>1</v>
      </c>
      <c r="F478" s="578"/>
      <c r="G478" s="12">
        <f t="shared" si="121"/>
        <v>1</v>
      </c>
      <c r="H478" s="578"/>
      <c r="I478" s="12">
        <f t="shared" si="122"/>
        <v>1</v>
      </c>
      <c r="J478" s="578"/>
      <c r="K478" s="12">
        <f t="shared" si="123"/>
        <v>1</v>
      </c>
      <c r="L478" s="578"/>
      <c r="M478" s="12">
        <f t="shared" si="124"/>
        <v>1</v>
      </c>
      <c r="N478" s="578"/>
      <c r="O478" s="12">
        <f t="shared" si="125"/>
        <v>1</v>
      </c>
      <c r="P478" s="578"/>
      <c r="Q478" s="12">
        <f t="shared" si="126"/>
        <v>1</v>
      </c>
      <c r="R478" s="12">
        <f t="shared" si="131"/>
        <v>0</v>
      </c>
      <c r="S478" s="246">
        <f t="shared" si="132"/>
        <v>0</v>
      </c>
      <c r="T478" s="821">
        <f t="shared" si="133"/>
        <v>0</v>
      </c>
      <c r="U478" s="2689">
        <f t="shared" si="127"/>
        <v>0</v>
      </c>
      <c r="V478" s="2689">
        <f t="shared" si="128"/>
        <v>0</v>
      </c>
      <c r="W478" s="909"/>
      <c r="X478" s="2689">
        <f t="shared" si="129"/>
        <v>0</v>
      </c>
      <c r="Y478" s="2689">
        <f t="shared" si="130"/>
        <v>0</v>
      </c>
      <c r="Z478" s="909"/>
    </row>
    <row r="479" spans="1:26">
      <c r="A479" s="31"/>
      <c r="B479" s="19"/>
      <c r="C479" s="12">
        <f t="shared" si="119"/>
        <v>1</v>
      </c>
      <c r="D479" s="578"/>
      <c r="E479" s="12">
        <f t="shared" si="120"/>
        <v>1</v>
      </c>
      <c r="F479" s="578"/>
      <c r="G479" s="12">
        <f t="shared" si="121"/>
        <v>1</v>
      </c>
      <c r="H479" s="578"/>
      <c r="I479" s="12">
        <f t="shared" si="122"/>
        <v>1</v>
      </c>
      <c r="J479" s="578"/>
      <c r="K479" s="12">
        <f t="shared" si="123"/>
        <v>1</v>
      </c>
      <c r="L479" s="578"/>
      <c r="M479" s="12">
        <f t="shared" si="124"/>
        <v>1</v>
      </c>
      <c r="N479" s="578"/>
      <c r="O479" s="12">
        <f t="shared" si="125"/>
        <v>1</v>
      </c>
      <c r="P479" s="578"/>
      <c r="Q479" s="12">
        <f t="shared" si="126"/>
        <v>1</v>
      </c>
      <c r="R479" s="12">
        <f t="shared" si="131"/>
        <v>0</v>
      </c>
      <c r="S479" s="246">
        <f t="shared" si="132"/>
        <v>0</v>
      </c>
      <c r="T479" s="821">
        <f t="shared" si="133"/>
        <v>0</v>
      </c>
      <c r="U479" s="2689">
        <f t="shared" si="127"/>
        <v>0</v>
      </c>
      <c r="V479" s="2689">
        <f t="shared" si="128"/>
        <v>0</v>
      </c>
      <c r="W479" s="909"/>
      <c r="X479" s="2689">
        <f t="shared" si="129"/>
        <v>0</v>
      </c>
      <c r="Y479" s="2689">
        <f t="shared" si="130"/>
        <v>0</v>
      </c>
      <c r="Z479" s="909"/>
    </row>
    <row r="480" spans="1:26">
      <c r="A480" s="31"/>
      <c r="B480" s="19"/>
      <c r="C480" s="12">
        <f t="shared" si="119"/>
        <v>1</v>
      </c>
      <c r="D480" s="578"/>
      <c r="E480" s="12">
        <f t="shared" si="120"/>
        <v>1</v>
      </c>
      <c r="F480" s="578"/>
      <c r="G480" s="12">
        <f t="shared" si="121"/>
        <v>1</v>
      </c>
      <c r="H480" s="578"/>
      <c r="I480" s="12">
        <f t="shared" si="122"/>
        <v>1</v>
      </c>
      <c r="J480" s="578"/>
      <c r="K480" s="12">
        <f t="shared" si="123"/>
        <v>1</v>
      </c>
      <c r="L480" s="578"/>
      <c r="M480" s="12">
        <f t="shared" si="124"/>
        <v>1</v>
      </c>
      <c r="N480" s="578"/>
      <c r="O480" s="12">
        <f t="shared" si="125"/>
        <v>1</v>
      </c>
      <c r="P480" s="578"/>
      <c r="Q480" s="12">
        <f t="shared" si="126"/>
        <v>1</v>
      </c>
      <c r="R480" s="12">
        <f t="shared" si="131"/>
        <v>0</v>
      </c>
      <c r="S480" s="246">
        <f t="shared" si="132"/>
        <v>0</v>
      </c>
      <c r="T480" s="821">
        <f t="shared" si="133"/>
        <v>0</v>
      </c>
      <c r="U480" s="2689">
        <f t="shared" si="127"/>
        <v>0</v>
      </c>
      <c r="V480" s="2689">
        <f t="shared" si="128"/>
        <v>0</v>
      </c>
      <c r="W480" s="909"/>
      <c r="X480" s="2689">
        <f t="shared" si="129"/>
        <v>0</v>
      </c>
      <c r="Y480" s="2689">
        <f t="shared" si="130"/>
        <v>0</v>
      </c>
      <c r="Z480" s="909"/>
    </row>
    <row r="481" spans="1:26">
      <c r="A481" s="31"/>
      <c r="B481" s="19"/>
      <c r="C481" s="12">
        <f t="shared" si="119"/>
        <v>1</v>
      </c>
      <c r="D481" s="578"/>
      <c r="E481" s="12">
        <f t="shared" si="120"/>
        <v>1</v>
      </c>
      <c r="F481" s="578"/>
      <c r="G481" s="12">
        <f t="shared" si="121"/>
        <v>1</v>
      </c>
      <c r="H481" s="578"/>
      <c r="I481" s="12">
        <f t="shared" si="122"/>
        <v>1</v>
      </c>
      <c r="J481" s="578"/>
      <c r="K481" s="12">
        <f t="shared" si="123"/>
        <v>1</v>
      </c>
      <c r="L481" s="578"/>
      <c r="M481" s="12">
        <f t="shared" si="124"/>
        <v>1</v>
      </c>
      <c r="N481" s="578"/>
      <c r="O481" s="12">
        <f t="shared" si="125"/>
        <v>1</v>
      </c>
      <c r="P481" s="578"/>
      <c r="Q481" s="12">
        <f t="shared" si="126"/>
        <v>1</v>
      </c>
      <c r="R481" s="12">
        <f t="shared" si="131"/>
        <v>0</v>
      </c>
      <c r="S481" s="246">
        <f t="shared" si="132"/>
        <v>0</v>
      </c>
      <c r="T481" s="821">
        <f t="shared" si="133"/>
        <v>0</v>
      </c>
      <c r="U481" s="2689">
        <f t="shared" si="127"/>
        <v>0</v>
      </c>
      <c r="V481" s="2689">
        <f t="shared" si="128"/>
        <v>0</v>
      </c>
      <c r="W481" s="909"/>
      <c r="X481" s="2689">
        <f t="shared" si="129"/>
        <v>0</v>
      </c>
      <c r="Y481" s="2689">
        <f t="shared" si="130"/>
        <v>0</v>
      </c>
      <c r="Z481" s="909"/>
    </row>
    <row r="482" spans="1:26">
      <c r="A482" s="31"/>
      <c r="B482" s="19"/>
      <c r="C482" s="12">
        <f t="shared" si="119"/>
        <v>1</v>
      </c>
      <c r="D482" s="578"/>
      <c r="E482" s="12">
        <f t="shared" si="120"/>
        <v>1</v>
      </c>
      <c r="F482" s="578"/>
      <c r="G482" s="12">
        <f t="shared" si="121"/>
        <v>1</v>
      </c>
      <c r="H482" s="578"/>
      <c r="I482" s="12">
        <f t="shared" si="122"/>
        <v>1</v>
      </c>
      <c r="J482" s="578"/>
      <c r="K482" s="12">
        <f t="shared" si="123"/>
        <v>1</v>
      </c>
      <c r="L482" s="578"/>
      <c r="M482" s="12">
        <f t="shared" si="124"/>
        <v>1</v>
      </c>
      <c r="N482" s="578"/>
      <c r="O482" s="12">
        <f t="shared" si="125"/>
        <v>1</v>
      </c>
      <c r="P482" s="578"/>
      <c r="Q482" s="12">
        <f t="shared" si="126"/>
        <v>1</v>
      </c>
      <c r="R482" s="12">
        <f t="shared" si="131"/>
        <v>0</v>
      </c>
      <c r="S482" s="246">
        <f t="shared" si="132"/>
        <v>0</v>
      </c>
      <c r="T482" s="821">
        <f t="shared" si="133"/>
        <v>0</v>
      </c>
      <c r="U482" s="2689">
        <f t="shared" si="127"/>
        <v>0</v>
      </c>
      <c r="V482" s="2689">
        <f t="shared" si="128"/>
        <v>0</v>
      </c>
      <c r="W482" s="909"/>
      <c r="X482" s="2689">
        <f t="shared" si="129"/>
        <v>0</v>
      </c>
      <c r="Y482" s="2689">
        <f t="shared" si="130"/>
        <v>0</v>
      </c>
      <c r="Z482" s="909"/>
    </row>
    <row r="483" spans="1:26">
      <c r="A483" s="31"/>
      <c r="B483" s="19"/>
      <c r="C483" s="12">
        <f t="shared" si="119"/>
        <v>1</v>
      </c>
      <c r="D483" s="578"/>
      <c r="E483" s="12">
        <f t="shared" si="120"/>
        <v>1</v>
      </c>
      <c r="F483" s="578"/>
      <c r="G483" s="12">
        <f t="shared" si="121"/>
        <v>1</v>
      </c>
      <c r="H483" s="578"/>
      <c r="I483" s="12">
        <f t="shared" si="122"/>
        <v>1</v>
      </c>
      <c r="J483" s="578"/>
      <c r="K483" s="12">
        <f t="shared" si="123"/>
        <v>1</v>
      </c>
      <c r="L483" s="578"/>
      <c r="M483" s="12">
        <f t="shared" si="124"/>
        <v>1</v>
      </c>
      <c r="N483" s="578"/>
      <c r="O483" s="12">
        <f t="shared" si="125"/>
        <v>1</v>
      </c>
      <c r="P483" s="578"/>
      <c r="Q483" s="12">
        <f t="shared" si="126"/>
        <v>1</v>
      </c>
      <c r="R483" s="12">
        <f t="shared" si="131"/>
        <v>0</v>
      </c>
      <c r="S483" s="246">
        <f t="shared" si="132"/>
        <v>0</v>
      </c>
      <c r="T483" s="821">
        <f t="shared" si="133"/>
        <v>0</v>
      </c>
      <c r="U483" s="2689">
        <f t="shared" si="127"/>
        <v>0</v>
      </c>
      <c r="V483" s="2689">
        <f t="shared" si="128"/>
        <v>0</v>
      </c>
      <c r="W483" s="909"/>
      <c r="X483" s="2689">
        <f t="shared" si="129"/>
        <v>0</v>
      </c>
      <c r="Y483" s="2689">
        <f t="shared" si="130"/>
        <v>0</v>
      </c>
      <c r="Z483" s="909"/>
    </row>
    <row r="484" spans="1:26">
      <c r="A484" s="31"/>
      <c r="B484" s="19"/>
      <c r="C484" s="12">
        <f t="shared" si="119"/>
        <v>1</v>
      </c>
      <c r="D484" s="578"/>
      <c r="E484" s="12">
        <f t="shared" si="120"/>
        <v>1</v>
      </c>
      <c r="F484" s="578"/>
      <c r="G484" s="12">
        <f t="shared" si="121"/>
        <v>1</v>
      </c>
      <c r="H484" s="578"/>
      <c r="I484" s="12">
        <f t="shared" si="122"/>
        <v>1</v>
      </c>
      <c r="J484" s="578"/>
      <c r="K484" s="12">
        <f t="shared" si="123"/>
        <v>1</v>
      </c>
      <c r="L484" s="578"/>
      <c r="M484" s="12">
        <f t="shared" si="124"/>
        <v>1</v>
      </c>
      <c r="N484" s="578"/>
      <c r="O484" s="12">
        <f t="shared" si="125"/>
        <v>1</v>
      </c>
      <c r="P484" s="578"/>
      <c r="Q484" s="12">
        <f t="shared" si="126"/>
        <v>1</v>
      </c>
      <c r="R484" s="12">
        <f t="shared" si="131"/>
        <v>0</v>
      </c>
      <c r="S484" s="246">
        <f t="shared" si="132"/>
        <v>0</v>
      </c>
      <c r="T484" s="821">
        <f t="shared" si="133"/>
        <v>0</v>
      </c>
      <c r="U484" s="2689">
        <f t="shared" si="127"/>
        <v>0</v>
      </c>
      <c r="V484" s="2689">
        <f t="shared" si="128"/>
        <v>0</v>
      </c>
      <c r="W484" s="909"/>
      <c r="X484" s="2689">
        <f t="shared" si="129"/>
        <v>0</v>
      </c>
      <c r="Y484" s="2689">
        <f t="shared" si="130"/>
        <v>0</v>
      </c>
      <c r="Z484" s="909"/>
    </row>
    <row r="485" spans="1:26">
      <c r="A485" s="31"/>
      <c r="B485" s="19"/>
      <c r="C485" s="12">
        <f t="shared" si="119"/>
        <v>1</v>
      </c>
      <c r="D485" s="578"/>
      <c r="E485" s="12">
        <f t="shared" si="120"/>
        <v>1</v>
      </c>
      <c r="F485" s="578"/>
      <c r="G485" s="12">
        <f t="shared" si="121"/>
        <v>1</v>
      </c>
      <c r="H485" s="578"/>
      <c r="I485" s="12">
        <f t="shared" si="122"/>
        <v>1</v>
      </c>
      <c r="J485" s="578"/>
      <c r="K485" s="12">
        <f t="shared" si="123"/>
        <v>1</v>
      </c>
      <c r="L485" s="578"/>
      <c r="M485" s="12">
        <f t="shared" si="124"/>
        <v>1</v>
      </c>
      <c r="N485" s="578"/>
      <c r="O485" s="12">
        <f t="shared" si="125"/>
        <v>1</v>
      </c>
      <c r="P485" s="578"/>
      <c r="Q485" s="12">
        <f t="shared" si="126"/>
        <v>1</v>
      </c>
      <c r="R485" s="12">
        <f t="shared" si="131"/>
        <v>0</v>
      </c>
      <c r="S485" s="246">
        <f t="shared" si="132"/>
        <v>0</v>
      </c>
      <c r="T485" s="821">
        <f t="shared" si="133"/>
        <v>0</v>
      </c>
      <c r="U485" s="2689">
        <f t="shared" si="127"/>
        <v>0</v>
      </c>
      <c r="V485" s="2689">
        <f t="shared" si="128"/>
        <v>0</v>
      </c>
      <c r="W485" s="909"/>
      <c r="X485" s="2689">
        <f t="shared" si="129"/>
        <v>0</v>
      </c>
      <c r="Y485" s="2689">
        <f t="shared" si="130"/>
        <v>0</v>
      </c>
      <c r="Z485" s="909"/>
    </row>
    <row r="486" spans="1:26">
      <c r="A486" s="31"/>
      <c r="B486" s="19"/>
      <c r="C486" s="12">
        <f t="shared" si="119"/>
        <v>1</v>
      </c>
      <c r="D486" s="578"/>
      <c r="E486" s="12">
        <f t="shared" si="120"/>
        <v>1</v>
      </c>
      <c r="F486" s="578"/>
      <c r="G486" s="12">
        <f t="shared" si="121"/>
        <v>1</v>
      </c>
      <c r="H486" s="578"/>
      <c r="I486" s="12">
        <f t="shared" si="122"/>
        <v>1</v>
      </c>
      <c r="J486" s="578"/>
      <c r="K486" s="12">
        <f t="shared" si="123"/>
        <v>1</v>
      </c>
      <c r="L486" s="578"/>
      <c r="M486" s="12">
        <f t="shared" si="124"/>
        <v>1</v>
      </c>
      <c r="N486" s="578"/>
      <c r="O486" s="12">
        <f t="shared" si="125"/>
        <v>1</v>
      </c>
      <c r="P486" s="578"/>
      <c r="Q486" s="12">
        <f t="shared" si="126"/>
        <v>1</v>
      </c>
      <c r="R486" s="12">
        <f t="shared" si="131"/>
        <v>0</v>
      </c>
      <c r="S486" s="246">
        <f t="shared" si="132"/>
        <v>0</v>
      </c>
      <c r="T486" s="821">
        <f t="shared" si="133"/>
        <v>0</v>
      </c>
      <c r="U486" s="2689">
        <f t="shared" si="127"/>
        <v>0</v>
      </c>
      <c r="V486" s="2689">
        <f t="shared" si="128"/>
        <v>0</v>
      </c>
      <c r="W486" s="909"/>
      <c r="X486" s="2689">
        <f t="shared" si="129"/>
        <v>0</v>
      </c>
      <c r="Y486" s="2689">
        <f t="shared" si="130"/>
        <v>0</v>
      </c>
      <c r="Z486" s="909"/>
    </row>
    <row r="487" spans="1:26">
      <c r="A487" s="31"/>
      <c r="B487" s="19"/>
      <c r="C487" s="12">
        <f t="shared" si="119"/>
        <v>1</v>
      </c>
      <c r="D487" s="578"/>
      <c r="E487" s="12">
        <f t="shared" si="120"/>
        <v>1</v>
      </c>
      <c r="F487" s="578"/>
      <c r="G487" s="12">
        <f t="shared" si="121"/>
        <v>1</v>
      </c>
      <c r="H487" s="578"/>
      <c r="I487" s="12">
        <f t="shared" si="122"/>
        <v>1</v>
      </c>
      <c r="J487" s="578"/>
      <c r="K487" s="12">
        <f t="shared" si="123"/>
        <v>1</v>
      </c>
      <c r="L487" s="578"/>
      <c r="M487" s="12">
        <f t="shared" si="124"/>
        <v>1</v>
      </c>
      <c r="N487" s="578"/>
      <c r="O487" s="12">
        <f t="shared" si="125"/>
        <v>1</v>
      </c>
      <c r="P487" s="578"/>
      <c r="Q487" s="12">
        <f t="shared" si="126"/>
        <v>1</v>
      </c>
      <c r="R487" s="12">
        <f t="shared" si="131"/>
        <v>0</v>
      </c>
      <c r="S487" s="246">
        <f t="shared" si="132"/>
        <v>0</v>
      </c>
      <c r="T487" s="821">
        <f t="shared" si="133"/>
        <v>0</v>
      </c>
      <c r="U487" s="2689">
        <f t="shared" si="127"/>
        <v>0</v>
      </c>
      <c r="V487" s="2689">
        <f t="shared" si="128"/>
        <v>0</v>
      </c>
      <c r="W487" s="909"/>
      <c r="X487" s="2689">
        <f t="shared" si="129"/>
        <v>0</v>
      </c>
      <c r="Y487" s="2689">
        <f t="shared" si="130"/>
        <v>0</v>
      </c>
      <c r="Z487" s="909"/>
    </row>
    <row r="488" spans="1:26">
      <c r="A488" s="31"/>
      <c r="B488" s="19"/>
      <c r="C488" s="12">
        <f t="shared" si="119"/>
        <v>1</v>
      </c>
      <c r="D488" s="578"/>
      <c r="E488" s="12">
        <f t="shared" si="120"/>
        <v>1</v>
      </c>
      <c r="F488" s="578"/>
      <c r="G488" s="12">
        <f t="shared" si="121"/>
        <v>1</v>
      </c>
      <c r="H488" s="578"/>
      <c r="I488" s="12">
        <f t="shared" si="122"/>
        <v>1</v>
      </c>
      <c r="J488" s="578"/>
      <c r="K488" s="12">
        <f t="shared" si="123"/>
        <v>1</v>
      </c>
      <c r="L488" s="578"/>
      <c r="M488" s="12">
        <f t="shared" si="124"/>
        <v>1</v>
      </c>
      <c r="N488" s="578"/>
      <c r="O488" s="12">
        <f t="shared" si="125"/>
        <v>1</v>
      </c>
      <c r="P488" s="578"/>
      <c r="Q488" s="12">
        <f t="shared" si="126"/>
        <v>1</v>
      </c>
      <c r="R488" s="12">
        <f t="shared" si="131"/>
        <v>0</v>
      </c>
      <c r="S488" s="246">
        <f t="shared" si="132"/>
        <v>0</v>
      </c>
      <c r="T488" s="821">
        <f t="shared" si="133"/>
        <v>0</v>
      </c>
      <c r="U488" s="2689">
        <f t="shared" si="127"/>
        <v>0</v>
      </c>
      <c r="V488" s="2689">
        <f t="shared" si="128"/>
        <v>0</v>
      </c>
      <c r="W488" s="909"/>
      <c r="X488" s="2689">
        <f t="shared" si="129"/>
        <v>0</v>
      </c>
      <c r="Y488" s="2689">
        <f t="shared" si="130"/>
        <v>0</v>
      </c>
      <c r="Z488" s="909"/>
    </row>
    <row r="489" spans="1:26">
      <c r="A489" s="31"/>
      <c r="B489" s="19"/>
      <c r="C489" s="12">
        <f t="shared" si="119"/>
        <v>1</v>
      </c>
      <c r="D489" s="578"/>
      <c r="E489" s="12">
        <f t="shared" si="120"/>
        <v>1</v>
      </c>
      <c r="F489" s="578"/>
      <c r="G489" s="12">
        <f t="shared" si="121"/>
        <v>1</v>
      </c>
      <c r="H489" s="578"/>
      <c r="I489" s="12">
        <f t="shared" si="122"/>
        <v>1</v>
      </c>
      <c r="J489" s="578"/>
      <c r="K489" s="12">
        <f t="shared" si="123"/>
        <v>1</v>
      </c>
      <c r="L489" s="578"/>
      <c r="M489" s="12">
        <f t="shared" si="124"/>
        <v>1</v>
      </c>
      <c r="N489" s="578"/>
      <c r="O489" s="12">
        <f t="shared" si="125"/>
        <v>1</v>
      </c>
      <c r="P489" s="578"/>
      <c r="Q489" s="12">
        <f t="shared" si="126"/>
        <v>1</v>
      </c>
      <c r="R489" s="12">
        <f t="shared" si="131"/>
        <v>0</v>
      </c>
      <c r="S489" s="246">
        <f t="shared" si="132"/>
        <v>0</v>
      </c>
      <c r="T489" s="821">
        <f t="shared" si="133"/>
        <v>0</v>
      </c>
      <c r="U489" s="2689">
        <f t="shared" si="127"/>
        <v>0</v>
      </c>
      <c r="V489" s="2689">
        <f t="shared" si="128"/>
        <v>0</v>
      </c>
      <c r="W489" s="909"/>
      <c r="X489" s="2689">
        <f t="shared" si="129"/>
        <v>0</v>
      </c>
      <c r="Y489" s="2689">
        <f t="shared" si="130"/>
        <v>0</v>
      </c>
      <c r="Z489" s="909"/>
    </row>
    <row r="490" spans="1:26">
      <c r="A490" s="31"/>
      <c r="B490" s="19"/>
      <c r="C490" s="12">
        <f t="shared" si="119"/>
        <v>1</v>
      </c>
      <c r="D490" s="578"/>
      <c r="E490" s="12">
        <f t="shared" si="120"/>
        <v>1</v>
      </c>
      <c r="F490" s="578"/>
      <c r="G490" s="12">
        <f t="shared" si="121"/>
        <v>1</v>
      </c>
      <c r="H490" s="578"/>
      <c r="I490" s="12">
        <f t="shared" si="122"/>
        <v>1</v>
      </c>
      <c r="J490" s="578"/>
      <c r="K490" s="12">
        <f t="shared" si="123"/>
        <v>1</v>
      </c>
      <c r="L490" s="578"/>
      <c r="M490" s="12">
        <f t="shared" si="124"/>
        <v>1</v>
      </c>
      <c r="N490" s="578"/>
      <c r="O490" s="12">
        <f t="shared" si="125"/>
        <v>1</v>
      </c>
      <c r="P490" s="578"/>
      <c r="Q490" s="12">
        <f t="shared" si="126"/>
        <v>1</v>
      </c>
      <c r="R490" s="12">
        <f t="shared" si="131"/>
        <v>0</v>
      </c>
      <c r="S490" s="246">
        <f t="shared" si="132"/>
        <v>0</v>
      </c>
      <c r="T490" s="821">
        <f t="shared" si="133"/>
        <v>0</v>
      </c>
      <c r="U490" s="2689">
        <f t="shared" si="127"/>
        <v>0</v>
      </c>
      <c r="V490" s="2689">
        <f t="shared" si="128"/>
        <v>0</v>
      </c>
      <c r="W490" s="909"/>
      <c r="X490" s="2689">
        <f t="shared" si="129"/>
        <v>0</v>
      </c>
      <c r="Y490" s="2689">
        <f t="shared" si="130"/>
        <v>0</v>
      </c>
      <c r="Z490" s="909"/>
    </row>
    <row r="491" spans="1:26">
      <c r="A491" s="31"/>
      <c r="B491" s="19"/>
      <c r="C491" s="12">
        <f t="shared" si="119"/>
        <v>1</v>
      </c>
      <c r="D491" s="578"/>
      <c r="E491" s="12">
        <f t="shared" si="120"/>
        <v>1</v>
      </c>
      <c r="F491" s="578"/>
      <c r="G491" s="12">
        <f t="shared" si="121"/>
        <v>1</v>
      </c>
      <c r="H491" s="578"/>
      <c r="I491" s="12">
        <f t="shared" si="122"/>
        <v>1</v>
      </c>
      <c r="J491" s="578"/>
      <c r="K491" s="12">
        <f t="shared" si="123"/>
        <v>1</v>
      </c>
      <c r="L491" s="578"/>
      <c r="M491" s="12">
        <f t="shared" si="124"/>
        <v>1</v>
      </c>
      <c r="N491" s="578"/>
      <c r="O491" s="12">
        <f t="shared" si="125"/>
        <v>1</v>
      </c>
      <c r="P491" s="578"/>
      <c r="Q491" s="12">
        <f t="shared" si="126"/>
        <v>1</v>
      </c>
      <c r="R491" s="12">
        <f t="shared" si="131"/>
        <v>0</v>
      </c>
      <c r="S491" s="246">
        <f t="shared" si="132"/>
        <v>0</v>
      </c>
      <c r="T491" s="821">
        <f t="shared" si="133"/>
        <v>0</v>
      </c>
      <c r="U491" s="2689">
        <f t="shared" si="127"/>
        <v>0</v>
      </c>
      <c r="V491" s="2689">
        <f t="shared" si="128"/>
        <v>0</v>
      </c>
      <c r="W491" s="909"/>
      <c r="X491" s="2689">
        <f t="shared" si="129"/>
        <v>0</v>
      </c>
      <c r="Y491" s="2689">
        <f t="shared" si="130"/>
        <v>0</v>
      </c>
      <c r="Z491" s="909"/>
    </row>
    <row r="492" spans="1:26">
      <c r="A492" s="31"/>
      <c r="B492" s="19"/>
      <c r="C492" s="12">
        <f t="shared" si="119"/>
        <v>1</v>
      </c>
      <c r="D492" s="578"/>
      <c r="E492" s="12">
        <f t="shared" si="120"/>
        <v>1</v>
      </c>
      <c r="F492" s="578"/>
      <c r="G492" s="12">
        <f t="shared" si="121"/>
        <v>1</v>
      </c>
      <c r="H492" s="578"/>
      <c r="I492" s="12">
        <f t="shared" si="122"/>
        <v>1</v>
      </c>
      <c r="J492" s="578"/>
      <c r="K492" s="12">
        <f t="shared" si="123"/>
        <v>1</v>
      </c>
      <c r="L492" s="578"/>
      <c r="M492" s="12">
        <f t="shared" si="124"/>
        <v>1</v>
      </c>
      <c r="N492" s="578"/>
      <c r="O492" s="12">
        <f t="shared" si="125"/>
        <v>1</v>
      </c>
      <c r="P492" s="578"/>
      <c r="Q492" s="12">
        <f t="shared" si="126"/>
        <v>1</v>
      </c>
      <c r="R492" s="12">
        <f t="shared" si="131"/>
        <v>0</v>
      </c>
      <c r="S492" s="246">
        <f t="shared" si="132"/>
        <v>0</v>
      </c>
      <c r="T492" s="821">
        <f t="shared" si="133"/>
        <v>0</v>
      </c>
      <c r="U492" s="2689">
        <f t="shared" si="127"/>
        <v>0</v>
      </c>
      <c r="V492" s="2689">
        <f t="shared" si="128"/>
        <v>0</v>
      </c>
      <c r="W492" s="909"/>
      <c r="X492" s="2689">
        <f t="shared" si="129"/>
        <v>0</v>
      </c>
      <c r="Y492" s="2689">
        <f t="shared" si="130"/>
        <v>0</v>
      </c>
      <c r="Z492" s="909"/>
    </row>
    <row r="493" spans="1:26">
      <c r="A493" s="31"/>
      <c r="B493" s="19"/>
      <c r="C493" s="12">
        <f t="shared" si="119"/>
        <v>1</v>
      </c>
      <c r="D493" s="578"/>
      <c r="E493" s="12">
        <f t="shared" si="120"/>
        <v>1</v>
      </c>
      <c r="F493" s="578"/>
      <c r="G493" s="12">
        <f t="shared" si="121"/>
        <v>1</v>
      </c>
      <c r="H493" s="578"/>
      <c r="I493" s="12">
        <f t="shared" si="122"/>
        <v>1</v>
      </c>
      <c r="J493" s="578"/>
      <c r="K493" s="12">
        <f t="shared" si="123"/>
        <v>1</v>
      </c>
      <c r="L493" s="578"/>
      <c r="M493" s="12">
        <f t="shared" si="124"/>
        <v>1</v>
      </c>
      <c r="N493" s="578"/>
      <c r="O493" s="12">
        <f t="shared" si="125"/>
        <v>1</v>
      </c>
      <c r="P493" s="578"/>
      <c r="Q493" s="12">
        <f t="shared" si="126"/>
        <v>1</v>
      </c>
      <c r="R493" s="12">
        <f t="shared" si="131"/>
        <v>0</v>
      </c>
      <c r="S493" s="246">
        <f t="shared" si="132"/>
        <v>0</v>
      </c>
      <c r="T493" s="821">
        <f t="shared" si="133"/>
        <v>0</v>
      </c>
      <c r="U493" s="2689">
        <f t="shared" si="127"/>
        <v>0</v>
      </c>
      <c r="V493" s="2689">
        <f t="shared" si="128"/>
        <v>0</v>
      </c>
      <c r="W493" s="909"/>
      <c r="X493" s="2689">
        <f t="shared" si="129"/>
        <v>0</v>
      </c>
      <c r="Y493" s="2689">
        <f t="shared" si="130"/>
        <v>0</v>
      </c>
      <c r="Z493" s="909"/>
    </row>
    <row r="494" spans="1:26">
      <c r="A494" s="31"/>
      <c r="B494" s="19"/>
      <c r="C494" s="12">
        <f t="shared" si="119"/>
        <v>1</v>
      </c>
      <c r="D494" s="578"/>
      <c r="E494" s="12">
        <f t="shared" si="120"/>
        <v>1</v>
      </c>
      <c r="F494" s="578"/>
      <c r="G494" s="12">
        <f t="shared" si="121"/>
        <v>1</v>
      </c>
      <c r="H494" s="578"/>
      <c r="I494" s="12">
        <f t="shared" si="122"/>
        <v>1</v>
      </c>
      <c r="J494" s="578"/>
      <c r="K494" s="12">
        <f t="shared" si="123"/>
        <v>1</v>
      </c>
      <c r="L494" s="578"/>
      <c r="M494" s="12">
        <f t="shared" si="124"/>
        <v>1</v>
      </c>
      <c r="N494" s="578"/>
      <c r="O494" s="12">
        <f t="shared" si="125"/>
        <v>1</v>
      </c>
      <c r="P494" s="578"/>
      <c r="Q494" s="12">
        <f t="shared" si="126"/>
        <v>1</v>
      </c>
      <c r="R494" s="12">
        <f t="shared" si="131"/>
        <v>0</v>
      </c>
      <c r="S494" s="246">
        <f t="shared" si="132"/>
        <v>0</v>
      </c>
      <c r="T494" s="821">
        <f t="shared" si="133"/>
        <v>0</v>
      </c>
      <c r="U494" s="2689">
        <f t="shared" si="127"/>
        <v>0</v>
      </c>
      <c r="V494" s="2689">
        <f t="shared" si="128"/>
        <v>0</v>
      </c>
      <c r="W494" s="909"/>
      <c r="X494" s="2689">
        <f t="shared" si="129"/>
        <v>0</v>
      </c>
      <c r="Y494" s="2689">
        <f t="shared" si="130"/>
        <v>0</v>
      </c>
      <c r="Z494" s="909"/>
    </row>
    <row r="495" spans="1:26">
      <c r="A495" s="31"/>
      <c r="B495" s="19"/>
      <c r="C495" s="12">
        <f t="shared" si="119"/>
        <v>1</v>
      </c>
      <c r="D495" s="578"/>
      <c r="E495" s="12">
        <f t="shared" si="120"/>
        <v>1</v>
      </c>
      <c r="F495" s="578"/>
      <c r="G495" s="12">
        <f t="shared" si="121"/>
        <v>1</v>
      </c>
      <c r="H495" s="578"/>
      <c r="I495" s="12">
        <f t="shared" si="122"/>
        <v>1</v>
      </c>
      <c r="J495" s="578"/>
      <c r="K495" s="12">
        <f t="shared" si="123"/>
        <v>1</v>
      </c>
      <c r="L495" s="578"/>
      <c r="M495" s="12">
        <f t="shared" si="124"/>
        <v>1</v>
      </c>
      <c r="N495" s="578"/>
      <c r="O495" s="12">
        <f t="shared" si="125"/>
        <v>1</v>
      </c>
      <c r="P495" s="578"/>
      <c r="Q495" s="12">
        <f t="shared" si="126"/>
        <v>1</v>
      </c>
      <c r="R495" s="12">
        <f t="shared" si="131"/>
        <v>0</v>
      </c>
      <c r="S495" s="246">
        <f t="shared" si="132"/>
        <v>0</v>
      </c>
      <c r="T495" s="821">
        <f t="shared" si="133"/>
        <v>0</v>
      </c>
      <c r="U495" s="2689">
        <f t="shared" si="127"/>
        <v>0</v>
      </c>
      <c r="V495" s="2689">
        <f t="shared" si="128"/>
        <v>0</v>
      </c>
      <c r="W495" s="909"/>
      <c r="X495" s="2689">
        <f t="shared" si="129"/>
        <v>0</v>
      </c>
      <c r="Y495" s="2689">
        <f t="shared" si="130"/>
        <v>0</v>
      </c>
      <c r="Z495" s="909"/>
    </row>
    <row r="496" spans="1:26">
      <c r="A496" s="31"/>
      <c r="B496" s="19"/>
      <c r="C496" s="12">
        <f t="shared" si="119"/>
        <v>1</v>
      </c>
      <c r="D496" s="578"/>
      <c r="E496" s="12">
        <f t="shared" si="120"/>
        <v>1</v>
      </c>
      <c r="F496" s="578"/>
      <c r="G496" s="12">
        <f t="shared" si="121"/>
        <v>1</v>
      </c>
      <c r="H496" s="578"/>
      <c r="I496" s="12">
        <f t="shared" si="122"/>
        <v>1</v>
      </c>
      <c r="J496" s="578"/>
      <c r="K496" s="12">
        <f t="shared" si="123"/>
        <v>1</v>
      </c>
      <c r="L496" s="578"/>
      <c r="M496" s="12">
        <f t="shared" si="124"/>
        <v>1</v>
      </c>
      <c r="N496" s="578"/>
      <c r="O496" s="12">
        <f t="shared" si="125"/>
        <v>1</v>
      </c>
      <c r="P496" s="578"/>
      <c r="Q496" s="12">
        <f t="shared" si="126"/>
        <v>1</v>
      </c>
      <c r="R496" s="12">
        <f t="shared" si="131"/>
        <v>0</v>
      </c>
      <c r="S496" s="246">
        <f t="shared" si="132"/>
        <v>0</v>
      </c>
      <c r="T496" s="821">
        <f t="shared" si="133"/>
        <v>0</v>
      </c>
      <c r="U496" s="2689">
        <f t="shared" si="127"/>
        <v>0</v>
      </c>
      <c r="V496" s="2689">
        <f t="shared" si="128"/>
        <v>0</v>
      </c>
      <c r="W496" s="909"/>
      <c r="X496" s="2689">
        <f t="shared" si="129"/>
        <v>0</v>
      </c>
      <c r="Y496" s="2689">
        <f t="shared" si="130"/>
        <v>0</v>
      </c>
      <c r="Z496" s="909"/>
    </row>
    <row r="497" spans="1:26">
      <c r="A497" s="31"/>
      <c r="B497" s="19"/>
      <c r="C497" s="12">
        <f t="shared" si="119"/>
        <v>1</v>
      </c>
      <c r="D497" s="578"/>
      <c r="E497" s="12">
        <f t="shared" si="120"/>
        <v>1</v>
      </c>
      <c r="F497" s="578"/>
      <c r="G497" s="12">
        <f t="shared" si="121"/>
        <v>1</v>
      </c>
      <c r="H497" s="578"/>
      <c r="I497" s="12">
        <f t="shared" si="122"/>
        <v>1</v>
      </c>
      <c r="J497" s="578"/>
      <c r="K497" s="12">
        <f t="shared" si="123"/>
        <v>1</v>
      </c>
      <c r="L497" s="578"/>
      <c r="M497" s="12">
        <f t="shared" si="124"/>
        <v>1</v>
      </c>
      <c r="N497" s="578"/>
      <c r="O497" s="12">
        <f t="shared" si="125"/>
        <v>1</v>
      </c>
      <c r="P497" s="578"/>
      <c r="Q497" s="12">
        <f t="shared" si="126"/>
        <v>1</v>
      </c>
      <c r="R497" s="12">
        <f t="shared" si="131"/>
        <v>0</v>
      </c>
      <c r="S497" s="246">
        <f t="shared" si="132"/>
        <v>0</v>
      </c>
      <c r="T497" s="821">
        <f t="shared" si="133"/>
        <v>0</v>
      </c>
      <c r="U497" s="2689">
        <f t="shared" si="127"/>
        <v>0</v>
      </c>
      <c r="V497" s="2689">
        <f t="shared" si="128"/>
        <v>0</v>
      </c>
      <c r="W497" s="909"/>
      <c r="X497" s="2689">
        <f t="shared" si="129"/>
        <v>0</v>
      </c>
      <c r="Y497" s="2689">
        <f t="shared" si="130"/>
        <v>0</v>
      </c>
      <c r="Z497" s="909"/>
    </row>
    <row r="498" spans="1:26">
      <c r="A498" s="31"/>
      <c r="B498" s="19"/>
      <c r="C498" s="12">
        <f t="shared" si="119"/>
        <v>1</v>
      </c>
      <c r="D498" s="578"/>
      <c r="E498" s="12">
        <f t="shared" si="120"/>
        <v>1</v>
      </c>
      <c r="F498" s="578"/>
      <c r="G498" s="12">
        <f t="shared" si="121"/>
        <v>1</v>
      </c>
      <c r="H498" s="578"/>
      <c r="I498" s="12">
        <f t="shared" si="122"/>
        <v>1</v>
      </c>
      <c r="J498" s="578"/>
      <c r="K498" s="12">
        <f t="shared" si="123"/>
        <v>1</v>
      </c>
      <c r="L498" s="578"/>
      <c r="M498" s="12">
        <f t="shared" si="124"/>
        <v>1</v>
      </c>
      <c r="N498" s="578"/>
      <c r="O498" s="12">
        <f t="shared" si="125"/>
        <v>1</v>
      </c>
      <c r="P498" s="578"/>
      <c r="Q498" s="12">
        <f t="shared" si="126"/>
        <v>1</v>
      </c>
      <c r="R498" s="12">
        <f t="shared" si="131"/>
        <v>0</v>
      </c>
      <c r="S498" s="246">
        <f t="shared" si="132"/>
        <v>0</v>
      </c>
      <c r="T498" s="821">
        <f t="shared" si="133"/>
        <v>0</v>
      </c>
      <c r="U498" s="2689">
        <f t="shared" si="127"/>
        <v>0</v>
      </c>
      <c r="V498" s="2689">
        <f t="shared" si="128"/>
        <v>0</v>
      </c>
      <c r="W498" s="909"/>
      <c r="X498" s="2689">
        <f t="shared" si="129"/>
        <v>0</v>
      </c>
      <c r="Y498" s="2689">
        <f t="shared" si="130"/>
        <v>0</v>
      </c>
      <c r="Z498" s="909"/>
    </row>
    <row r="499" spans="1:26">
      <c r="A499" s="31"/>
      <c r="B499" s="19"/>
      <c r="C499" s="12">
        <f t="shared" si="119"/>
        <v>1</v>
      </c>
      <c r="D499" s="578"/>
      <c r="E499" s="12">
        <f t="shared" si="120"/>
        <v>1</v>
      </c>
      <c r="F499" s="578"/>
      <c r="G499" s="12">
        <f t="shared" si="121"/>
        <v>1</v>
      </c>
      <c r="H499" s="578"/>
      <c r="I499" s="12">
        <f t="shared" si="122"/>
        <v>1</v>
      </c>
      <c r="J499" s="578"/>
      <c r="K499" s="12">
        <f t="shared" si="123"/>
        <v>1</v>
      </c>
      <c r="L499" s="578"/>
      <c r="M499" s="12">
        <f t="shared" si="124"/>
        <v>1</v>
      </c>
      <c r="N499" s="578"/>
      <c r="O499" s="12">
        <f t="shared" si="125"/>
        <v>1</v>
      </c>
      <c r="P499" s="578"/>
      <c r="Q499" s="12">
        <f t="shared" si="126"/>
        <v>1</v>
      </c>
      <c r="R499" s="12">
        <f t="shared" si="131"/>
        <v>0</v>
      </c>
      <c r="S499" s="246">
        <f t="shared" si="132"/>
        <v>0</v>
      </c>
      <c r="T499" s="821">
        <f t="shared" si="133"/>
        <v>0</v>
      </c>
      <c r="U499" s="2689">
        <f t="shared" si="127"/>
        <v>0</v>
      </c>
      <c r="V499" s="2689">
        <f t="shared" si="128"/>
        <v>0</v>
      </c>
      <c r="W499" s="909"/>
      <c r="X499" s="2689">
        <f t="shared" si="129"/>
        <v>0</v>
      </c>
      <c r="Y499" s="2689">
        <f t="shared" si="130"/>
        <v>0</v>
      </c>
      <c r="Z499" s="909"/>
    </row>
    <row r="500" spans="1:26">
      <c r="A500" s="31"/>
      <c r="B500" s="19"/>
      <c r="C500" s="12">
        <f t="shared" si="119"/>
        <v>1</v>
      </c>
      <c r="D500" s="578"/>
      <c r="E500" s="12">
        <f t="shared" si="120"/>
        <v>1</v>
      </c>
      <c r="F500" s="578"/>
      <c r="G500" s="12">
        <f t="shared" si="121"/>
        <v>1</v>
      </c>
      <c r="H500" s="578"/>
      <c r="I500" s="12">
        <f t="shared" si="122"/>
        <v>1</v>
      </c>
      <c r="J500" s="578"/>
      <c r="K500" s="12">
        <f t="shared" si="123"/>
        <v>1</v>
      </c>
      <c r="L500" s="578"/>
      <c r="M500" s="12">
        <f t="shared" si="124"/>
        <v>1</v>
      </c>
      <c r="N500" s="578"/>
      <c r="O500" s="12">
        <f t="shared" si="125"/>
        <v>1</v>
      </c>
      <c r="P500" s="578"/>
      <c r="Q500" s="12">
        <f t="shared" si="126"/>
        <v>1</v>
      </c>
      <c r="R500" s="12">
        <f t="shared" si="131"/>
        <v>0</v>
      </c>
      <c r="S500" s="246">
        <f t="shared" si="132"/>
        <v>0</v>
      </c>
      <c r="T500" s="821">
        <f t="shared" si="133"/>
        <v>0</v>
      </c>
      <c r="U500" s="2689">
        <f t="shared" si="127"/>
        <v>0</v>
      </c>
      <c r="V500" s="2689">
        <f t="shared" si="128"/>
        <v>0</v>
      </c>
      <c r="W500" s="909"/>
      <c r="X500" s="2689">
        <f t="shared" si="129"/>
        <v>0</v>
      </c>
      <c r="Y500" s="2689">
        <f t="shared" si="130"/>
        <v>0</v>
      </c>
      <c r="Z500" s="909"/>
    </row>
    <row r="501" spans="1:26">
      <c r="A501" s="31"/>
      <c r="B501" s="19"/>
      <c r="C501" s="12">
        <f t="shared" si="119"/>
        <v>1</v>
      </c>
      <c r="D501" s="578"/>
      <c r="E501" s="12">
        <f t="shared" si="120"/>
        <v>1</v>
      </c>
      <c r="F501" s="578"/>
      <c r="G501" s="12">
        <f t="shared" si="121"/>
        <v>1</v>
      </c>
      <c r="H501" s="578"/>
      <c r="I501" s="12">
        <f t="shared" si="122"/>
        <v>1</v>
      </c>
      <c r="J501" s="578"/>
      <c r="K501" s="12">
        <f t="shared" si="123"/>
        <v>1</v>
      </c>
      <c r="L501" s="578"/>
      <c r="M501" s="12">
        <f t="shared" si="124"/>
        <v>1</v>
      </c>
      <c r="N501" s="578"/>
      <c r="O501" s="12">
        <f t="shared" si="125"/>
        <v>1</v>
      </c>
      <c r="P501" s="578"/>
      <c r="Q501" s="12">
        <f t="shared" si="126"/>
        <v>1</v>
      </c>
      <c r="R501" s="12">
        <f t="shared" si="131"/>
        <v>0</v>
      </c>
      <c r="S501" s="246">
        <f t="shared" si="132"/>
        <v>0</v>
      </c>
      <c r="T501" s="821">
        <f t="shared" si="133"/>
        <v>0</v>
      </c>
      <c r="U501" s="2689">
        <f t="shared" si="127"/>
        <v>0</v>
      </c>
      <c r="V501" s="2689">
        <f t="shared" si="128"/>
        <v>0</v>
      </c>
      <c r="W501" s="909"/>
      <c r="X501" s="2689">
        <f t="shared" si="129"/>
        <v>0</v>
      </c>
      <c r="Y501" s="2689">
        <f t="shared" si="130"/>
        <v>0</v>
      </c>
      <c r="Z501" s="909"/>
    </row>
    <row r="502" spans="1:26">
      <c r="A502" s="31"/>
      <c r="B502" s="19"/>
      <c r="C502" s="12">
        <f t="shared" si="119"/>
        <v>1</v>
      </c>
      <c r="D502" s="578"/>
      <c r="E502" s="12">
        <f t="shared" si="120"/>
        <v>1</v>
      </c>
      <c r="F502" s="578"/>
      <c r="G502" s="12">
        <f t="shared" si="121"/>
        <v>1</v>
      </c>
      <c r="H502" s="578"/>
      <c r="I502" s="12">
        <f t="shared" si="122"/>
        <v>1</v>
      </c>
      <c r="J502" s="578"/>
      <c r="K502" s="12">
        <f t="shared" si="123"/>
        <v>1</v>
      </c>
      <c r="L502" s="578"/>
      <c r="M502" s="12">
        <f t="shared" si="124"/>
        <v>1</v>
      </c>
      <c r="N502" s="578"/>
      <c r="O502" s="12">
        <f t="shared" si="125"/>
        <v>1</v>
      </c>
      <c r="P502" s="578"/>
      <c r="Q502" s="12">
        <f t="shared" si="126"/>
        <v>1</v>
      </c>
      <c r="R502" s="12">
        <f t="shared" si="131"/>
        <v>0</v>
      </c>
      <c r="S502" s="246">
        <f t="shared" si="132"/>
        <v>0</v>
      </c>
      <c r="T502" s="821">
        <f t="shared" si="133"/>
        <v>0</v>
      </c>
      <c r="U502" s="2689">
        <f t="shared" si="127"/>
        <v>0</v>
      </c>
      <c r="V502" s="2689">
        <f t="shared" si="128"/>
        <v>0</v>
      </c>
      <c r="W502" s="909"/>
      <c r="X502" s="2689">
        <f t="shared" si="129"/>
        <v>0</v>
      </c>
      <c r="Y502" s="2689">
        <f t="shared" si="130"/>
        <v>0</v>
      </c>
      <c r="Z502" s="909"/>
    </row>
    <row r="503" spans="1:26">
      <c r="A503" s="31"/>
      <c r="B503" s="19"/>
      <c r="C503" s="12">
        <f t="shared" si="119"/>
        <v>1</v>
      </c>
      <c r="D503" s="578"/>
      <c r="E503" s="12">
        <f t="shared" si="120"/>
        <v>1</v>
      </c>
      <c r="F503" s="578"/>
      <c r="G503" s="12">
        <f t="shared" si="121"/>
        <v>1</v>
      </c>
      <c r="H503" s="578"/>
      <c r="I503" s="12">
        <f t="shared" si="122"/>
        <v>1</v>
      </c>
      <c r="J503" s="578"/>
      <c r="K503" s="12">
        <f t="shared" si="123"/>
        <v>1</v>
      </c>
      <c r="L503" s="578"/>
      <c r="M503" s="12">
        <f t="shared" si="124"/>
        <v>1</v>
      </c>
      <c r="N503" s="578"/>
      <c r="O503" s="12">
        <f t="shared" si="125"/>
        <v>1</v>
      </c>
      <c r="P503" s="578"/>
      <c r="Q503" s="12">
        <f t="shared" si="126"/>
        <v>1</v>
      </c>
      <c r="R503" s="12">
        <f t="shared" si="131"/>
        <v>0</v>
      </c>
      <c r="S503" s="246">
        <f t="shared" si="132"/>
        <v>0</v>
      </c>
      <c r="T503" s="821">
        <f t="shared" si="133"/>
        <v>0</v>
      </c>
      <c r="U503" s="2689">
        <f t="shared" si="127"/>
        <v>0</v>
      </c>
      <c r="V503" s="2689">
        <f t="shared" si="128"/>
        <v>0</v>
      </c>
      <c r="W503" s="909"/>
      <c r="X503" s="2689">
        <f t="shared" si="129"/>
        <v>0</v>
      </c>
      <c r="Y503" s="2689">
        <f t="shared" si="130"/>
        <v>0</v>
      </c>
      <c r="Z503" s="909"/>
    </row>
    <row r="504" spans="1:26">
      <c r="A504" s="31"/>
      <c r="B504" s="19"/>
      <c r="C504" s="12">
        <f t="shared" si="119"/>
        <v>1</v>
      </c>
      <c r="D504" s="578"/>
      <c r="E504" s="12">
        <f t="shared" si="120"/>
        <v>1</v>
      </c>
      <c r="F504" s="578"/>
      <c r="G504" s="12">
        <f t="shared" si="121"/>
        <v>1</v>
      </c>
      <c r="H504" s="578"/>
      <c r="I504" s="12">
        <f t="shared" si="122"/>
        <v>1</v>
      </c>
      <c r="J504" s="578"/>
      <c r="K504" s="12">
        <f t="shared" si="123"/>
        <v>1</v>
      </c>
      <c r="L504" s="578"/>
      <c r="M504" s="12">
        <f t="shared" si="124"/>
        <v>1</v>
      </c>
      <c r="N504" s="578"/>
      <c r="O504" s="12">
        <f t="shared" si="125"/>
        <v>1</v>
      </c>
      <c r="P504" s="578"/>
      <c r="Q504" s="12">
        <f t="shared" si="126"/>
        <v>1</v>
      </c>
      <c r="R504" s="12">
        <f t="shared" si="131"/>
        <v>0</v>
      </c>
      <c r="S504" s="246">
        <f t="shared" si="132"/>
        <v>0</v>
      </c>
      <c r="T504" s="821">
        <f t="shared" si="133"/>
        <v>0</v>
      </c>
      <c r="U504" s="2689">
        <f t="shared" si="127"/>
        <v>0</v>
      </c>
      <c r="V504" s="2689">
        <f t="shared" si="128"/>
        <v>0</v>
      </c>
      <c r="W504" s="909"/>
      <c r="X504" s="2689">
        <f t="shared" si="129"/>
        <v>0</v>
      </c>
      <c r="Y504" s="2689">
        <f t="shared" si="130"/>
        <v>0</v>
      </c>
      <c r="Z504" s="909"/>
    </row>
    <row r="505" spans="1:26">
      <c r="A505" s="31"/>
      <c r="B505" s="19"/>
      <c r="C505" s="12">
        <f t="shared" si="119"/>
        <v>1</v>
      </c>
      <c r="D505" s="578"/>
      <c r="E505" s="12">
        <f t="shared" si="120"/>
        <v>1</v>
      </c>
      <c r="F505" s="578"/>
      <c r="G505" s="12">
        <f t="shared" si="121"/>
        <v>1</v>
      </c>
      <c r="H505" s="578"/>
      <c r="I505" s="12">
        <f t="shared" si="122"/>
        <v>1</v>
      </c>
      <c r="J505" s="578"/>
      <c r="K505" s="12">
        <f t="shared" si="123"/>
        <v>1</v>
      </c>
      <c r="L505" s="578"/>
      <c r="M505" s="12">
        <f t="shared" si="124"/>
        <v>1</v>
      </c>
      <c r="N505" s="578"/>
      <c r="O505" s="12">
        <f t="shared" si="125"/>
        <v>1</v>
      </c>
      <c r="P505" s="578"/>
      <c r="Q505" s="12">
        <f t="shared" si="126"/>
        <v>1</v>
      </c>
      <c r="R505" s="12">
        <f t="shared" si="131"/>
        <v>0</v>
      </c>
      <c r="S505" s="246">
        <f t="shared" si="132"/>
        <v>0</v>
      </c>
      <c r="T505" s="821">
        <f t="shared" si="133"/>
        <v>0</v>
      </c>
      <c r="U505" s="2689">
        <f t="shared" si="127"/>
        <v>0</v>
      </c>
      <c r="V505" s="2689">
        <f t="shared" si="128"/>
        <v>0</v>
      </c>
      <c r="W505" s="909"/>
      <c r="X505" s="2689">
        <f t="shared" si="129"/>
        <v>0</v>
      </c>
      <c r="Y505" s="2689">
        <f t="shared" si="130"/>
        <v>0</v>
      </c>
      <c r="Z505" s="909"/>
    </row>
    <row r="506" spans="1:26">
      <c r="A506" s="31"/>
      <c r="B506" s="19"/>
      <c r="C506" s="12">
        <f t="shared" si="119"/>
        <v>1</v>
      </c>
      <c r="D506" s="578"/>
      <c r="E506" s="12">
        <f t="shared" si="120"/>
        <v>1</v>
      </c>
      <c r="F506" s="578"/>
      <c r="G506" s="12">
        <f t="shared" si="121"/>
        <v>1</v>
      </c>
      <c r="H506" s="578"/>
      <c r="I506" s="12">
        <f t="shared" si="122"/>
        <v>1</v>
      </c>
      <c r="J506" s="578"/>
      <c r="K506" s="12">
        <f t="shared" si="123"/>
        <v>1</v>
      </c>
      <c r="L506" s="578"/>
      <c r="M506" s="12">
        <f t="shared" si="124"/>
        <v>1</v>
      </c>
      <c r="N506" s="578"/>
      <c r="O506" s="12">
        <f t="shared" si="125"/>
        <v>1</v>
      </c>
      <c r="P506" s="578"/>
      <c r="Q506" s="12">
        <f t="shared" si="126"/>
        <v>1</v>
      </c>
      <c r="R506" s="12">
        <f t="shared" si="131"/>
        <v>0</v>
      </c>
      <c r="S506" s="246">
        <f t="shared" si="132"/>
        <v>0</v>
      </c>
      <c r="T506" s="821">
        <f t="shared" si="133"/>
        <v>0</v>
      </c>
      <c r="U506" s="2689">
        <f t="shared" si="127"/>
        <v>0</v>
      </c>
      <c r="V506" s="2689">
        <f t="shared" si="128"/>
        <v>0</v>
      </c>
      <c r="W506" s="909"/>
      <c r="X506" s="2689">
        <f t="shared" si="129"/>
        <v>0</v>
      </c>
      <c r="Y506" s="2689">
        <f t="shared" si="130"/>
        <v>0</v>
      </c>
      <c r="Z506" s="909"/>
    </row>
    <row r="507" spans="1:26">
      <c r="A507" s="31"/>
      <c r="B507" s="19"/>
      <c r="C507" s="12">
        <f t="shared" si="119"/>
        <v>1</v>
      </c>
      <c r="D507" s="578"/>
      <c r="E507" s="12">
        <f t="shared" si="120"/>
        <v>1</v>
      </c>
      <c r="F507" s="578"/>
      <c r="G507" s="12">
        <f t="shared" si="121"/>
        <v>1</v>
      </c>
      <c r="H507" s="578"/>
      <c r="I507" s="12">
        <f t="shared" si="122"/>
        <v>1</v>
      </c>
      <c r="J507" s="578"/>
      <c r="K507" s="12">
        <f t="shared" si="123"/>
        <v>1</v>
      </c>
      <c r="L507" s="578"/>
      <c r="M507" s="12">
        <f t="shared" si="124"/>
        <v>1</v>
      </c>
      <c r="N507" s="578"/>
      <c r="O507" s="12">
        <f t="shared" si="125"/>
        <v>1</v>
      </c>
      <c r="P507" s="578"/>
      <c r="Q507" s="12">
        <f t="shared" si="126"/>
        <v>1</v>
      </c>
      <c r="R507" s="12">
        <f t="shared" si="131"/>
        <v>0</v>
      </c>
      <c r="S507" s="246">
        <f t="shared" si="132"/>
        <v>0</v>
      </c>
      <c r="T507" s="821">
        <f t="shared" si="133"/>
        <v>0</v>
      </c>
      <c r="U507" s="2689">
        <f t="shared" si="127"/>
        <v>0</v>
      </c>
      <c r="V507" s="2689">
        <f t="shared" si="128"/>
        <v>0</v>
      </c>
      <c r="W507" s="909"/>
      <c r="X507" s="2689">
        <f t="shared" si="129"/>
        <v>0</v>
      </c>
      <c r="Y507" s="2689">
        <f t="shared" si="130"/>
        <v>0</v>
      </c>
      <c r="Z507" s="909"/>
    </row>
    <row r="508" spans="1:26">
      <c r="A508" s="31"/>
      <c r="B508" s="19"/>
      <c r="C508" s="12">
        <f t="shared" si="119"/>
        <v>1</v>
      </c>
      <c r="D508" s="578"/>
      <c r="E508" s="12">
        <f t="shared" si="120"/>
        <v>1</v>
      </c>
      <c r="F508" s="578"/>
      <c r="G508" s="12">
        <f t="shared" si="121"/>
        <v>1</v>
      </c>
      <c r="H508" s="578"/>
      <c r="I508" s="12">
        <f t="shared" si="122"/>
        <v>1</v>
      </c>
      <c r="J508" s="578"/>
      <c r="K508" s="12">
        <f t="shared" si="123"/>
        <v>1</v>
      </c>
      <c r="L508" s="578"/>
      <c r="M508" s="12">
        <f t="shared" si="124"/>
        <v>1</v>
      </c>
      <c r="N508" s="578"/>
      <c r="O508" s="12">
        <f t="shared" si="125"/>
        <v>1</v>
      </c>
      <c r="P508" s="578"/>
      <c r="Q508" s="12">
        <f t="shared" si="126"/>
        <v>1</v>
      </c>
      <c r="R508" s="12">
        <f t="shared" si="131"/>
        <v>0</v>
      </c>
      <c r="S508" s="246">
        <f t="shared" si="132"/>
        <v>0</v>
      </c>
      <c r="T508" s="821">
        <f t="shared" si="133"/>
        <v>0</v>
      </c>
      <c r="U508" s="2689">
        <f t="shared" si="127"/>
        <v>0</v>
      </c>
      <c r="V508" s="2689">
        <f t="shared" si="128"/>
        <v>0</v>
      </c>
      <c r="W508" s="909"/>
      <c r="X508" s="2689">
        <f t="shared" si="129"/>
        <v>0</v>
      </c>
      <c r="Y508" s="2689">
        <f t="shared" si="130"/>
        <v>0</v>
      </c>
      <c r="Z508" s="909"/>
    </row>
    <row r="509" spans="1:26">
      <c r="A509" s="31"/>
      <c r="B509" s="19"/>
      <c r="C509" s="12">
        <f t="shared" si="119"/>
        <v>1</v>
      </c>
      <c r="D509" s="578"/>
      <c r="E509" s="12">
        <f t="shared" si="120"/>
        <v>1</v>
      </c>
      <c r="F509" s="578"/>
      <c r="G509" s="12">
        <f t="shared" si="121"/>
        <v>1</v>
      </c>
      <c r="H509" s="578"/>
      <c r="I509" s="12">
        <f t="shared" si="122"/>
        <v>1</v>
      </c>
      <c r="J509" s="578"/>
      <c r="K509" s="12">
        <f t="shared" si="123"/>
        <v>1</v>
      </c>
      <c r="L509" s="578"/>
      <c r="M509" s="12">
        <f t="shared" si="124"/>
        <v>1</v>
      </c>
      <c r="N509" s="578"/>
      <c r="O509" s="12">
        <f t="shared" si="125"/>
        <v>1</v>
      </c>
      <c r="P509" s="578"/>
      <c r="Q509" s="12">
        <f t="shared" si="126"/>
        <v>1</v>
      </c>
      <c r="R509" s="12">
        <f t="shared" si="131"/>
        <v>0</v>
      </c>
      <c r="S509" s="246">
        <f t="shared" si="132"/>
        <v>0</v>
      </c>
      <c r="T509" s="821">
        <f t="shared" si="133"/>
        <v>0</v>
      </c>
      <c r="U509" s="2689">
        <f t="shared" si="127"/>
        <v>0</v>
      </c>
      <c r="V509" s="2689">
        <f t="shared" si="128"/>
        <v>0</v>
      </c>
      <c r="W509" s="909"/>
      <c r="X509" s="2689">
        <f t="shared" si="129"/>
        <v>0</v>
      </c>
      <c r="Y509" s="2689">
        <f t="shared" si="130"/>
        <v>0</v>
      </c>
      <c r="Z509" s="909"/>
    </row>
    <row r="510" spans="1:26">
      <c r="A510" s="31"/>
      <c r="B510" s="19"/>
      <c r="C510" s="12">
        <f t="shared" si="119"/>
        <v>1</v>
      </c>
      <c r="D510" s="578"/>
      <c r="E510" s="12">
        <f t="shared" si="120"/>
        <v>1</v>
      </c>
      <c r="F510" s="578"/>
      <c r="G510" s="12">
        <f t="shared" si="121"/>
        <v>1</v>
      </c>
      <c r="H510" s="578"/>
      <c r="I510" s="12">
        <f t="shared" si="122"/>
        <v>1</v>
      </c>
      <c r="J510" s="578"/>
      <c r="K510" s="12">
        <f t="shared" si="123"/>
        <v>1</v>
      </c>
      <c r="L510" s="578"/>
      <c r="M510" s="12">
        <f t="shared" si="124"/>
        <v>1</v>
      </c>
      <c r="N510" s="578"/>
      <c r="O510" s="12">
        <f t="shared" si="125"/>
        <v>1</v>
      </c>
      <c r="P510" s="578"/>
      <c r="Q510" s="12">
        <f t="shared" si="126"/>
        <v>1</v>
      </c>
      <c r="R510" s="12">
        <f t="shared" si="131"/>
        <v>0</v>
      </c>
      <c r="S510" s="246">
        <f t="shared" si="132"/>
        <v>0</v>
      </c>
      <c r="T510" s="821">
        <f t="shared" si="133"/>
        <v>0</v>
      </c>
      <c r="U510" s="2689">
        <f t="shared" si="127"/>
        <v>0</v>
      </c>
      <c r="V510" s="2689">
        <f t="shared" si="128"/>
        <v>0</v>
      </c>
      <c r="W510" s="909"/>
      <c r="X510" s="2689">
        <f t="shared" si="129"/>
        <v>0</v>
      </c>
      <c r="Y510" s="2689">
        <f t="shared" si="130"/>
        <v>0</v>
      </c>
      <c r="Z510" s="909"/>
    </row>
    <row r="511" spans="1:26">
      <c r="A511" s="31"/>
      <c r="B511" s="19"/>
      <c r="C511" s="12">
        <f t="shared" si="119"/>
        <v>1</v>
      </c>
      <c r="D511" s="578"/>
      <c r="E511" s="12">
        <f t="shared" si="120"/>
        <v>1</v>
      </c>
      <c r="F511" s="578"/>
      <c r="G511" s="12">
        <f t="shared" si="121"/>
        <v>1</v>
      </c>
      <c r="H511" s="578"/>
      <c r="I511" s="12">
        <f t="shared" si="122"/>
        <v>1</v>
      </c>
      <c r="J511" s="578"/>
      <c r="K511" s="12">
        <f t="shared" si="123"/>
        <v>1</v>
      </c>
      <c r="L511" s="578"/>
      <c r="M511" s="12">
        <f t="shared" si="124"/>
        <v>1</v>
      </c>
      <c r="N511" s="578"/>
      <c r="O511" s="12">
        <f t="shared" si="125"/>
        <v>1</v>
      </c>
      <c r="P511" s="578"/>
      <c r="Q511" s="12">
        <f t="shared" si="126"/>
        <v>1</v>
      </c>
      <c r="R511" s="12">
        <f t="shared" si="131"/>
        <v>0</v>
      </c>
      <c r="S511" s="246">
        <f t="shared" si="132"/>
        <v>0</v>
      </c>
      <c r="T511" s="821">
        <f t="shared" si="133"/>
        <v>0</v>
      </c>
      <c r="U511" s="2689">
        <f t="shared" si="127"/>
        <v>0</v>
      </c>
      <c r="V511" s="2689">
        <f t="shared" si="128"/>
        <v>0</v>
      </c>
      <c r="W511" s="909"/>
      <c r="X511" s="2689">
        <f t="shared" si="129"/>
        <v>0</v>
      </c>
      <c r="Y511" s="2689">
        <f t="shared" si="130"/>
        <v>0</v>
      </c>
      <c r="Z511" s="909"/>
    </row>
    <row r="512" spans="1:26">
      <c r="A512" s="31"/>
      <c r="B512" s="19"/>
      <c r="C512" s="12">
        <f t="shared" si="119"/>
        <v>1</v>
      </c>
      <c r="D512" s="578"/>
      <c r="E512" s="12">
        <f t="shared" si="120"/>
        <v>1</v>
      </c>
      <c r="F512" s="578"/>
      <c r="G512" s="12">
        <f t="shared" si="121"/>
        <v>1</v>
      </c>
      <c r="H512" s="578"/>
      <c r="I512" s="12">
        <f t="shared" si="122"/>
        <v>1</v>
      </c>
      <c r="J512" s="578"/>
      <c r="K512" s="12">
        <f t="shared" si="123"/>
        <v>1</v>
      </c>
      <c r="L512" s="578"/>
      <c r="M512" s="12">
        <f t="shared" si="124"/>
        <v>1</v>
      </c>
      <c r="N512" s="578"/>
      <c r="O512" s="12">
        <f t="shared" si="125"/>
        <v>1</v>
      </c>
      <c r="P512" s="578"/>
      <c r="Q512" s="12">
        <f t="shared" si="126"/>
        <v>1</v>
      </c>
      <c r="R512" s="12">
        <f t="shared" si="131"/>
        <v>0</v>
      </c>
      <c r="S512" s="246">
        <f t="shared" si="132"/>
        <v>0</v>
      </c>
      <c r="T512" s="821">
        <f t="shared" si="133"/>
        <v>0</v>
      </c>
      <c r="U512" s="2689">
        <f t="shared" si="127"/>
        <v>0</v>
      </c>
      <c r="V512" s="2689">
        <f t="shared" si="128"/>
        <v>0</v>
      </c>
      <c r="W512" s="909"/>
      <c r="X512" s="2689">
        <f t="shared" si="129"/>
        <v>0</v>
      </c>
      <c r="Y512" s="2689">
        <f t="shared" si="130"/>
        <v>0</v>
      </c>
      <c r="Z512" s="909"/>
    </row>
    <row r="513" spans="1:26">
      <c r="A513" s="31"/>
      <c r="B513" s="19"/>
      <c r="C513" s="12">
        <f t="shared" si="119"/>
        <v>1</v>
      </c>
      <c r="D513" s="578"/>
      <c r="E513" s="12">
        <f t="shared" si="120"/>
        <v>1</v>
      </c>
      <c r="F513" s="578"/>
      <c r="G513" s="12">
        <f t="shared" si="121"/>
        <v>1</v>
      </c>
      <c r="H513" s="578"/>
      <c r="I513" s="12">
        <f t="shared" si="122"/>
        <v>1</v>
      </c>
      <c r="J513" s="578"/>
      <c r="K513" s="12">
        <f t="shared" si="123"/>
        <v>1</v>
      </c>
      <c r="L513" s="578"/>
      <c r="M513" s="12">
        <f t="shared" si="124"/>
        <v>1</v>
      </c>
      <c r="N513" s="578"/>
      <c r="O513" s="12">
        <f t="shared" si="125"/>
        <v>1</v>
      </c>
      <c r="P513" s="578"/>
      <c r="Q513" s="12">
        <f t="shared" si="126"/>
        <v>1</v>
      </c>
      <c r="R513" s="12">
        <f t="shared" si="131"/>
        <v>0</v>
      </c>
      <c r="S513" s="246">
        <f t="shared" si="132"/>
        <v>0</v>
      </c>
      <c r="T513" s="821">
        <f t="shared" si="133"/>
        <v>0</v>
      </c>
      <c r="U513" s="2689">
        <f t="shared" si="127"/>
        <v>0</v>
      </c>
      <c r="V513" s="2689">
        <f t="shared" si="128"/>
        <v>0</v>
      </c>
      <c r="W513" s="909"/>
      <c r="X513" s="2689">
        <f t="shared" si="129"/>
        <v>0</v>
      </c>
      <c r="Y513" s="2689">
        <f t="shared" si="130"/>
        <v>0</v>
      </c>
      <c r="Z513" s="909"/>
    </row>
    <row r="514" spans="1:26">
      <c r="A514" s="31"/>
      <c r="B514" s="19"/>
      <c r="C514" s="12">
        <f t="shared" si="119"/>
        <v>1</v>
      </c>
      <c r="D514" s="578"/>
      <c r="E514" s="12">
        <f t="shared" si="120"/>
        <v>1</v>
      </c>
      <c r="F514" s="578"/>
      <c r="G514" s="12">
        <f t="shared" si="121"/>
        <v>1</v>
      </c>
      <c r="H514" s="578"/>
      <c r="I514" s="12">
        <f t="shared" si="122"/>
        <v>1</v>
      </c>
      <c r="J514" s="578"/>
      <c r="K514" s="12">
        <f t="shared" si="123"/>
        <v>1</v>
      </c>
      <c r="L514" s="578"/>
      <c r="M514" s="12">
        <f t="shared" si="124"/>
        <v>1</v>
      </c>
      <c r="N514" s="578"/>
      <c r="O514" s="12">
        <f t="shared" si="125"/>
        <v>1</v>
      </c>
      <c r="P514" s="578"/>
      <c r="Q514" s="12">
        <f t="shared" si="126"/>
        <v>1</v>
      </c>
      <c r="R514" s="12">
        <f t="shared" si="131"/>
        <v>0</v>
      </c>
      <c r="S514" s="246">
        <f t="shared" si="132"/>
        <v>0</v>
      </c>
      <c r="T514" s="821">
        <f t="shared" si="133"/>
        <v>0</v>
      </c>
      <c r="U514" s="2689">
        <f t="shared" si="127"/>
        <v>0</v>
      </c>
      <c r="V514" s="2689">
        <f t="shared" si="128"/>
        <v>0</v>
      </c>
      <c r="W514" s="909"/>
      <c r="X514" s="2689">
        <f t="shared" si="129"/>
        <v>0</v>
      </c>
      <c r="Y514" s="2689">
        <f t="shared" si="130"/>
        <v>0</v>
      </c>
      <c r="Z514" s="909"/>
    </row>
    <row r="515" spans="1:26">
      <c r="A515" s="31"/>
      <c r="B515" s="19"/>
      <c r="C515" s="12">
        <f t="shared" si="119"/>
        <v>1</v>
      </c>
      <c r="D515" s="578"/>
      <c r="E515" s="12">
        <f t="shared" si="120"/>
        <v>1</v>
      </c>
      <c r="F515" s="578"/>
      <c r="G515" s="12">
        <f t="shared" si="121"/>
        <v>1</v>
      </c>
      <c r="H515" s="578"/>
      <c r="I515" s="12">
        <f t="shared" si="122"/>
        <v>1</v>
      </c>
      <c r="J515" s="578"/>
      <c r="K515" s="12">
        <f t="shared" si="123"/>
        <v>1</v>
      </c>
      <c r="L515" s="578"/>
      <c r="M515" s="12">
        <f t="shared" si="124"/>
        <v>1</v>
      </c>
      <c r="N515" s="578"/>
      <c r="O515" s="12">
        <f t="shared" si="125"/>
        <v>1</v>
      </c>
      <c r="P515" s="578"/>
      <c r="Q515" s="12">
        <f t="shared" si="126"/>
        <v>1</v>
      </c>
      <c r="R515" s="12">
        <f t="shared" si="131"/>
        <v>0</v>
      </c>
      <c r="S515" s="246">
        <f t="shared" si="132"/>
        <v>0</v>
      </c>
      <c r="T515" s="821">
        <f t="shared" si="133"/>
        <v>0</v>
      </c>
      <c r="U515" s="2689">
        <f t="shared" si="127"/>
        <v>0</v>
      </c>
      <c r="V515" s="2689">
        <f t="shared" si="128"/>
        <v>0</v>
      </c>
      <c r="W515" s="909"/>
      <c r="X515" s="2689">
        <f t="shared" si="129"/>
        <v>0</v>
      </c>
      <c r="Y515" s="2689">
        <f t="shared" si="130"/>
        <v>0</v>
      </c>
      <c r="Z515" s="909"/>
    </row>
    <row r="516" spans="1:26">
      <c r="A516" s="31"/>
      <c r="B516" s="19"/>
      <c r="C516" s="12">
        <f t="shared" si="119"/>
        <v>1</v>
      </c>
      <c r="D516" s="578"/>
      <c r="E516" s="12">
        <f t="shared" si="120"/>
        <v>1</v>
      </c>
      <c r="F516" s="578"/>
      <c r="G516" s="12">
        <f t="shared" si="121"/>
        <v>1</v>
      </c>
      <c r="H516" s="578"/>
      <c r="I516" s="12">
        <f t="shared" si="122"/>
        <v>1</v>
      </c>
      <c r="J516" s="578"/>
      <c r="K516" s="12">
        <f t="shared" si="123"/>
        <v>1</v>
      </c>
      <c r="L516" s="578"/>
      <c r="M516" s="12">
        <f t="shared" si="124"/>
        <v>1</v>
      </c>
      <c r="N516" s="578"/>
      <c r="O516" s="12">
        <f t="shared" si="125"/>
        <v>1</v>
      </c>
      <c r="P516" s="578"/>
      <c r="Q516" s="12">
        <f t="shared" si="126"/>
        <v>1</v>
      </c>
      <c r="R516" s="12">
        <f t="shared" si="131"/>
        <v>0</v>
      </c>
      <c r="S516" s="246">
        <f t="shared" si="132"/>
        <v>0</v>
      </c>
      <c r="T516" s="821">
        <f t="shared" si="133"/>
        <v>0</v>
      </c>
      <c r="U516" s="2689">
        <f t="shared" si="127"/>
        <v>0</v>
      </c>
      <c r="V516" s="2689">
        <f t="shared" si="128"/>
        <v>0</v>
      </c>
      <c r="W516" s="909"/>
      <c r="X516" s="2689">
        <f t="shared" si="129"/>
        <v>0</v>
      </c>
      <c r="Y516" s="2689">
        <f t="shared" si="130"/>
        <v>0</v>
      </c>
      <c r="Z516" s="909"/>
    </row>
    <row r="517" spans="1:26">
      <c r="A517" s="31"/>
      <c r="B517" s="19"/>
      <c r="C517" s="12">
        <f t="shared" si="119"/>
        <v>1</v>
      </c>
      <c r="D517" s="578"/>
      <c r="E517" s="12">
        <f t="shared" si="120"/>
        <v>1</v>
      </c>
      <c r="F517" s="578"/>
      <c r="G517" s="12">
        <f t="shared" si="121"/>
        <v>1</v>
      </c>
      <c r="H517" s="578"/>
      <c r="I517" s="12">
        <f t="shared" si="122"/>
        <v>1</v>
      </c>
      <c r="J517" s="578"/>
      <c r="K517" s="12">
        <f t="shared" si="123"/>
        <v>1</v>
      </c>
      <c r="L517" s="578"/>
      <c r="M517" s="12">
        <f t="shared" si="124"/>
        <v>1</v>
      </c>
      <c r="N517" s="578"/>
      <c r="O517" s="12">
        <f t="shared" si="125"/>
        <v>1</v>
      </c>
      <c r="P517" s="578"/>
      <c r="Q517" s="12">
        <f t="shared" si="126"/>
        <v>1</v>
      </c>
      <c r="R517" s="12">
        <f t="shared" si="131"/>
        <v>0</v>
      </c>
      <c r="S517" s="246">
        <f t="shared" si="132"/>
        <v>0</v>
      </c>
      <c r="T517" s="821">
        <f t="shared" si="133"/>
        <v>0</v>
      </c>
      <c r="U517" s="2689">
        <f t="shared" si="127"/>
        <v>0</v>
      </c>
      <c r="V517" s="2689">
        <f t="shared" si="128"/>
        <v>0</v>
      </c>
      <c r="W517" s="909"/>
      <c r="X517" s="2689">
        <f t="shared" si="129"/>
        <v>0</v>
      </c>
      <c r="Y517" s="2689">
        <f t="shared" si="130"/>
        <v>0</v>
      </c>
      <c r="Z517" s="909"/>
    </row>
    <row r="518" spans="1:26">
      <c r="A518" s="31"/>
      <c r="B518" s="19"/>
      <c r="C518" s="12">
        <f t="shared" si="119"/>
        <v>1</v>
      </c>
      <c r="D518" s="578"/>
      <c r="E518" s="12">
        <f t="shared" si="120"/>
        <v>1</v>
      </c>
      <c r="F518" s="578"/>
      <c r="G518" s="12">
        <f t="shared" si="121"/>
        <v>1</v>
      </c>
      <c r="H518" s="578"/>
      <c r="I518" s="12">
        <f t="shared" si="122"/>
        <v>1</v>
      </c>
      <c r="J518" s="578"/>
      <c r="K518" s="12">
        <f t="shared" si="123"/>
        <v>1</v>
      </c>
      <c r="L518" s="578"/>
      <c r="M518" s="12">
        <f t="shared" si="124"/>
        <v>1</v>
      </c>
      <c r="N518" s="578"/>
      <c r="O518" s="12">
        <f t="shared" si="125"/>
        <v>1</v>
      </c>
      <c r="P518" s="578"/>
      <c r="Q518" s="12">
        <f t="shared" si="126"/>
        <v>1</v>
      </c>
      <c r="R518" s="12">
        <f t="shared" si="131"/>
        <v>0</v>
      </c>
      <c r="S518" s="246">
        <f t="shared" si="132"/>
        <v>0</v>
      </c>
      <c r="T518" s="821">
        <f t="shared" si="133"/>
        <v>0</v>
      </c>
      <c r="U518" s="2689">
        <f t="shared" si="127"/>
        <v>0</v>
      </c>
      <c r="V518" s="2689">
        <f t="shared" si="128"/>
        <v>0</v>
      </c>
      <c r="W518" s="909"/>
      <c r="X518" s="2689">
        <f t="shared" si="129"/>
        <v>0</v>
      </c>
      <c r="Y518" s="2689">
        <f t="shared" si="130"/>
        <v>0</v>
      </c>
      <c r="Z518" s="909"/>
    </row>
    <row r="519" spans="1:26">
      <c r="A519" s="31"/>
      <c r="B519" s="19"/>
      <c r="C519" s="12">
        <f t="shared" si="119"/>
        <v>1</v>
      </c>
      <c r="D519" s="578"/>
      <c r="E519" s="12">
        <f t="shared" si="120"/>
        <v>1</v>
      </c>
      <c r="F519" s="578"/>
      <c r="G519" s="12">
        <f t="shared" si="121"/>
        <v>1</v>
      </c>
      <c r="H519" s="578"/>
      <c r="I519" s="12">
        <f t="shared" si="122"/>
        <v>1</v>
      </c>
      <c r="J519" s="578"/>
      <c r="K519" s="12">
        <f t="shared" si="123"/>
        <v>1</v>
      </c>
      <c r="L519" s="578"/>
      <c r="M519" s="12">
        <f t="shared" si="124"/>
        <v>1</v>
      </c>
      <c r="N519" s="578"/>
      <c r="O519" s="12">
        <f t="shared" si="125"/>
        <v>1</v>
      </c>
      <c r="P519" s="578"/>
      <c r="Q519" s="12">
        <f t="shared" si="126"/>
        <v>1</v>
      </c>
      <c r="R519" s="12">
        <f t="shared" si="131"/>
        <v>0</v>
      </c>
      <c r="S519" s="246">
        <f t="shared" si="132"/>
        <v>0</v>
      </c>
      <c r="T519" s="821">
        <f t="shared" si="133"/>
        <v>0</v>
      </c>
      <c r="U519" s="2689">
        <f t="shared" si="127"/>
        <v>0</v>
      </c>
      <c r="V519" s="2689">
        <f t="shared" si="128"/>
        <v>0</v>
      </c>
      <c r="W519" s="909"/>
      <c r="X519" s="2689">
        <f t="shared" si="129"/>
        <v>0</v>
      </c>
      <c r="Y519" s="2689">
        <f t="shared" si="130"/>
        <v>0</v>
      </c>
      <c r="Z519" s="909"/>
    </row>
    <row r="520" spans="1:26">
      <c r="A520" s="31"/>
      <c r="B520" s="19"/>
      <c r="C520" s="12">
        <f t="shared" si="119"/>
        <v>1</v>
      </c>
      <c r="D520" s="578"/>
      <c r="E520" s="12">
        <f t="shared" si="120"/>
        <v>1</v>
      </c>
      <c r="F520" s="578"/>
      <c r="G520" s="12">
        <f t="shared" si="121"/>
        <v>1</v>
      </c>
      <c r="H520" s="578"/>
      <c r="I520" s="12">
        <f t="shared" si="122"/>
        <v>1</v>
      </c>
      <c r="J520" s="578"/>
      <c r="K520" s="12">
        <f t="shared" si="123"/>
        <v>1</v>
      </c>
      <c r="L520" s="578"/>
      <c r="M520" s="12">
        <f t="shared" si="124"/>
        <v>1</v>
      </c>
      <c r="N520" s="578"/>
      <c r="O520" s="12">
        <f t="shared" si="125"/>
        <v>1</v>
      </c>
      <c r="P520" s="578"/>
      <c r="Q520" s="12">
        <f t="shared" si="126"/>
        <v>1</v>
      </c>
      <c r="R520" s="12">
        <f t="shared" si="131"/>
        <v>0</v>
      </c>
      <c r="S520" s="246">
        <f t="shared" si="132"/>
        <v>0</v>
      </c>
      <c r="T520" s="821">
        <f t="shared" si="133"/>
        <v>0</v>
      </c>
      <c r="U520" s="2689">
        <f t="shared" si="127"/>
        <v>0</v>
      </c>
      <c r="V520" s="2689">
        <f t="shared" si="128"/>
        <v>0</v>
      </c>
      <c r="W520" s="909"/>
      <c r="X520" s="2689">
        <f t="shared" si="129"/>
        <v>0</v>
      </c>
      <c r="Y520" s="2689">
        <f t="shared" si="130"/>
        <v>0</v>
      </c>
      <c r="Z520" s="909"/>
    </row>
    <row r="521" spans="1:26">
      <c r="A521" s="31"/>
      <c r="B521" s="19"/>
      <c r="C521" s="12">
        <f t="shared" si="119"/>
        <v>1</v>
      </c>
      <c r="D521" s="578"/>
      <c r="E521" s="12">
        <f t="shared" si="120"/>
        <v>1</v>
      </c>
      <c r="F521" s="578"/>
      <c r="G521" s="12">
        <f t="shared" si="121"/>
        <v>1</v>
      </c>
      <c r="H521" s="578"/>
      <c r="I521" s="12">
        <f t="shared" si="122"/>
        <v>1</v>
      </c>
      <c r="J521" s="578"/>
      <c r="K521" s="12">
        <f t="shared" si="123"/>
        <v>1</v>
      </c>
      <c r="L521" s="578"/>
      <c r="M521" s="12">
        <f t="shared" si="124"/>
        <v>1</v>
      </c>
      <c r="N521" s="578"/>
      <c r="O521" s="12">
        <f t="shared" si="125"/>
        <v>1</v>
      </c>
      <c r="P521" s="578"/>
      <c r="Q521" s="12">
        <f t="shared" si="126"/>
        <v>1</v>
      </c>
      <c r="R521" s="12">
        <f t="shared" si="131"/>
        <v>0</v>
      </c>
      <c r="S521" s="246">
        <f t="shared" si="132"/>
        <v>0</v>
      </c>
      <c r="T521" s="821">
        <f t="shared" si="133"/>
        <v>0</v>
      </c>
      <c r="U521" s="2689">
        <f t="shared" si="127"/>
        <v>0</v>
      </c>
      <c r="V521" s="2689">
        <f t="shared" si="128"/>
        <v>0</v>
      </c>
      <c r="W521" s="909"/>
      <c r="X521" s="2689">
        <f t="shared" si="129"/>
        <v>0</v>
      </c>
      <c r="Y521" s="2689">
        <f t="shared" si="130"/>
        <v>0</v>
      </c>
      <c r="Z521" s="909"/>
    </row>
    <row r="522" spans="1:26">
      <c r="A522" s="31"/>
      <c r="B522" s="19"/>
      <c r="C522" s="12">
        <f t="shared" si="119"/>
        <v>1</v>
      </c>
      <c r="D522" s="578"/>
      <c r="E522" s="12">
        <f t="shared" si="120"/>
        <v>1</v>
      </c>
      <c r="F522" s="578"/>
      <c r="G522" s="12">
        <f t="shared" si="121"/>
        <v>1</v>
      </c>
      <c r="H522" s="578"/>
      <c r="I522" s="12">
        <f t="shared" si="122"/>
        <v>1</v>
      </c>
      <c r="J522" s="578"/>
      <c r="K522" s="12">
        <f t="shared" si="123"/>
        <v>1</v>
      </c>
      <c r="L522" s="578"/>
      <c r="M522" s="12">
        <f t="shared" si="124"/>
        <v>1</v>
      </c>
      <c r="N522" s="578"/>
      <c r="O522" s="12">
        <f t="shared" si="125"/>
        <v>1</v>
      </c>
      <c r="P522" s="578"/>
      <c r="Q522" s="12">
        <f t="shared" si="126"/>
        <v>1</v>
      </c>
      <c r="R522" s="12">
        <f t="shared" si="131"/>
        <v>0</v>
      </c>
      <c r="S522" s="246">
        <f t="shared" si="132"/>
        <v>0</v>
      </c>
      <c r="T522" s="821">
        <f t="shared" si="133"/>
        <v>0</v>
      </c>
      <c r="U522" s="2689">
        <f t="shared" si="127"/>
        <v>0</v>
      </c>
      <c r="V522" s="2689">
        <f t="shared" si="128"/>
        <v>0</v>
      </c>
      <c r="W522" s="909"/>
      <c r="X522" s="2689">
        <f t="shared" si="129"/>
        <v>0</v>
      </c>
      <c r="Y522" s="2689">
        <f t="shared" si="130"/>
        <v>0</v>
      </c>
      <c r="Z522" s="909"/>
    </row>
    <row r="523" spans="1:26">
      <c r="A523" s="31"/>
      <c r="B523" s="19"/>
      <c r="C523" s="12">
        <f t="shared" si="119"/>
        <v>1</v>
      </c>
      <c r="D523" s="578"/>
      <c r="E523" s="12">
        <f t="shared" si="120"/>
        <v>1</v>
      </c>
      <c r="F523" s="578"/>
      <c r="G523" s="12">
        <f t="shared" si="121"/>
        <v>1</v>
      </c>
      <c r="H523" s="578"/>
      <c r="I523" s="12">
        <f t="shared" si="122"/>
        <v>1</v>
      </c>
      <c r="J523" s="578"/>
      <c r="K523" s="12">
        <f t="shared" si="123"/>
        <v>1</v>
      </c>
      <c r="L523" s="578"/>
      <c r="M523" s="12">
        <f t="shared" si="124"/>
        <v>1</v>
      </c>
      <c r="N523" s="578"/>
      <c r="O523" s="12">
        <f t="shared" si="125"/>
        <v>1</v>
      </c>
      <c r="P523" s="578"/>
      <c r="Q523" s="12">
        <f t="shared" si="126"/>
        <v>1</v>
      </c>
      <c r="R523" s="12">
        <f t="shared" si="131"/>
        <v>0</v>
      </c>
      <c r="S523" s="246">
        <f t="shared" si="132"/>
        <v>0</v>
      </c>
      <c r="T523" s="821">
        <f t="shared" si="133"/>
        <v>0</v>
      </c>
      <c r="U523" s="2689">
        <f t="shared" si="127"/>
        <v>0</v>
      </c>
      <c r="V523" s="2689">
        <f t="shared" si="128"/>
        <v>0</v>
      </c>
      <c r="W523" s="909"/>
      <c r="X523" s="2689">
        <f t="shared" si="129"/>
        <v>0</v>
      </c>
      <c r="Y523" s="2689">
        <f t="shared" si="130"/>
        <v>0</v>
      </c>
      <c r="Z523" s="909"/>
    </row>
    <row r="524" spans="1:26">
      <c r="A524" s="31"/>
      <c r="B524" s="19"/>
      <c r="C524" s="12">
        <f t="shared" si="119"/>
        <v>1</v>
      </c>
      <c r="D524" s="578"/>
      <c r="E524" s="12">
        <f t="shared" si="120"/>
        <v>1</v>
      </c>
      <c r="F524" s="578"/>
      <c r="G524" s="12">
        <f t="shared" si="121"/>
        <v>1</v>
      </c>
      <c r="H524" s="578"/>
      <c r="I524" s="12">
        <f t="shared" si="122"/>
        <v>1</v>
      </c>
      <c r="J524" s="578"/>
      <c r="K524" s="12">
        <f t="shared" si="123"/>
        <v>1</v>
      </c>
      <c r="L524" s="578"/>
      <c r="M524" s="12">
        <f t="shared" si="124"/>
        <v>1</v>
      </c>
      <c r="N524" s="578"/>
      <c r="O524" s="12">
        <f t="shared" si="125"/>
        <v>1</v>
      </c>
      <c r="P524" s="578"/>
      <c r="Q524" s="12">
        <f t="shared" si="126"/>
        <v>1</v>
      </c>
      <c r="R524" s="12">
        <f t="shared" si="131"/>
        <v>0</v>
      </c>
      <c r="S524" s="246">
        <f t="shared" si="132"/>
        <v>0</v>
      </c>
      <c r="T524" s="821">
        <f t="shared" si="133"/>
        <v>0</v>
      </c>
      <c r="U524" s="2689">
        <f t="shared" si="127"/>
        <v>0</v>
      </c>
      <c r="V524" s="2689">
        <f t="shared" si="128"/>
        <v>0</v>
      </c>
      <c r="W524" s="909"/>
      <c r="X524" s="2689">
        <f t="shared" si="129"/>
        <v>0</v>
      </c>
      <c r="Y524" s="2689">
        <f t="shared" si="130"/>
        <v>0</v>
      </c>
      <c r="Z524" s="909"/>
    </row>
    <row r="525" spans="1:26">
      <c r="A525" s="31"/>
      <c r="B525" s="19"/>
      <c r="C525" s="12">
        <f t="shared" si="119"/>
        <v>1</v>
      </c>
      <c r="D525" s="578"/>
      <c r="E525" s="12">
        <f t="shared" si="120"/>
        <v>1</v>
      </c>
      <c r="F525" s="578"/>
      <c r="G525" s="12">
        <f t="shared" si="121"/>
        <v>1</v>
      </c>
      <c r="H525" s="578"/>
      <c r="I525" s="12">
        <f t="shared" si="122"/>
        <v>1</v>
      </c>
      <c r="J525" s="578"/>
      <c r="K525" s="12">
        <f t="shared" si="123"/>
        <v>1</v>
      </c>
      <c r="L525" s="578"/>
      <c r="M525" s="12">
        <f t="shared" si="124"/>
        <v>1</v>
      </c>
      <c r="N525" s="578"/>
      <c r="O525" s="12">
        <f t="shared" si="125"/>
        <v>1</v>
      </c>
      <c r="P525" s="578"/>
      <c r="Q525" s="12">
        <f t="shared" si="126"/>
        <v>1</v>
      </c>
      <c r="R525" s="12">
        <f t="shared" si="131"/>
        <v>0</v>
      </c>
      <c r="S525" s="246">
        <f t="shared" si="132"/>
        <v>0</v>
      </c>
      <c r="T525" s="821">
        <f t="shared" si="133"/>
        <v>0</v>
      </c>
      <c r="U525" s="2689">
        <f t="shared" si="127"/>
        <v>0</v>
      </c>
      <c r="V525" s="2689">
        <f t="shared" si="128"/>
        <v>0</v>
      </c>
      <c r="W525" s="909"/>
      <c r="X525" s="2689">
        <f t="shared" si="129"/>
        <v>0</v>
      </c>
      <c r="Y525" s="2689">
        <f t="shared" si="130"/>
        <v>0</v>
      </c>
      <c r="Z525" s="909"/>
    </row>
    <row r="526" spans="1:26">
      <c r="A526" s="31"/>
      <c r="B526" s="19"/>
      <c r="C526" s="12">
        <f t="shared" si="119"/>
        <v>1</v>
      </c>
      <c r="D526" s="578"/>
      <c r="E526" s="12">
        <f t="shared" si="120"/>
        <v>1</v>
      </c>
      <c r="F526" s="578"/>
      <c r="G526" s="12">
        <f t="shared" si="121"/>
        <v>1</v>
      </c>
      <c r="H526" s="578"/>
      <c r="I526" s="12">
        <f t="shared" si="122"/>
        <v>1</v>
      </c>
      <c r="J526" s="578"/>
      <c r="K526" s="12">
        <f t="shared" si="123"/>
        <v>1</v>
      </c>
      <c r="L526" s="578"/>
      <c r="M526" s="12">
        <f t="shared" si="124"/>
        <v>1</v>
      </c>
      <c r="N526" s="578"/>
      <c r="O526" s="12">
        <f t="shared" si="125"/>
        <v>1</v>
      </c>
      <c r="P526" s="578"/>
      <c r="Q526" s="12">
        <f t="shared" si="126"/>
        <v>1</v>
      </c>
      <c r="R526" s="12">
        <f t="shared" si="131"/>
        <v>0</v>
      </c>
      <c r="S526" s="246">
        <f t="shared" si="132"/>
        <v>0</v>
      </c>
      <c r="T526" s="821">
        <f t="shared" si="133"/>
        <v>0</v>
      </c>
      <c r="U526" s="2689">
        <f t="shared" si="127"/>
        <v>0</v>
      </c>
      <c r="V526" s="2689">
        <f t="shared" si="128"/>
        <v>0</v>
      </c>
      <c r="W526" s="909"/>
      <c r="X526" s="2689">
        <f t="shared" si="129"/>
        <v>0</v>
      </c>
      <c r="Y526" s="2689">
        <f t="shared" si="130"/>
        <v>0</v>
      </c>
      <c r="Z526" s="909"/>
    </row>
    <row r="527" spans="1:26">
      <c r="A527" s="31"/>
      <c r="B527" s="19"/>
      <c r="C527" s="12">
        <f t="shared" si="119"/>
        <v>1</v>
      </c>
      <c r="D527" s="578"/>
      <c r="E527" s="12">
        <f t="shared" si="120"/>
        <v>1</v>
      </c>
      <c r="F527" s="578"/>
      <c r="G527" s="12">
        <f t="shared" si="121"/>
        <v>1</v>
      </c>
      <c r="H527" s="578"/>
      <c r="I527" s="12">
        <f t="shared" si="122"/>
        <v>1</v>
      </c>
      <c r="J527" s="578"/>
      <c r="K527" s="12">
        <f t="shared" si="123"/>
        <v>1</v>
      </c>
      <c r="L527" s="578"/>
      <c r="M527" s="12">
        <f t="shared" si="124"/>
        <v>1</v>
      </c>
      <c r="N527" s="578"/>
      <c r="O527" s="12">
        <f t="shared" si="125"/>
        <v>1</v>
      </c>
      <c r="P527" s="578"/>
      <c r="Q527" s="12">
        <f t="shared" si="126"/>
        <v>1</v>
      </c>
      <c r="R527" s="12">
        <f t="shared" si="131"/>
        <v>0</v>
      </c>
      <c r="S527" s="246">
        <f t="shared" si="132"/>
        <v>0</v>
      </c>
      <c r="T527" s="821">
        <f t="shared" si="133"/>
        <v>0</v>
      </c>
      <c r="U527" s="2689">
        <f t="shared" si="127"/>
        <v>0</v>
      </c>
      <c r="V527" s="2689">
        <f t="shared" si="128"/>
        <v>0</v>
      </c>
      <c r="W527" s="909"/>
      <c r="X527" s="2689">
        <f t="shared" si="129"/>
        <v>0</v>
      </c>
      <c r="Y527" s="2689">
        <f t="shared" si="130"/>
        <v>0</v>
      </c>
      <c r="Z527" s="909"/>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47" sqref="F47"/>
    </sheetView>
  </sheetViews>
  <sheetFormatPr defaultColWidth="9" defaultRowHeight="13.8"/>
  <cols>
    <col min="1" max="1" width="10.44140625" style="1503" customWidth="1"/>
    <col min="2" max="2" width="15.77734375" style="1503" customWidth="1"/>
    <col min="3" max="3" width="15.10937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63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2003</v>
      </c>
      <c r="C1" s="1476"/>
      <c r="D1" s="1477"/>
      <c r="E1" s="1478" t="s">
        <v>985</v>
      </c>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273" customFormat="1" ht="28.5" customHeight="1" thickTop="1">
      <c r="A2" s="1486" t="s">
        <v>1674</v>
      </c>
      <c r="B2" s="1487" t="e">
        <f ca="1">IF(D2="——",IF(C2="元",ROUND(C49*D3,0),ROUND(C49*D3/10000,0)),IF(C2="元",ROUND(C49*D3,0),ROUND(C49*D3/10000,0))-E2)</f>
        <v>#DIV/0!</v>
      </c>
      <c r="C2" s="1488" t="str">
        <f>'数据-取费表'!B3</f>
        <v>元</v>
      </c>
      <c r="D2" s="1489"/>
      <c r="E2" s="1490" t="e">
        <f ca="1">SUMIF(INDIRECT("'"&amp;G2&amp;"'"&amp;"!A:A"),"承租人权益价值",INDIRECT("'"&amp;G2&amp;"'"&amp;"!c:c"))</f>
        <v>#REF!</v>
      </c>
      <c r="F2" s="1491" t="str">
        <f>C2</f>
        <v>元</v>
      </c>
      <c r="G2" s="1492"/>
      <c r="H2" s="2690"/>
      <c r="I2" s="2690"/>
      <c r="J2" s="2690"/>
      <c r="K2" s="2691"/>
      <c r="L2" s="2692"/>
      <c r="M2" s="2690"/>
      <c r="N2" s="2690"/>
      <c r="O2" s="2690"/>
      <c r="P2" s="1493"/>
      <c r="Q2" s="1494"/>
      <c r="R2" s="1494"/>
      <c r="S2" s="1494"/>
      <c r="T2" s="1494"/>
      <c r="U2" s="1494"/>
      <c r="V2" s="1494"/>
      <c r="W2" s="1494"/>
      <c r="X2" s="1494"/>
      <c r="Y2" s="1494"/>
      <c r="Z2" s="1494"/>
      <c r="AA2" s="1494"/>
      <c r="AB2" s="1494"/>
      <c r="AC2" s="1495"/>
    </row>
    <row r="3" spans="1:29" s="273" customFormat="1" ht="28.5" customHeight="1" thickBot="1">
      <c r="A3" s="1496" t="s">
        <v>1675</v>
      </c>
      <c r="B3" s="1497" t="e">
        <f ca="1">ROUND(IF(D2="——",C49,IF(C2="万元",B2*10000/D3,B2/D3)),0)</f>
        <v>#DIV/0!</v>
      </c>
      <c r="C3" s="1497" t="s">
        <v>2005</v>
      </c>
      <c r="D3" s="1497">
        <f>IF(C1="仅计算典型户型",'数据-取费表'!E5,'数据-取费表'!B5)</f>
        <v>165.59</v>
      </c>
      <c r="E3" s="2690"/>
      <c r="F3" s="2693"/>
      <c r="G3" s="2690"/>
      <c r="H3" s="2690"/>
      <c r="I3" s="2690"/>
      <c r="J3" s="2690"/>
      <c r="K3" s="2691"/>
      <c r="L3" s="2692"/>
      <c r="M3" s="2690"/>
      <c r="N3" s="2690"/>
      <c r="O3" s="2690"/>
      <c r="P3" s="1498"/>
      <c r="Q3" s="1494"/>
      <c r="R3" s="1494"/>
      <c r="S3" s="1494"/>
      <c r="T3" s="1494"/>
      <c r="U3" s="1494"/>
      <c r="V3" s="1494"/>
      <c r="W3" s="1494"/>
      <c r="X3" s="1494"/>
      <c r="Y3" s="1494"/>
      <c r="Z3" s="1494"/>
      <c r="AA3" s="1494"/>
      <c r="AB3" s="1494"/>
      <c r="AC3" s="1495"/>
    </row>
    <row r="4" spans="1:29" ht="14.4">
      <c r="A4" s="1499" t="s">
        <v>2006</v>
      </c>
      <c r="B4" s="1500"/>
      <c r="C4" s="3351" t="s">
        <v>2007</v>
      </c>
      <c r="D4" s="3352"/>
      <c r="E4" s="3353" t="s">
        <v>2008</v>
      </c>
      <c r="F4" s="3354"/>
      <c r="G4" s="3351" t="s">
        <v>2009</v>
      </c>
      <c r="H4" s="3352"/>
      <c r="I4" s="3351" t="s">
        <v>2010</v>
      </c>
      <c r="J4" s="3352"/>
      <c r="K4" s="1501" t="s">
        <v>2011</v>
      </c>
      <c r="L4" s="2694"/>
      <c r="P4" s="3355" t="s">
        <v>2012</v>
      </c>
      <c r="Q4" s="3356"/>
      <c r="R4" s="3340" t="s">
        <v>2008</v>
      </c>
      <c r="S4" s="3341"/>
      <c r="T4" s="3340" t="s">
        <v>2009</v>
      </c>
      <c r="U4" s="3341"/>
      <c r="V4" s="3320" t="s">
        <v>2010</v>
      </c>
      <c r="W4" s="3320"/>
      <c r="X4" s="1502"/>
      <c r="Y4" s="3340" t="s">
        <v>2012</v>
      </c>
      <c r="Z4" s="3341"/>
      <c r="AA4" s="3348" t="s">
        <v>2008</v>
      </c>
      <c r="AB4" s="3348" t="s">
        <v>2009</v>
      </c>
      <c r="AC4" s="3348" t="s">
        <v>2010</v>
      </c>
    </row>
    <row r="5" spans="1:29">
      <c r="A5" s="1504"/>
      <c r="B5" s="1505"/>
      <c r="C5" s="3336" t="s">
        <v>2013</v>
      </c>
      <c r="D5" s="3337"/>
      <c r="E5" s="3361" t="s">
        <v>2014</v>
      </c>
      <c r="F5" s="3362"/>
      <c r="G5" s="3336" t="s">
        <v>2015</v>
      </c>
      <c r="H5" s="3337"/>
      <c r="I5" s="3336" t="s">
        <v>2016</v>
      </c>
      <c r="J5" s="3337"/>
      <c r="K5" s="1506"/>
      <c r="L5" s="2694"/>
      <c r="P5" s="3357"/>
      <c r="Q5" s="3358"/>
      <c r="R5" s="3342"/>
      <c r="S5" s="3343"/>
      <c r="T5" s="3342"/>
      <c r="U5" s="3343"/>
      <c r="V5" s="3320"/>
      <c r="W5" s="3320"/>
      <c r="X5" s="1502"/>
      <c r="Y5" s="3342"/>
      <c r="Z5" s="3343"/>
      <c r="AA5" s="3349"/>
      <c r="AB5" s="3349"/>
      <c r="AC5" s="3349"/>
    </row>
    <row r="6" spans="1:29" ht="15" thickBot="1">
      <c r="A6" s="1507"/>
      <c r="B6" s="1508"/>
      <c r="C6" s="3334" t="s">
        <v>2017</v>
      </c>
      <c r="D6" s="3335"/>
      <c r="E6" s="3363" t="s">
        <v>2017</v>
      </c>
      <c r="F6" s="3364"/>
      <c r="G6" s="3334" t="s">
        <v>2017</v>
      </c>
      <c r="H6" s="3335"/>
      <c r="I6" s="3334" t="s">
        <v>2017</v>
      </c>
      <c r="J6" s="3335"/>
      <c r="K6" s="1506" t="s">
        <v>2018</v>
      </c>
      <c r="L6" s="2694"/>
      <c r="P6" s="3359"/>
      <c r="Q6" s="3360"/>
      <c r="R6" s="3342"/>
      <c r="S6" s="3343"/>
      <c r="T6" s="3344"/>
      <c r="U6" s="3345"/>
      <c r="V6" s="3320"/>
      <c r="W6" s="3320"/>
      <c r="X6" s="1502"/>
      <c r="Y6" s="3344"/>
      <c r="Z6" s="3345"/>
      <c r="AA6" s="3350"/>
      <c r="AB6" s="3350"/>
      <c r="AC6" s="3350"/>
    </row>
    <row r="7" spans="1:29" s="1520" customFormat="1" ht="15" thickBot="1">
      <c r="A7" s="1509" t="s">
        <v>2019</v>
      </c>
      <c r="B7" s="1510"/>
      <c r="C7" s="1511">
        <f>'数据-取费表'!B2</f>
        <v>44901</v>
      </c>
      <c r="D7" s="1512">
        <v>100</v>
      </c>
      <c r="E7" s="1513"/>
      <c r="F7" s="1514">
        <f>SUMIF(58:58,YEAR(E7)&amp;"-"&amp;MONTH(E7),59:59)</f>
        <v>0</v>
      </c>
      <c r="G7" s="1513"/>
      <c r="H7" s="1512">
        <f>SUMIF(58:58,YEAR(G7)&amp;"-"&amp;MONTH(G7),59:59)</f>
        <v>0</v>
      </c>
      <c r="I7" s="1513"/>
      <c r="J7" s="1512">
        <f>SUMIF(58:58,YEAR(I7)&amp;"-"&amp;MONTH(I7),59:59)</f>
        <v>0</v>
      </c>
      <c r="K7" s="1515"/>
      <c r="L7" s="2694"/>
      <c r="P7" s="3338" t="s">
        <v>2020</v>
      </c>
      <c r="Q7" s="3346"/>
      <c r="R7" s="1516" t="s">
        <v>34</v>
      </c>
      <c r="S7" s="1517">
        <f t="shared" ref="S7:S15" si="0">F7</f>
        <v>0</v>
      </c>
      <c r="T7" s="1516" t="s">
        <v>34</v>
      </c>
      <c r="U7" s="1517">
        <f t="shared" ref="U7:U15" si="1">H7</f>
        <v>0</v>
      </c>
      <c r="V7" s="1516" t="s">
        <v>34</v>
      </c>
      <c r="W7" s="1517">
        <f t="shared" ref="W7:W15" si="2">J7</f>
        <v>0</v>
      </c>
      <c r="X7" s="1518"/>
      <c r="Y7" s="3338" t="s">
        <v>2020</v>
      </c>
      <c r="Z7" s="3339"/>
      <c r="AA7" s="1519" t="e">
        <f>D7/F7</f>
        <v>#DIV/0!</v>
      </c>
      <c r="AB7" s="1519" t="e">
        <f>D7/H7</f>
        <v>#DIV/0!</v>
      </c>
      <c r="AC7" s="1519" t="e">
        <f>D7/J7</f>
        <v>#DIV/0!</v>
      </c>
    </row>
    <row r="8" spans="1:29" s="1520" customFormat="1" ht="15" thickBot="1">
      <c r="A8" s="1509" t="s">
        <v>2021</v>
      </c>
      <c r="B8" s="1510"/>
      <c r="C8" s="1521" t="s">
        <v>2022</v>
      </c>
      <c r="D8" s="1512">
        <v>100</v>
      </c>
      <c r="E8" s="1522"/>
      <c r="F8" s="1514">
        <f>SUMIF(61:61,E8,62:62)-SUMIF(61:61,C8,62:62)+100</f>
        <v>0</v>
      </c>
      <c r="G8" s="1521"/>
      <c r="H8" s="1512">
        <f>SUMIF(61:61,G8,62:62)-SUMIF(61:61,C8,62:62)+100</f>
        <v>0</v>
      </c>
      <c r="I8" s="1522"/>
      <c r="J8" s="1512">
        <f>SUMIF(61:61,I8,62:62)-SUMIF(61:61,C8,62:62)+100</f>
        <v>0</v>
      </c>
      <c r="K8" s="1515"/>
      <c r="L8" s="2694"/>
      <c r="P8" s="3338" t="s">
        <v>2023</v>
      </c>
      <c r="Q8" s="3339"/>
      <c r="R8" s="1516" t="s">
        <v>34</v>
      </c>
      <c r="S8" s="1517">
        <f t="shared" si="0"/>
        <v>0</v>
      </c>
      <c r="T8" s="1516" t="s">
        <v>34</v>
      </c>
      <c r="U8" s="1517">
        <f t="shared" si="1"/>
        <v>0</v>
      </c>
      <c r="V8" s="1516" t="s">
        <v>34</v>
      </c>
      <c r="W8" s="1517">
        <f t="shared" si="2"/>
        <v>0</v>
      </c>
      <c r="X8" s="1518"/>
      <c r="Y8" s="3338" t="s">
        <v>2023</v>
      </c>
      <c r="Z8" s="3339"/>
      <c r="AA8" s="1519" t="e">
        <f t="shared" ref="AA8:AA46" si="3">D8/F8</f>
        <v>#DIV/0!</v>
      </c>
      <c r="AB8" s="1519" t="e">
        <f t="shared" ref="AB8:AB46" si="4">D8/H8</f>
        <v>#DIV/0!</v>
      </c>
      <c r="AC8" s="1519" t="e">
        <f t="shared" ref="AC8:AC46" si="5">D8/J8</f>
        <v>#DIV/0!</v>
      </c>
    </row>
    <row r="9" spans="1:29" s="1520" customFormat="1" ht="14.4">
      <c r="A9" s="1473" t="s">
        <v>2024</v>
      </c>
      <c r="B9" s="1523" t="s">
        <v>2025</v>
      </c>
      <c r="C9" s="1524"/>
      <c r="D9" s="1525">
        <v>100</v>
      </c>
      <c r="E9" s="1526"/>
      <c r="F9" s="1523">
        <f>SUMIF(63:63,E9,64:64)-SUMIF(63:63,C9,64:64)+100</f>
        <v>100</v>
      </c>
      <c r="G9" s="1527"/>
      <c r="H9" s="1525">
        <f>SUMIF(63:63,G9,64:64)-SUMIF(63:63,C9,64:64)+100</f>
        <v>100</v>
      </c>
      <c r="I9" s="1527"/>
      <c r="J9" s="1525">
        <f>SUMIF(63:63,I9,64:64)-SUMIF(63:63,C9,64:64)+100</f>
        <v>100</v>
      </c>
      <c r="K9" s="1515"/>
      <c r="L9" s="2694"/>
      <c r="P9" s="3347" t="s">
        <v>2026</v>
      </c>
      <c r="Q9" s="1472" t="str">
        <f t="shared" ref="Q9:Q15" si="6">B9</f>
        <v>用途</v>
      </c>
      <c r="R9" s="1516" t="s">
        <v>25</v>
      </c>
      <c r="S9" s="1517">
        <f t="shared" si="0"/>
        <v>100</v>
      </c>
      <c r="T9" s="1516" t="s">
        <v>25</v>
      </c>
      <c r="U9" s="1517">
        <f t="shared" si="1"/>
        <v>100</v>
      </c>
      <c r="V9" s="1516" t="s">
        <v>25</v>
      </c>
      <c r="W9" s="1517">
        <f t="shared" si="2"/>
        <v>100</v>
      </c>
      <c r="X9" s="1518"/>
      <c r="Y9" s="3184"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533"/>
      <c r="L10" s="2695"/>
      <c r="P10" s="3347"/>
      <c r="Q10" s="1472" t="str">
        <f t="shared" si="6"/>
        <v>土地使用年限（年）</v>
      </c>
      <c r="R10" s="1516" t="s">
        <v>25</v>
      </c>
      <c r="S10" s="1517">
        <f t="shared" si="0"/>
        <v>100</v>
      </c>
      <c r="T10" s="1516" t="s">
        <v>25</v>
      </c>
      <c r="U10" s="1517">
        <f t="shared" si="1"/>
        <v>100</v>
      </c>
      <c r="V10" s="1516" t="s">
        <v>25</v>
      </c>
      <c r="W10" s="1517">
        <f t="shared" si="2"/>
        <v>100</v>
      </c>
      <c r="X10" s="1518"/>
      <c r="Y10" s="3184"/>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533"/>
      <c r="L11" s="2696"/>
      <c r="P11" s="3347"/>
      <c r="Q11" s="1472" t="str">
        <f t="shared" si="6"/>
        <v>容积率</v>
      </c>
      <c r="R11" s="1516" t="s">
        <v>28</v>
      </c>
      <c r="S11" s="1517" t="e">
        <f t="shared" si="0"/>
        <v>#N/A</v>
      </c>
      <c r="T11" s="1516" t="s">
        <v>28</v>
      </c>
      <c r="U11" s="1517" t="e">
        <f t="shared" si="1"/>
        <v>#N/A</v>
      </c>
      <c r="V11" s="1516" t="s">
        <v>28</v>
      </c>
      <c r="W11" s="1517" t="e">
        <f t="shared" si="2"/>
        <v>#N/A</v>
      </c>
      <c r="X11" s="1518"/>
      <c r="Y11" s="3184"/>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0"/>
      <c r="F12" s="1529">
        <f>SUMIF(70:70,E12,71:71)-SUMIF(70:70,C12,71:71)+100</f>
        <v>100</v>
      </c>
      <c r="G12" s="1540"/>
      <c r="H12" s="1531">
        <f>SUMIF(70:70,G12,71:71)-SUMIF(70:70,C12,71:71)+100</f>
        <v>100</v>
      </c>
      <c r="I12" s="1540"/>
      <c r="J12" s="1531">
        <f>SUMIF(70:70,I12,71:71)-SUMIF(70:70,C12,71:71)+100</f>
        <v>100</v>
      </c>
      <c r="K12" s="1542"/>
      <c r="L12" s="2694"/>
      <c r="P12" s="3347"/>
      <c r="Q12" s="1472">
        <f t="shared" si="6"/>
        <v>111</v>
      </c>
      <c r="R12" s="1516" t="s">
        <v>28</v>
      </c>
      <c r="S12" s="1517">
        <f t="shared" si="0"/>
        <v>100</v>
      </c>
      <c r="T12" s="1516" t="s">
        <v>28</v>
      </c>
      <c r="U12" s="1517">
        <f t="shared" si="1"/>
        <v>100</v>
      </c>
      <c r="V12" s="1516" t="s">
        <v>28</v>
      </c>
      <c r="W12" s="1517">
        <f t="shared" si="2"/>
        <v>100</v>
      </c>
      <c r="X12" s="1518"/>
      <c r="Y12" s="3184"/>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542"/>
      <c r="L13" s="2697"/>
      <c r="P13" s="3347"/>
      <c r="Q13" s="1472">
        <f t="shared" si="6"/>
        <v>111</v>
      </c>
      <c r="R13" s="1516" t="s">
        <v>28</v>
      </c>
      <c r="S13" s="1517">
        <f t="shared" si="0"/>
        <v>100</v>
      </c>
      <c r="T13" s="1516" t="s">
        <v>28</v>
      </c>
      <c r="U13" s="1517">
        <f t="shared" si="1"/>
        <v>100</v>
      </c>
      <c r="V13" s="1516" t="s">
        <v>28</v>
      </c>
      <c r="W13" s="1517">
        <f t="shared" si="2"/>
        <v>100</v>
      </c>
      <c r="X13" s="1518"/>
      <c r="Y13" s="3184"/>
      <c r="Z13" s="1519">
        <f t="shared" si="7"/>
        <v>111</v>
      </c>
      <c r="AA13" s="1519">
        <f t="shared" si="3"/>
        <v>1</v>
      </c>
      <c r="AB13" s="1519">
        <f t="shared" si="4"/>
        <v>1</v>
      </c>
      <c r="AC13" s="1519">
        <f t="shared" si="5"/>
        <v>1</v>
      </c>
    </row>
    <row r="14" spans="1:29" ht="15.6" thickBot="1">
      <c r="A14" s="1545"/>
      <c r="B14" s="1546">
        <v>111</v>
      </c>
      <c r="C14" s="1547"/>
      <c r="D14" s="1548">
        <v>100</v>
      </c>
      <c r="E14" s="1547"/>
      <c r="F14" s="1549">
        <f>SUMIF(74:74,E14,75:75)-SUMIF(74:74,C14,75:75)+100</f>
        <v>100</v>
      </c>
      <c r="G14" s="1547"/>
      <c r="H14" s="1548">
        <f>SUMIF(74:74,G14,75:75)-SUMIF(74:74,C14,75:75)+100</f>
        <v>100</v>
      </c>
      <c r="I14" s="1547"/>
      <c r="J14" s="1548">
        <f>SUMIF(74:74,I14,75:75)-SUMIF(74:74,C14,75:75)+100</f>
        <v>100</v>
      </c>
      <c r="K14" s="1542"/>
      <c r="L14" s="2697"/>
      <c r="P14" s="3347"/>
      <c r="Q14" s="1472">
        <f t="shared" si="6"/>
        <v>111</v>
      </c>
      <c r="R14" s="1516" t="s">
        <v>28</v>
      </c>
      <c r="S14" s="1517">
        <f t="shared" si="0"/>
        <v>100</v>
      </c>
      <c r="T14" s="1516" t="s">
        <v>28</v>
      </c>
      <c r="U14" s="1517">
        <f t="shared" si="1"/>
        <v>100</v>
      </c>
      <c r="V14" s="1516" t="s">
        <v>28</v>
      </c>
      <c r="W14" s="1517">
        <f t="shared" si="2"/>
        <v>100</v>
      </c>
      <c r="X14" s="1518"/>
      <c r="Y14" s="3184"/>
      <c r="Z14" s="1519">
        <f t="shared" si="7"/>
        <v>111</v>
      </c>
      <c r="AA14" s="1519">
        <f t="shared" si="3"/>
        <v>1</v>
      </c>
      <c r="AB14" s="1519">
        <f t="shared" si="4"/>
        <v>1</v>
      </c>
      <c r="AC14" s="1519">
        <f t="shared" si="5"/>
        <v>1</v>
      </c>
    </row>
    <row r="15" spans="1:29" ht="96.6">
      <c r="A15" s="1550" t="s">
        <v>2030</v>
      </c>
      <c r="B15" s="1551" t="s">
        <v>1464</v>
      </c>
      <c r="C15" s="1552" t="str">
        <f>估价对象房地状况!C3</f>
        <v>估价对象周边居住用地比例、居住小区规模和社区发展完善程度，综合评价居住社区成熟度一般</v>
      </c>
      <c r="D15" s="1553">
        <v>100</v>
      </c>
      <c r="E15" s="1554"/>
      <c r="F15" s="1555">
        <f>SUMIF(76:76,E16,77:77)-SUMIF(76:76,C16,77:77)+100</f>
        <v>100</v>
      </c>
      <c r="G15" s="1556"/>
      <c r="H15" s="1553">
        <f>SUMIF(76:76,G16,77:77)-SUMIF(76:76,C16,77:77)+100</f>
        <v>100</v>
      </c>
      <c r="I15" s="1554"/>
      <c r="J15" s="1553">
        <f>SUMIF(76:76,I16,77:77)-SUMIF(76:76,C16,77:77)+100</f>
        <v>100</v>
      </c>
      <c r="K15" s="1557"/>
      <c r="L15" s="2697"/>
      <c r="P15" s="3325" t="s">
        <v>2031</v>
      </c>
      <c r="Q15" s="1454" t="str">
        <f t="shared" si="6"/>
        <v>居住社区成熟度</v>
      </c>
      <c r="R15" s="1558" t="s">
        <v>28</v>
      </c>
      <c r="S15" s="1559">
        <f t="shared" si="0"/>
        <v>100</v>
      </c>
      <c r="T15" s="1558" t="s">
        <v>28</v>
      </c>
      <c r="U15" s="1559">
        <f t="shared" si="1"/>
        <v>100</v>
      </c>
      <c r="V15" s="1558" t="s">
        <v>28</v>
      </c>
      <c r="W15" s="1559">
        <f t="shared" si="2"/>
        <v>100</v>
      </c>
      <c r="X15" s="1502"/>
      <c r="Y15" s="3327" t="s">
        <v>2031</v>
      </c>
      <c r="Z15" s="1560" t="str">
        <f t="shared" si="7"/>
        <v>居住社区成熟度</v>
      </c>
      <c r="AA15" s="1560">
        <f t="shared" si="3"/>
        <v>1</v>
      </c>
      <c r="AB15" s="1560">
        <f t="shared" si="4"/>
        <v>1</v>
      </c>
      <c r="AC15" s="1560">
        <f t="shared" si="5"/>
        <v>1</v>
      </c>
    </row>
    <row r="16" spans="1:29" ht="15">
      <c r="A16" s="1535"/>
      <c r="B16" s="1561"/>
      <c r="C16" s="1562"/>
      <c r="D16" s="1563"/>
      <c r="E16" s="1564"/>
      <c r="F16" s="1565"/>
      <c r="G16" s="1566"/>
      <c r="H16" s="1567"/>
      <c r="I16" s="1564"/>
      <c r="J16" s="1563"/>
      <c r="K16" s="1568"/>
      <c r="L16" s="2697"/>
      <c r="P16" s="3326"/>
      <c r="Q16" s="1454"/>
      <c r="R16" s="1558"/>
      <c r="S16" s="1559"/>
      <c r="T16" s="1558"/>
      <c r="U16" s="1559"/>
      <c r="V16" s="1558"/>
      <c r="W16" s="1559"/>
      <c r="X16" s="1502"/>
      <c r="Y16" s="3328"/>
      <c r="Z16" s="1560"/>
      <c r="AA16" s="1560">
        <v>1</v>
      </c>
      <c r="AB16" s="1560">
        <v>1</v>
      </c>
      <c r="AC16" s="1560">
        <v>1</v>
      </c>
    </row>
    <row r="17" spans="1:29" ht="82.8">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1557"/>
      <c r="L17" s="2697"/>
      <c r="P17" s="3326"/>
      <c r="Q17" s="1454" t="str">
        <f>B17</f>
        <v>交通便捷度</v>
      </c>
      <c r="R17" s="1558" t="s">
        <v>28</v>
      </c>
      <c r="S17" s="1559">
        <f>F17</f>
        <v>100</v>
      </c>
      <c r="T17" s="1558" t="s">
        <v>28</v>
      </c>
      <c r="U17" s="1559">
        <f>H17</f>
        <v>100</v>
      </c>
      <c r="V17" s="1558" t="s">
        <v>28</v>
      </c>
      <c r="W17" s="1559">
        <f>J17</f>
        <v>100</v>
      </c>
      <c r="X17" s="1502"/>
      <c r="Y17" s="3328"/>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1568"/>
      <c r="L18" s="2697"/>
      <c r="P18" s="3326"/>
      <c r="Q18" s="1454"/>
      <c r="R18" s="1558"/>
      <c r="S18" s="1559"/>
      <c r="T18" s="1558"/>
      <c r="U18" s="1559"/>
      <c r="V18" s="1558"/>
      <c r="W18" s="1559"/>
      <c r="X18" s="1502"/>
      <c r="Y18" s="3328"/>
      <c r="Z18" s="1560"/>
      <c r="AA18" s="1560">
        <v>1</v>
      </c>
      <c r="AB18" s="1560">
        <v>1</v>
      </c>
      <c r="AC18" s="1560">
        <v>1</v>
      </c>
    </row>
    <row r="19" spans="1:29" ht="41.4">
      <c r="A19" s="1535"/>
      <c r="B19" s="1569" t="s">
        <v>1465</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1557"/>
      <c r="L19" s="2697"/>
      <c r="P19" s="3326"/>
      <c r="Q19" s="1454" t="str">
        <f>B19</f>
        <v>公共配套设施</v>
      </c>
      <c r="R19" s="1558" t="s">
        <v>28</v>
      </c>
      <c r="S19" s="1559">
        <f>F19</f>
        <v>100</v>
      </c>
      <c r="T19" s="1558" t="s">
        <v>28</v>
      </c>
      <c r="U19" s="1559">
        <f>H19</f>
        <v>100</v>
      </c>
      <c r="V19" s="1558" t="s">
        <v>28</v>
      </c>
      <c r="W19" s="1559">
        <f>J19</f>
        <v>100</v>
      </c>
      <c r="X19" s="1502"/>
      <c r="Y19" s="3328"/>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1568"/>
      <c r="L20" s="2697"/>
      <c r="P20" s="3326"/>
      <c r="Q20" s="1454"/>
      <c r="R20" s="1558"/>
      <c r="S20" s="1559"/>
      <c r="T20" s="1558"/>
      <c r="U20" s="1559"/>
      <c r="V20" s="1558"/>
      <c r="W20" s="1559"/>
      <c r="X20" s="1502"/>
      <c r="Y20" s="3328"/>
      <c r="Z20" s="1560"/>
      <c r="AA20" s="1560">
        <v>1</v>
      </c>
      <c r="AB20" s="1560">
        <v>1</v>
      </c>
      <c r="AC20" s="1560">
        <v>1</v>
      </c>
    </row>
    <row r="21" spans="1:29" ht="27.6">
      <c r="A21" s="1535"/>
      <c r="B21" s="1582" t="s">
        <v>1467</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1557"/>
      <c r="L21" s="2697"/>
      <c r="P21" s="3326"/>
      <c r="Q21" s="1454" t="str">
        <f>B21</f>
        <v>基础设施水平</v>
      </c>
      <c r="R21" s="1558" t="s">
        <v>28</v>
      </c>
      <c r="S21" s="1559">
        <f>F21</f>
        <v>100</v>
      </c>
      <c r="T21" s="1558" t="s">
        <v>28</v>
      </c>
      <c r="U21" s="1559">
        <f>H21</f>
        <v>100</v>
      </c>
      <c r="V21" s="1558" t="s">
        <v>28</v>
      </c>
      <c r="W21" s="1559">
        <f>J21</f>
        <v>100</v>
      </c>
      <c r="X21" s="1502"/>
      <c r="Y21" s="3328"/>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1583"/>
      <c r="L22" s="2697"/>
      <c r="P22" s="3326"/>
      <c r="Q22" s="1454"/>
      <c r="R22" s="1558"/>
      <c r="S22" s="1559"/>
      <c r="T22" s="1558"/>
      <c r="U22" s="1559"/>
      <c r="V22" s="1558"/>
      <c r="W22" s="1559"/>
      <c r="X22" s="1502"/>
      <c r="Y22" s="3328"/>
      <c r="Z22" s="1560"/>
      <c r="AA22" s="1560">
        <v>1</v>
      </c>
      <c r="AB22" s="1560">
        <v>1</v>
      </c>
      <c r="AC22" s="1560">
        <v>1</v>
      </c>
    </row>
    <row r="23" spans="1:29" ht="55.2">
      <c r="A23" s="1535"/>
      <c r="B23" s="1569" t="s">
        <v>1468</v>
      </c>
      <c r="C23" s="1570"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1557"/>
      <c r="L23" s="2697"/>
      <c r="P23" s="3326"/>
      <c r="Q23" s="1454" t="str">
        <f>B23</f>
        <v>自然及人文环境</v>
      </c>
      <c r="R23" s="1558" t="s">
        <v>28</v>
      </c>
      <c r="S23" s="1559">
        <f>F23</f>
        <v>100</v>
      </c>
      <c r="T23" s="1558" t="s">
        <v>28</v>
      </c>
      <c r="U23" s="1559">
        <f>H23</f>
        <v>100</v>
      </c>
      <c r="V23" s="1558" t="s">
        <v>28</v>
      </c>
      <c r="W23" s="1559">
        <f>J23</f>
        <v>100</v>
      </c>
      <c r="X23" s="1502"/>
      <c r="Y23" s="3328"/>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1568"/>
      <c r="L24" s="2697"/>
      <c r="P24" s="3326"/>
      <c r="Q24" s="1454"/>
      <c r="R24" s="1558"/>
      <c r="S24" s="1559"/>
      <c r="T24" s="1558"/>
      <c r="U24" s="1559"/>
      <c r="V24" s="1558"/>
      <c r="W24" s="1559"/>
      <c r="X24" s="1502"/>
      <c r="Y24" s="3328"/>
      <c r="Z24" s="1560"/>
      <c r="AA24" s="1560">
        <v>1</v>
      </c>
      <c r="AB24" s="1560">
        <v>1</v>
      </c>
      <c r="AC24" s="1560">
        <v>1</v>
      </c>
    </row>
    <row r="25" spans="1:29" ht="15">
      <c r="A25" s="1535"/>
      <c r="B25" s="1529" t="s">
        <v>2032</v>
      </c>
      <c r="C25" s="1584"/>
      <c r="D25" s="1544">
        <v>100</v>
      </c>
      <c r="E25" s="1585"/>
      <c r="F25" s="1586">
        <f>SUMIF(86:86,E25,87:87)-SUMIF(86:86,C25,87:87)+100</f>
        <v>100</v>
      </c>
      <c r="G25" s="1587"/>
      <c r="H25" s="1544">
        <f>SUMIF(86:86,G25,87:87)-SUMIF(86:86,C25,87:87)+100</f>
        <v>100</v>
      </c>
      <c r="I25" s="1585"/>
      <c r="J25" s="1544">
        <f>SUMIF(86:86,I25,87:87)-SUMIF(86:86,C25,87:87)+100</f>
        <v>100</v>
      </c>
      <c r="K25" s="1533"/>
      <c r="L25" s="2697"/>
      <c r="P25" s="3326"/>
      <c r="Q25" s="1454" t="str">
        <f t="shared" ref="Q25:Q46" si="11">B25</f>
        <v>楼层-1</v>
      </c>
      <c r="R25" s="1558" t="s">
        <v>28</v>
      </c>
      <c r="S25" s="1559">
        <f>F25</f>
        <v>100</v>
      </c>
      <c r="T25" s="1558" t="s">
        <v>28</v>
      </c>
      <c r="U25" s="1559">
        <f>H25</f>
        <v>100</v>
      </c>
      <c r="V25" s="1558" t="s">
        <v>28</v>
      </c>
      <c r="W25" s="1559">
        <f>J25</f>
        <v>100</v>
      </c>
      <c r="X25" s="1502"/>
      <c r="Y25" s="3328"/>
      <c r="Z25" s="1560" t="str">
        <f>Q25</f>
        <v>楼层-1</v>
      </c>
      <c r="AA25" s="1560">
        <f t="shared" si="3"/>
        <v>1</v>
      </c>
      <c r="AB25" s="1560">
        <f t="shared" si="4"/>
        <v>1</v>
      </c>
      <c r="AC25" s="1560">
        <f t="shared" si="5"/>
        <v>1</v>
      </c>
    </row>
    <row r="26" spans="1:29" ht="15">
      <c r="A26" s="1535"/>
      <c r="B26" s="1529" t="s">
        <v>2033</v>
      </c>
      <c r="C26" s="1584"/>
      <c r="D26" s="1544">
        <v>100</v>
      </c>
      <c r="E26" s="1585"/>
      <c r="F26" s="1586">
        <f>SUMIF(88:88,E26,89:89)-SUMIF(88:88,C26,89:89)+100</f>
        <v>100</v>
      </c>
      <c r="G26" s="1587"/>
      <c r="H26" s="1544">
        <f>SUMIF(88:88,G26,89:89)-SUMIF(88:88,C26,89:89)+100</f>
        <v>100</v>
      </c>
      <c r="I26" s="1585"/>
      <c r="J26" s="1544">
        <f>SUMIF(88:88,I26,89:89)-SUMIF(88:88,C26,89:89)+100</f>
        <v>100</v>
      </c>
      <c r="K26" s="1533"/>
      <c r="L26" s="2697"/>
      <c r="P26" s="3326"/>
      <c r="Q26" s="1454" t="str">
        <f t="shared" si="11"/>
        <v>朝向</v>
      </c>
      <c r="R26" s="1558" t="s">
        <v>28</v>
      </c>
      <c r="S26" s="1559">
        <f>F26</f>
        <v>100</v>
      </c>
      <c r="T26" s="1558" t="s">
        <v>28</v>
      </c>
      <c r="U26" s="1559">
        <f>H26</f>
        <v>100</v>
      </c>
      <c r="V26" s="1558" t="s">
        <v>28</v>
      </c>
      <c r="W26" s="1559">
        <f>J26</f>
        <v>100</v>
      </c>
      <c r="X26" s="1502"/>
      <c r="Y26" s="3328"/>
      <c r="Z26" s="1560" t="str">
        <f>Q26</f>
        <v>朝向</v>
      </c>
      <c r="AA26" s="1560">
        <f t="shared" si="3"/>
        <v>1</v>
      </c>
      <c r="AB26" s="1560">
        <f t="shared" si="4"/>
        <v>1</v>
      </c>
      <c r="AC26" s="1560">
        <f t="shared" si="5"/>
        <v>1</v>
      </c>
    </row>
    <row r="27" spans="1:29" s="1520" customFormat="1" ht="15">
      <c r="A27" s="1538"/>
      <c r="B27" s="1539" t="s">
        <v>2034</v>
      </c>
      <c r="C27" s="1540"/>
      <c r="D27" s="1588">
        <v>100</v>
      </c>
      <c r="E27" s="1589"/>
      <c r="F27" s="1575">
        <f>SUMIF(90:90,E27,91:91)-SUMIF(90:90,C27,91:91)+100</f>
        <v>100</v>
      </c>
      <c r="G27" s="1590"/>
      <c r="H27" s="1588">
        <f>SUMIF(90:90,G27,91:91)-SUMIF(90:90,C27,91:91)+100</f>
        <v>100</v>
      </c>
      <c r="I27" s="1589"/>
      <c r="J27" s="1588">
        <f>SUMIF(90:90,I27,91:91)-SUMIF(90:90,C27,91:91)+100</f>
        <v>100</v>
      </c>
      <c r="K27" s="1542"/>
      <c r="L27" s="2694"/>
      <c r="P27" s="3326"/>
      <c r="Q27" s="1472" t="str">
        <f t="shared" si="11"/>
        <v>道路级别</v>
      </c>
      <c r="R27" s="1516" t="s">
        <v>28</v>
      </c>
      <c r="S27" s="1517">
        <f>F27</f>
        <v>100</v>
      </c>
      <c r="T27" s="1516" t="s">
        <v>28</v>
      </c>
      <c r="U27" s="1517">
        <f>H27</f>
        <v>100</v>
      </c>
      <c r="V27" s="1516" t="s">
        <v>28</v>
      </c>
      <c r="W27" s="1517">
        <f>J27</f>
        <v>100</v>
      </c>
      <c r="X27" s="1518"/>
      <c r="Y27" s="3328"/>
      <c r="Z27" s="1519" t="str">
        <f>Q27</f>
        <v>道路级别</v>
      </c>
      <c r="AA27" s="1560">
        <f>D27/F27</f>
        <v>1</v>
      </c>
      <c r="AB27" s="1560">
        <f>D27/H27</f>
        <v>1</v>
      </c>
      <c r="AC27" s="1560">
        <f>D27/J27</f>
        <v>1</v>
      </c>
    </row>
    <row r="28" spans="1:29" ht="15">
      <c r="A28" s="1535"/>
      <c r="B28" s="1591">
        <v>111</v>
      </c>
      <c r="C28" s="1543"/>
      <c r="D28" s="1544">
        <v>100</v>
      </c>
      <c r="E28" s="1543"/>
      <c r="F28" s="1586">
        <f>SUMIF(92:92,E28,93:93)-SUMIF(92:92,C28,93:93)+100</f>
        <v>100</v>
      </c>
      <c r="G28" s="1543"/>
      <c r="H28" s="1544">
        <f>SUMIF(92:92,G28,93:93)-SUMIF(92:92,C28,93:93)+100</f>
        <v>100</v>
      </c>
      <c r="I28" s="1543"/>
      <c r="J28" s="1544">
        <f>SUMIF(92:92,I28,93:93)-SUMIF(92:92,C28,93:93)+100</f>
        <v>100</v>
      </c>
      <c r="K28" s="1542"/>
      <c r="L28" s="2697"/>
      <c r="P28" s="3326"/>
      <c r="Q28" s="1454">
        <f t="shared" si="11"/>
        <v>111</v>
      </c>
      <c r="R28" s="1558" t="s">
        <v>28</v>
      </c>
      <c r="S28" s="1559">
        <f t="shared" ref="S28:S46" si="12">F28</f>
        <v>100</v>
      </c>
      <c r="T28" s="1558" t="s">
        <v>28</v>
      </c>
      <c r="U28" s="1559">
        <f t="shared" ref="U28:U46" si="13">H28</f>
        <v>100</v>
      </c>
      <c r="V28" s="1558" t="s">
        <v>28</v>
      </c>
      <c r="W28" s="1559">
        <f t="shared" ref="W28:W46" si="14">J28</f>
        <v>100</v>
      </c>
      <c r="X28" s="1502"/>
      <c r="Y28" s="3328"/>
      <c r="Z28" s="1560">
        <f t="shared" ref="Z28:Z46" si="15">Q28</f>
        <v>111</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542"/>
      <c r="L29" s="2697"/>
      <c r="P29" s="3326"/>
      <c r="Q29" s="1454">
        <f t="shared" si="11"/>
        <v>111</v>
      </c>
      <c r="R29" s="1558" t="s">
        <v>28</v>
      </c>
      <c r="S29" s="1559">
        <f t="shared" si="12"/>
        <v>100</v>
      </c>
      <c r="T29" s="1558" t="s">
        <v>28</v>
      </c>
      <c r="U29" s="1559">
        <f t="shared" si="13"/>
        <v>100</v>
      </c>
      <c r="V29" s="1558" t="s">
        <v>28</v>
      </c>
      <c r="W29" s="1559">
        <f t="shared" si="14"/>
        <v>100</v>
      </c>
      <c r="X29" s="1502"/>
      <c r="Y29" s="3328"/>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542"/>
      <c r="L30" s="2697"/>
      <c r="P30" s="3326"/>
      <c r="Q30" s="1454">
        <f t="shared" si="11"/>
        <v>111</v>
      </c>
      <c r="R30" s="1558" t="s">
        <v>28</v>
      </c>
      <c r="S30" s="1559">
        <f t="shared" si="12"/>
        <v>100</v>
      </c>
      <c r="T30" s="1558" t="s">
        <v>28</v>
      </c>
      <c r="U30" s="1559">
        <f t="shared" si="13"/>
        <v>100</v>
      </c>
      <c r="V30" s="1558" t="s">
        <v>28</v>
      </c>
      <c r="W30" s="1559">
        <f t="shared" si="14"/>
        <v>100</v>
      </c>
      <c r="X30" s="1502"/>
      <c r="Y30" s="3328"/>
      <c r="Z30" s="1560">
        <f t="shared" si="15"/>
        <v>111</v>
      </c>
      <c r="AA30" s="1560">
        <f t="shared" si="3"/>
        <v>1</v>
      </c>
      <c r="AB30" s="1560">
        <f t="shared" si="4"/>
        <v>1</v>
      </c>
      <c r="AC30" s="1560">
        <f t="shared" si="5"/>
        <v>1</v>
      </c>
    </row>
    <row r="31" spans="1:29" ht="15.6" thickBot="1">
      <c r="A31" s="1545"/>
      <c r="B31" s="1591">
        <v>111</v>
      </c>
      <c r="C31" s="1547"/>
      <c r="D31" s="1548">
        <v>100</v>
      </c>
      <c r="E31" s="1547"/>
      <c r="F31" s="1549">
        <f>SUMIF(98:98,E31,99:99)-SUMIF(98:98,C31,99:99)+100</f>
        <v>100</v>
      </c>
      <c r="G31" s="1547"/>
      <c r="H31" s="1548">
        <f>SUMIF(98:98,G31,99:99)-SUMIF(98:98,C31,99:99)+100</f>
        <v>100</v>
      </c>
      <c r="I31" s="1547"/>
      <c r="J31" s="1548">
        <f>SUMIF(98:98,I31,99:99)-SUMIF(98:98,C31,99:99)+100</f>
        <v>100</v>
      </c>
      <c r="K31" s="1542"/>
      <c r="L31" s="2697"/>
      <c r="P31" s="3326"/>
      <c r="Q31" s="1454">
        <f t="shared" si="11"/>
        <v>111</v>
      </c>
      <c r="R31" s="1558" t="s">
        <v>28</v>
      </c>
      <c r="S31" s="1559">
        <f t="shared" si="12"/>
        <v>100</v>
      </c>
      <c r="T31" s="1558" t="s">
        <v>28</v>
      </c>
      <c r="U31" s="1559">
        <f t="shared" si="13"/>
        <v>100</v>
      </c>
      <c r="V31" s="1558" t="s">
        <v>28</v>
      </c>
      <c r="W31" s="1559">
        <f t="shared" si="14"/>
        <v>100</v>
      </c>
      <c r="X31" s="1502"/>
      <c r="Y31" s="3328"/>
      <c r="Z31" s="1560">
        <f t="shared" si="15"/>
        <v>111</v>
      </c>
      <c r="AA31" s="1560">
        <f t="shared" si="3"/>
        <v>1</v>
      </c>
      <c r="AB31" s="1560">
        <f t="shared" si="4"/>
        <v>1</v>
      </c>
      <c r="AC31" s="1560">
        <f t="shared" si="5"/>
        <v>1</v>
      </c>
    </row>
    <row r="32" spans="1:29" ht="15">
      <c r="A32" s="1550" t="s">
        <v>2035</v>
      </c>
      <c r="B32" s="1523" t="s">
        <v>2036</v>
      </c>
      <c r="C32" s="1592"/>
      <c r="D32" s="1593">
        <v>100</v>
      </c>
      <c r="E32" s="1594"/>
      <c r="F32" s="1586">
        <f>SUMIF(100:100,E32,101:101)-SUMIF(100:100,C32,101:101)+100</f>
        <v>100</v>
      </c>
      <c r="G32" s="1592"/>
      <c r="H32" s="1593">
        <f>SUMIF(100:100,G32,101:101)-SUMIF(100:100,C32,101:101)+100</f>
        <v>100</v>
      </c>
      <c r="I32" s="1594"/>
      <c r="J32" s="1544">
        <f>SUMIF(100:100,I32,101:101)-SUMIF(100:100,C32,101:101)+100</f>
        <v>100</v>
      </c>
      <c r="K32" s="1533"/>
      <c r="L32" s="2697"/>
      <c r="P32" s="3329" t="s">
        <v>2037</v>
      </c>
      <c r="Q32" s="1454" t="str">
        <f t="shared" si="11"/>
        <v>建筑类型</v>
      </c>
      <c r="R32" s="1558" t="s">
        <v>28</v>
      </c>
      <c r="S32" s="1559">
        <f t="shared" si="12"/>
        <v>100</v>
      </c>
      <c r="T32" s="1558" t="s">
        <v>28</v>
      </c>
      <c r="U32" s="1559">
        <f t="shared" si="13"/>
        <v>100</v>
      </c>
      <c r="V32" s="1558" t="s">
        <v>28</v>
      </c>
      <c r="W32" s="1559">
        <f t="shared" si="14"/>
        <v>100</v>
      </c>
      <c r="X32" s="1502"/>
      <c r="Y32" s="3332" t="s">
        <v>2037</v>
      </c>
      <c r="Z32" s="1560" t="str">
        <f t="shared" si="15"/>
        <v>建筑类型</v>
      </c>
      <c r="AA32" s="1560">
        <f t="shared" si="3"/>
        <v>1</v>
      </c>
      <c r="AB32" s="1560">
        <f t="shared" si="4"/>
        <v>1</v>
      </c>
      <c r="AC32" s="1560">
        <f t="shared" si="5"/>
        <v>1</v>
      </c>
    </row>
    <row r="33" spans="1:29" s="1601" customFormat="1" ht="15">
      <c r="A33" s="1595"/>
      <c r="B33" s="1529" t="s">
        <v>2038</v>
      </c>
      <c r="C33" s="1596"/>
      <c r="D33" s="1531">
        <v>100</v>
      </c>
      <c r="E33" s="1537"/>
      <c r="F33" s="1529" t="e">
        <f>LOOKUP(E33,103:103,104:104)-LOOKUP(C33,103:103,104:104)+100</f>
        <v>#N/A</v>
      </c>
      <c r="G33" s="1536"/>
      <c r="H33" s="1531" t="e">
        <f>LOOKUP(G33,103:103,104:104)-LOOKUP(C33,103:103,104:104)+100</f>
        <v>#N/A</v>
      </c>
      <c r="I33" s="1537"/>
      <c r="J33" s="1531" t="e">
        <f>LOOKUP(I33,103:103,104:104)-LOOKUP(C33,103:103,104:104)+100</f>
        <v>#N/A</v>
      </c>
      <c r="K33" s="1542"/>
      <c r="L33" s="2696"/>
      <c r="P33" s="3330"/>
      <c r="Q33" s="478" t="str">
        <f t="shared" si="11"/>
        <v>项目建筑规模</v>
      </c>
      <c r="R33" s="1597" t="s">
        <v>28</v>
      </c>
      <c r="S33" s="1598" t="e">
        <f t="shared" si="12"/>
        <v>#N/A</v>
      </c>
      <c r="T33" s="1597" t="s">
        <v>28</v>
      </c>
      <c r="U33" s="1598" t="e">
        <f t="shared" si="13"/>
        <v>#N/A</v>
      </c>
      <c r="V33" s="1597" t="s">
        <v>28</v>
      </c>
      <c r="W33" s="1598" t="e">
        <f t="shared" si="14"/>
        <v>#N/A</v>
      </c>
      <c r="X33" s="1599"/>
      <c r="Y33" s="3332"/>
      <c r="Z33" s="1600" t="str">
        <f t="shared" si="15"/>
        <v>项目建筑规模</v>
      </c>
      <c r="AA33" s="1560" t="e">
        <f t="shared" si="3"/>
        <v>#N/A</v>
      </c>
      <c r="AB33" s="1560" t="e">
        <f t="shared" si="4"/>
        <v>#N/A</v>
      </c>
      <c r="AC33" s="1560" t="e">
        <f t="shared" si="5"/>
        <v>#N/A</v>
      </c>
    </row>
    <row r="34" spans="1:29" ht="15">
      <c r="A34" s="1602"/>
      <c r="B34" s="1529" t="s">
        <v>2039</v>
      </c>
      <c r="C34" s="1584"/>
      <c r="D34" s="1544">
        <v>100</v>
      </c>
      <c r="E34" s="1603"/>
      <c r="F34" s="1586">
        <f>SUMIF(105:105,E34,106:106)-SUMIF(105:105,C34,106:106)+100</f>
        <v>100</v>
      </c>
      <c r="G34" s="1584"/>
      <c r="H34" s="1544">
        <f>SUMIF(105:105,G34,106:106)-SUMIF(105:105,C34,106:106)+100</f>
        <v>100</v>
      </c>
      <c r="I34" s="1603"/>
      <c r="J34" s="1544">
        <f>SUMIF(105:105,I34,106:106)-SUMIF(105:105,C34,106:106)+100</f>
        <v>100</v>
      </c>
      <c r="K34" s="1533"/>
      <c r="L34" s="2697"/>
      <c r="P34" s="3330"/>
      <c r="Q34" s="1454" t="str">
        <f t="shared" si="11"/>
        <v>建筑结构</v>
      </c>
      <c r="R34" s="1558" t="s">
        <v>28</v>
      </c>
      <c r="S34" s="1559">
        <f t="shared" si="12"/>
        <v>100</v>
      </c>
      <c r="T34" s="1558" t="s">
        <v>28</v>
      </c>
      <c r="U34" s="1559">
        <f t="shared" si="13"/>
        <v>100</v>
      </c>
      <c r="V34" s="1558" t="s">
        <v>28</v>
      </c>
      <c r="W34" s="1559">
        <f t="shared" si="14"/>
        <v>100</v>
      </c>
      <c r="X34" s="1502"/>
      <c r="Y34" s="3332"/>
      <c r="Z34" s="1560" t="str">
        <f t="shared" si="15"/>
        <v>建筑结构</v>
      </c>
      <c r="AA34" s="1560">
        <f t="shared" si="3"/>
        <v>1</v>
      </c>
      <c r="AB34" s="1560">
        <f t="shared" si="4"/>
        <v>1</v>
      </c>
      <c r="AC34" s="1560">
        <f t="shared" si="5"/>
        <v>1</v>
      </c>
    </row>
    <row r="35" spans="1:29" ht="15">
      <c r="A35" s="1602"/>
      <c r="B35" s="1529" t="s">
        <v>2040</v>
      </c>
      <c r="C35" s="1587"/>
      <c r="D35" s="1544">
        <v>100</v>
      </c>
      <c r="E35" s="1585"/>
      <c r="F35" s="1586">
        <f>SUMIF(107:107,E35,108:108)-SUMIF(107:107,C35,108:108)+100</f>
        <v>100</v>
      </c>
      <c r="G35" s="1587"/>
      <c r="H35" s="1544">
        <f>SUMIF(107:107,G35,108:108)-SUMIF(107:107,C35,108:108)+100</f>
        <v>100</v>
      </c>
      <c r="I35" s="1585"/>
      <c r="J35" s="1544">
        <f>SUMIF(107:107,I35,108:108)-SUMIF(107:107,C35,108:108)+100</f>
        <v>100</v>
      </c>
      <c r="K35" s="1533"/>
      <c r="L35" s="2697"/>
      <c r="P35" s="3330"/>
      <c r="Q35" s="1454" t="str">
        <f t="shared" si="11"/>
        <v>建筑品质</v>
      </c>
      <c r="R35" s="1558" t="s">
        <v>28</v>
      </c>
      <c r="S35" s="1559">
        <f t="shared" si="12"/>
        <v>100</v>
      </c>
      <c r="T35" s="1558" t="s">
        <v>28</v>
      </c>
      <c r="U35" s="1559">
        <f t="shared" si="13"/>
        <v>100</v>
      </c>
      <c r="V35" s="1558" t="s">
        <v>28</v>
      </c>
      <c r="W35" s="1559">
        <f t="shared" si="14"/>
        <v>100</v>
      </c>
      <c r="X35" s="1502"/>
      <c r="Y35" s="3332"/>
      <c r="Z35" s="1560" t="str">
        <f t="shared" si="15"/>
        <v>建筑品质</v>
      </c>
      <c r="AA35" s="1560">
        <f t="shared" si="3"/>
        <v>1</v>
      </c>
      <c r="AB35" s="1560">
        <f t="shared" si="4"/>
        <v>1</v>
      </c>
      <c r="AC35" s="1560">
        <f t="shared" si="5"/>
        <v>1</v>
      </c>
    </row>
    <row r="36" spans="1:29" ht="15">
      <c r="A36" s="1602"/>
      <c r="B36" s="1529" t="s">
        <v>2041</v>
      </c>
      <c r="C36" s="1587"/>
      <c r="D36" s="1544">
        <v>100</v>
      </c>
      <c r="E36" s="1585"/>
      <c r="F36" s="1586">
        <f>SUMIF(109:109,E36,110:110)-SUMIF(109:109,C36,110:110)+100</f>
        <v>100</v>
      </c>
      <c r="G36" s="1587"/>
      <c r="H36" s="1544">
        <f>SUMIF(109:109,G36,110:110)-SUMIF(109:109,C36,110:110)+100</f>
        <v>100</v>
      </c>
      <c r="I36" s="1585"/>
      <c r="J36" s="1544">
        <f>SUMIF(109:109,I36,110:110)-SUMIF(109:109,C36,110:110)+100</f>
        <v>100</v>
      </c>
      <c r="K36" s="1533"/>
      <c r="L36" s="2697"/>
      <c r="P36" s="3330"/>
      <c r="Q36" s="1454" t="str">
        <f t="shared" si="11"/>
        <v>公共部分装修</v>
      </c>
      <c r="R36" s="1558" t="s">
        <v>28</v>
      </c>
      <c r="S36" s="1559">
        <f t="shared" si="12"/>
        <v>100</v>
      </c>
      <c r="T36" s="1558" t="s">
        <v>28</v>
      </c>
      <c r="U36" s="1559">
        <f t="shared" si="13"/>
        <v>100</v>
      </c>
      <c r="V36" s="1558" t="s">
        <v>28</v>
      </c>
      <c r="W36" s="1559">
        <f t="shared" si="14"/>
        <v>100</v>
      </c>
      <c r="X36" s="1502"/>
      <c r="Y36" s="3332"/>
      <c r="Z36" s="1560" t="str">
        <f t="shared" si="15"/>
        <v>公共部分装修</v>
      </c>
      <c r="AA36" s="1560">
        <f t="shared" si="3"/>
        <v>1</v>
      </c>
      <c r="AB36" s="1560">
        <f t="shared" si="4"/>
        <v>1</v>
      </c>
      <c r="AC36" s="1560">
        <f t="shared" si="5"/>
        <v>1</v>
      </c>
    </row>
    <row r="37" spans="1:29" s="1520" customFormat="1" ht="15">
      <c r="A37" s="1604"/>
      <c r="B37" s="1529" t="s">
        <v>2042</v>
      </c>
      <c r="C37" s="1605"/>
      <c r="D37" s="1531">
        <v>100</v>
      </c>
      <c r="E37" s="1606"/>
      <c r="F37" s="1529" t="e">
        <f>LOOKUP(E37,112:112,113:113)-LOOKUP(C37,112:112,113:113)+100</f>
        <v>#N/A</v>
      </c>
      <c r="G37" s="1607"/>
      <c r="H37" s="1531" t="e">
        <f>LOOKUP(G37,112:112,113:113)-LOOKUP(C37,112:112,113:113)+100</f>
        <v>#N/A</v>
      </c>
      <c r="I37" s="1606"/>
      <c r="J37" s="1531" t="e">
        <f>LOOKUP(I37,112:112,113:113)-LOOKUP(C37,112:112,113:113)+100</f>
        <v>#N/A</v>
      </c>
      <c r="K37" s="1533"/>
      <c r="L37" s="2694"/>
      <c r="P37" s="3330"/>
      <c r="Q37" s="1472" t="str">
        <f t="shared" si="11"/>
        <v>成新度</v>
      </c>
      <c r="R37" s="1516" t="s">
        <v>28</v>
      </c>
      <c r="S37" s="1517" t="e">
        <f t="shared" si="12"/>
        <v>#N/A</v>
      </c>
      <c r="T37" s="1516" t="s">
        <v>28</v>
      </c>
      <c r="U37" s="1517" t="e">
        <f t="shared" si="13"/>
        <v>#N/A</v>
      </c>
      <c r="V37" s="1516" t="s">
        <v>28</v>
      </c>
      <c r="W37" s="1517" t="e">
        <f t="shared" si="14"/>
        <v>#N/A</v>
      </c>
      <c r="X37" s="1518"/>
      <c r="Y37" s="3332"/>
      <c r="Z37" s="1519" t="str">
        <f t="shared" si="15"/>
        <v>成新度</v>
      </c>
      <c r="AA37" s="1519" t="e">
        <f t="shared" si="3"/>
        <v>#N/A</v>
      </c>
      <c r="AB37" s="1519" t="e">
        <f t="shared" si="4"/>
        <v>#N/A</v>
      </c>
      <c r="AC37" s="1519" t="e">
        <f t="shared" si="5"/>
        <v>#N/A</v>
      </c>
    </row>
    <row r="38" spans="1:29" ht="15">
      <c r="A38" s="1602"/>
      <c r="B38" s="1529" t="s">
        <v>2043</v>
      </c>
      <c r="C38" s="1587"/>
      <c r="D38" s="1544">
        <v>100</v>
      </c>
      <c r="E38" s="1585"/>
      <c r="F38" s="1586">
        <f>SUMIF(114:114,E38,115:115)-SUMIF(114:114,C38,115:115)+100</f>
        <v>100</v>
      </c>
      <c r="G38" s="1587"/>
      <c r="H38" s="1544">
        <f>SUMIF(114:114,G38,115:115)-SUMIF(114:114,C38,115:115)+100</f>
        <v>100</v>
      </c>
      <c r="I38" s="1585"/>
      <c r="J38" s="1544">
        <f>SUMIF(114:114,I38,115:115)-SUMIF(114:114,C38,115:115)+100</f>
        <v>100</v>
      </c>
      <c r="K38" s="1533"/>
      <c r="L38" s="2697"/>
      <c r="P38" s="3330" t="s">
        <v>2037</v>
      </c>
      <c r="Q38" s="1454" t="str">
        <f t="shared" si="11"/>
        <v>物业管理</v>
      </c>
      <c r="R38" s="1558" t="s">
        <v>28</v>
      </c>
      <c r="S38" s="1559">
        <f t="shared" si="12"/>
        <v>100</v>
      </c>
      <c r="T38" s="1558" t="s">
        <v>28</v>
      </c>
      <c r="U38" s="1559">
        <f t="shared" si="13"/>
        <v>100</v>
      </c>
      <c r="V38" s="1558" t="s">
        <v>28</v>
      </c>
      <c r="W38" s="1559">
        <f t="shared" si="14"/>
        <v>100</v>
      </c>
      <c r="X38" s="1502"/>
      <c r="Y38" s="3332" t="s">
        <v>2037</v>
      </c>
      <c r="Z38" s="1560" t="str">
        <f t="shared" si="15"/>
        <v>物业管理</v>
      </c>
      <c r="AA38" s="1560">
        <f t="shared" si="3"/>
        <v>1</v>
      </c>
      <c r="AB38" s="1560">
        <f t="shared" si="4"/>
        <v>1</v>
      </c>
      <c r="AC38" s="1560">
        <f t="shared" si="5"/>
        <v>1</v>
      </c>
    </row>
    <row r="39" spans="1:29" ht="15">
      <c r="A39" s="1602"/>
      <c r="B39" s="1529" t="s">
        <v>2044</v>
      </c>
      <c r="C39" s="1587"/>
      <c r="D39" s="1544">
        <v>100</v>
      </c>
      <c r="E39" s="1585"/>
      <c r="F39" s="1586">
        <f>SUMIF(116:116,E39,117:117)-SUMIF(116:116,C39,117:117)+100</f>
        <v>100</v>
      </c>
      <c r="G39" s="1587"/>
      <c r="H39" s="1544">
        <f>SUMIF(116:116,G39,117:117)-SUMIF(116:116,C39,117:117)+100</f>
        <v>100</v>
      </c>
      <c r="I39" s="1585"/>
      <c r="J39" s="1544">
        <f>SUMIF(116:116,I39,117:117)-SUMIF(116:116,C39,117:117)+100</f>
        <v>100</v>
      </c>
      <c r="K39" s="1533"/>
      <c r="L39" s="2697"/>
      <c r="P39" s="3330"/>
      <c r="Q39" s="1454" t="str">
        <f t="shared" si="11"/>
        <v>市政基础设施</v>
      </c>
      <c r="R39" s="1558" t="s">
        <v>28</v>
      </c>
      <c r="S39" s="1559">
        <f t="shared" si="12"/>
        <v>100</v>
      </c>
      <c r="T39" s="1558" t="s">
        <v>28</v>
      </c>
      <c r="U39" s="1559">
        <f t="shared" si="13"/>
        <v>100</v>
      </c>
      <c r="V39" s="1558" t="s">
        <v>28</v>
      </c>
      <c r="W39" s="1559">
        <f t="shared" si="14"/>
        <v>100</v>
      </c>
      <c r="X39" s="1502"/>
      <c r="Y39" s="3332"/>
      <c r="Z39" s="1560" t="str">
        <f t="shared" si="15"/>
        <v>市政基础设施</v>
      </c>
      <c r="AA39" s="1560">
        <f t="shared" si="3"/>
        <v>1</v>
      </c>
      <c r="AB39" s="1560">
        <f t="shared" si="4"/>
        <v>1</v>
      </c>
      <c r="AC39" s="1560">
        <f t="shared" si="5"/>
        <v>1</v>
      </c>
    </row>
    <row r="40" spans="1:29" ht="15">
      <c r="A40" s="1602"/>
      <c r="B40" s="1529" t="s">
        <v>2045</v>
      </c>
      <c r="C40" s="1587"/>
      <c r="D40" s="1544">
        <v>100</v>
      </c>
      <c r="E40" s="1585"/>
      <c r="F40" s="1586">
        <f>SUMIF(118:118,E40,119:119)-SUMIF(118:118,C40,119:119)+100</f>
        <v>100</v>
      </c>
      <c r="G40" s="1587"/>
      <c r="H40" s="1544">
        <f>SUMIF(118:118,G40,119:119)-SUMIF(118:118,C40,119:119)+100</f>
        <v>100</v>
      </c>
      <c r="I40" s="1585"/>
      <c r="J40" s="1544">
        <f>SUMIF(118:118,I40,119:119)-SUMIF(118:118,C40,119:119)+100</f>
        <v>100</v>
      </c>
      <c r="K40" s="1533"/>
      <c r="L40" s="2697"/>
      <c r="P40" s="3330"/>
      <c r="Q40" s="1454" t="str">
        <f t="shared" si="11"/>
        <v>房型</v>
      </c>
      <c r="R40" s="1558" t="s">
        <v>28</v>
      </c>
      <c r="S40" s="1559">
        <f t="shared" si="12"/>
        <v>100</v>
      </c>
      <c r="T40" s="1558" t="s">
        <v>28</v>
      </c>
      <c r="U40" s="1559">
        <f t="shared" si="13"/>
        <v>100</v>
      </c>
      <c r="V40" s="1558" t="s">
        <v>28</v>
      </c>
      <c r="W40" s="1559">
        <f t="shared" si="14"/>
        <v>100</v>
      </c>
      <c r="X40" s="1502"/>
      <c r="Y40" s="3332"/>
      <c r="Z40" s="1560" t="str">
        <f t="shared" si="15"/>
        <v>房型</v>
      </c>
      <c r="AA40" s="1560">
        <f t="shared" si="3"/>
        <v>1</v>
      </c>
      <c r="AB40" s="1560">
        <f t="shared" si="4"/>
        <v>1</v>
      </c>
      <c r="AC40" s="1560">
        <f t="shared" si="5"/>
        <v>1</v>
      </c>
    </row>
    <row r="41" spans="1:29" s="1601" customFormat="1" ht="28.8">
      <c r="A41" s="1595"/>
      <c r="B41" s="1529" t="s">
        <v>2046</v>
      </c>
      <c r="C41" s="1596"/>
      <c r="D41" s="1531">
        <v>100</v>
      </c>
      <c r="E41" s="1537"/>
      <c r="F41" s="1529">
        <f>SUMIF(120:120,E41,121:121)-SUMIF(120:120,C41,121:121)+100</f>
        <v>100</v>
      </c>
      <c r="G41" s="1536"/>
      <c r="H41" s="1531">
        <f>SUMIF(120:120,G41,121:121)-SUMIF(120:120,C41,121:121)+100</f>
        <v>100</v>
      </c>
      <c r="I41" s="1608"/>
      <c r="J41" s="1544">
        <f>SUMIF(120:120,I41,121:121)-SUMIF(120:120,C41,121:121)+100</f>
        <v>100</v>
      </c>
      <c r="K41" s="1542"/>
      <c r="L41" s="2696"/>
      <c r="P41" s="3330"/>
      <c r="Q41" s="478" t="str">
        <f t="shared" si="11"/>
        <v>单套/主力户型建筑面积</v>
      </c>
      <c r="R41" s="1597" t="s">
        <v>28</v>
      </c>
      <c r="S41" s="1598">
        <f t="shared" si="12"/>
        <v>100</v>
      </c>
      <c r="T41" s="1597" t="s">
        <v>28</v>
      </c>
      <c r="U41" s="1598">
        <f t="shared" si="13"/>
        <v>100</v>
      </c>
      <c r="V41" s="1597" t="s">
        <v>28</v>
      </c>
      <c r="W41" s="1598">
        <f t="shared" si="14"/>
        <v>100</v>
      </c>
      <c r="X41" s="1599"/>
      <c r="Y41" s="3332"/>
      <c r="Z41" s="1600" t="str">
        <f t="shared" si="15"/>
        <v>单套/主力户型建筑面积</v>
      </c>
      <c r="AA41" s="1560">
        <f t="shared" si="3"/>
        <v>1</v>
      </c>
      <c r="AB41" s="1560">
        <f t="shared" si="4"/>
        <v>1</v>
      </c>
      <c r="AC41" s="1560">
        <f t="shared" si="5"/>
        <v>1</v>
      </c>
    </row>
    <row r="42" spans="1:29" ht="15">
      <c r="A42" s="1602"/>
      <c r="B42" s="1529" t="s">
        <v>2047</v>
      </c>
      <c r="C42" s="1587"/>
      <c r="D42" s="1544">
        <v>100</v>
      </c>
      <c r="E42" s="1585"/>
      <c r="F42" s="1586">
        <f>SUMIF(122:122,E42,123:123)-SUMIF(122:122,C42,123:123)+100</f>
        <v>100</v>
      </c>
      <c r="G42" s="1587"/>
      <c r="H42" s="1544">
        <f>SUMIF(122:122,G42,123:123)-SUMIF(122:122,C42,123:123)+100</f>
        <v>100</v>
      </c>
      <c r="I42" s="1585"/>
      <c r="J42" s="1544">
        <f>SUMIF(122:122,I42,123:123)-SUMIF(122:122,C42,123:123)+100</f>
        <v>100</v>
      </c>
      <c r="K42" s="1533"/>
      <c r="L42" s="2697"/>
      <c r="P42" s="3330"/>
      <c r="Q42" s="1454" t="str">
        <f t="shared" si="11"/>
        <v>内部装修</v>
      </c>
      <c r="R42" s="1558" t="s">
        <v>28</v>
      </c>
      <c r="S42" s="1559">
        <f t="shared" si="12"/>
        <v>100</v>
      </c>
      <c r="T42" s="1558" t="s">
        <v>28</v>
      </c>
      <c r="U42" s="1559">
        <f t="shared" si="13"/>
        <v>100</v>
      </c>
      <c r="V42" s="1558" t="s">
        <v>28</v>
      </c>
      <c r="W42" s="1559">
        <f t="shared" si="14"/>
        <v>100</v>
      </c>
      <c r="X42" s="1502"/>
      <c r="Y42" s="3332"/>
      <c r="Z42" s="1560" t="str">
        <f t="shared" si="15"/>
        <v>内部装修</v>
      </c>
      <c r="AA42" s="1560">
        <f t="shared" si="3"/>
        <v>1</v>
      </c>
      <c r="AB42" s="1560">
        <f t="shared" si="4"/>
        <v>1</v>
      </c>
      <c r="AC42" s="1560">
        <f t="shared" si="5"/>
        <v>1</v>
      </c>
    </row>
    <row r="43" spans="1:29" ht="28.8">
      <c r="A43" s="1602"/>
      <c r="B43" s="1529" t="s">
        <v>2048</v>
      </c>
      <c r="C43" s="1587"/>
      <c r="D43" s="1544">
        <v>100</v>
      </c>
      <c r="E43" s="1585"/>
      <c r="F43" s="1586">
        <f>SUMIF(124:124,E43,125:125)-SUMIF(124:124,C43,125:125)+100</f>
        <v>100</v>
      </c>
      <c r="G43" s="1587"/>
      <c r="H43" s="1544">
        <f>SUMIF(124:124,G43,125:125)-SUMIF(124:124,C43,125:125)+100</f>
        <v>100</v>
      </c>
      <c r="I43" s="1585"/>
      <c r="J43" s="1544">
        <f>SUMIF(124:124,I43,125:125)-SUMIF(124:124,C43,125:125)+100</f>
        <v>100</v>
      </c>
      <c r="K43" s="1533"/>
      <c r="L43" s="2697"/>
      <c r="P43" s="3330"/>
      <c r="Q43" s="1454" t="str">
        <f t="shared" si="11"/>
        <v>内部装修维护情况</v>
      </c>
      <c r="R43" s="1558" t="s">
        <v>28</v>
      </c>
      <c r="S43" s="1559">
        <f t="shared" si="12"/>
        <v>100</v>
      </c>
      <c r="T43" s="1558" t="s">
        <v>28</v>
      </c>
      <c r="U43" s="1559">
        <f t="shared" si="13"/>
        <v>100</v>
      </c>
      <c r="V43" s="1558" t="s">
        <v>28</v>
      </c>
      <c r="W43" s="1559">
        <f t="shared" si="14"/>
        <v>100</v>
      </c>
      <c r="X43" s="1502"/>
      <c r="Y43" s="3332"/>
      <c r="Z43" s="1560" t="str">
        <f t="shared" si="15"/>
        <v>内部装修维护情况</v>
      </c>
      <c r="AA43" s="1560">
        <f t="shared" si="3"/>
        <v>1</v>
      </c>
      <c r="AB43" s="1560">
        <f t="shared" si="4"/>
        <v>1</v>
      </c>
      <c r="AC43" s="1560">
        <f t="shared" si="5"/>
        <v>1</v>
      </c>
    </row>
    <row r="44" spans="1:29" s="1520" customFormat="1" ht="15">
      <c r="A44" s="1604"/>
      <c r="B44" s="1591">
        <v>111</v>
      </c>
      <c r="C44" s="1596"/>
      <c r="D44" s="1531">
        <v>100</v>
      </c>
      <c r="E44" s="1596"/>
      <c r="F44" s="1529">
        <f>SUMIF(126:126,E44,127:127)-SUMIF(126:126,C44,127:127)+100</f>
        <v>100</v>
      </c>
      <c r="G44" s="1596"/>
      <c r="H44" s="1531">
        <f>SUMIF(126:126,G44,127:127)-SUMIF(126:126,C44,127:127)+100</f>
        <v>100</v>
      </c>
      <c r="I44" s="1596"/>
      <c r="J44" s="1531">
        <f>SUMIF(126:126,I44,127:127)-SUMIF(126:126,C44,127:127)+100</f>
        <v>100</v>
      </c>
      <c r="K44" s="1542"/>
      <c r="L44" s="2694"/>
      <c r="P44" s="3330"/>
      <c r="Q44" s="1472">
        <f t="shared" si="11"/>
        <v>111</v>
      </c>
      <c r="R44" s="1516" t="s">
        <v>28</v>
      </c>
      <c r="S44" s="1517">
        <f t="shared" si="12"/>
        <v>100</v>
      </c>
      <c r="T44" s="1516" t="s">
        <v>28</v>
      </c>
      <c r="U44" s="1517">
        <f t="shared" si="13"/>
        <v>100</v>
      </c>
      <c r="V44" s="1516" t="s">
        <v>28</v>
      </c>
      <c r="W44" s="1517">
        <f t="shared" si="14"/>
        <v>100</v>
      </c>
      <c r="X44" s="1518"/>
      <c r="Y44" s="3332"/>
      <c r="Z44" s="1519">
        <f t="shared" si="15"/>
        <v>111</v>
      </c>
      <c r="AA44" s="1519">
        <f t="shared" si="3"/>
        <v>1</v>
      </c>
      <c r="AB44" s="1519">
        <f t="shared" si="4"/>
        <v>1</v>
      </c>
      <c r="AC44" s="1519">
        <f t="shared" si="5"/>
        <v>1</v>
      </c>
    </row>
    <row r="45" spans="1:29" ht="15">
      <c r="A45" s="1602"/>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542"/>
      <c r="L45" s="2697"/>
      <c r="P45" s="3330"/>
      <c r="Q45" s="1454">
        <f t="shared" si="11"/>
        <v>111</v>
      </c>
      <c r="R45" s="1558" t="s">
        <v>28</v>
      </c>
      <c r="S45" s="1559">
        <f t="shared" si="12"/>
        <v>100</v>
      </c>
      <c r="T45" s="1558" t="s">
        <v>28</v>
      </c>
      <c r="U45" s="1559">
        <f t="shared" si="13"/>
        <v>100</v>
      </c>
      <c r="V45" s="1558" t="s">
        <v>28</v>
      </c>
      <c r="W45" s="1559">
        <f t="shared" si="14"/>
        <v>100</v>
      </c>
      <c r="X45" s="1502"/>
      <c r="Y45" s="3332"/>
      <c r="Z45" s="1560">
        <f t="shared" si="15"/>
        <v>111</v>
      </c>
      <c r="AA45" s="1560">
        <f t="shared" si="3"/>
        <v>1</v>
      </c>
      <c r="AB45" s="1560">
        <f t="shared" si="4"/>
        <v>1</v>
      </c>
      <c r="AC45" s="1560">
        <f t="shared" si="5"/>
        <v>1</v>
      </c>
    </row>
    <row r="46" spans="1:29" ht="15.6" thickBot="1">
      <c r="A46" s="1609"/>
      <c r="B46" s="1546">
        <v>111</v>
      </c>
      <c r="C46" s="1547"/>
      <c r="D46" s="1548">
        <v>100</v>
      </c>
      <c r="E46" s="1547"/>
      <c r="F46" s="1549">
        <f>SUMIF(130:130,E46,131:131)-SUMIF(130:130,C46,131:131)+100</f>
        <v>100</v>
      </c>
      <c r="G46" s="1547"/>
      <c r="H46" s="1548">
        <f>SUMIF(130:130,G46,131:131)-SUMIF(130:130,C46,131:131)+100</f>
        <v>100</v>
      </c>
      <c r="I46" s="1547"/>
      <c r="J46" s="1548">
        <f>SUMIF(130:130,I46,131:131)-SUMIF(130:130,C46,131:131)+100</f>
        <v>100</v>
      </c>
      <c r="K46" s="1542"/>
      <c r="L46" s="2697"/>
      <c r="P46" s="3331"/>
      <c r="Q46" s="1454">
        <f t="shared" si="11"/>
        <v>111</v>
      </c>
      <c r="R46" s="1558" t="s">
        <v>27</v>
      </c>
      <c r="S46" s="1559">
        <f t="shared" si="12"/>
        <v>100</v>
      </c>
      <c r="T46" s="1558" t="s">
        <v>27</v>
      </c>
      <c r="U46" s="1559">
        <f t="shared" si="13"/>
        <v>100</v>
      </c>
      <c r="V46" s="1558" t="s">
        <v>27</v>
      </c>
      <c r="W46" s="1559">
        <f t="shared" si="14"/>
        <v>100</v>
      </c>
      <c r="X46" s="1502"/>
      <c r="Y46" s="3333"/>
      <c r="Z46" s="1560">
        <f t="shared" si="15"/>
        <v>111</v>
      </c>
      <c r="AA46" s="1560">
        <f t="shared" si="3"/>
        <v>1</v>
      </c>
      <c r="AB46" s="1560">
        <f t="shared" si="4"/>
        <v>1</v>
      </c>
      <c r="AC46" s="1560">
        <f t="shared" si="5"/>
        <v>1</v>
      </c>
    </row>
    <row r="47" spans="1:29" ht="14.4">
      <c r="A47" s="1610" t="s">
        <v>2049</v>
      </c>
      <c r="B47" s="1611"/>
      <c r="C47" s="1612" t="s">
        <v>26</v>
      </c>
      <c r="D47" s="1613"/>
      <c r="E47" s="1614"/>
      <c r="F47" s="1615"/>
      <c r="G47" s="1616"/>
      <c r="H47" s="1617"/>
      <c r="I47" s="1614"/>
      <c r="J47" s="1617"/>
      <c r="K47" s="1618"/>
      <c r="L47" s="2698"/>
      <c r="P47" s="3324" t="str">
        <f>A47</f>
        <v>成交单价（元/平方米）</v>
      </c>
      <c r="Q47" s="3324"/>
      <c r="R47" s="3320">
        <f>E47</f>
        <v>0</v>
      </c>
      <c r="S47" s="3320"/>
      <c r="T47" s="3320">
        <f>G47</f>
        <v>0</v>
      </c>
      <c r="U47" s="3320"/>
      <c r="V47" s="3320">
        <f>I47</f>
        <v>0</v>
      </c>
      <c r="W47" s="3320"/>
      <c r="X47" s="1561"/>
      <c r="Y47" s="1620"/>
      <c r="Z47" s="1561"/>
      <c r="AA47" s="1561"/>
      <c r="AB47" s="1561"/>
      <c r="AC47" s="1561"/>
    </row>
    <row r="48" spans="1:29" ht="15" thickBot="1">
      <c r="A48" s="1621" t="s">
        <v>2050</v>
      </c>
      <c r="B48" s="1622"/>
      <c r="C48" s="1623" t="e">
        <f>R49</f>
        <v>#DIV/0!</v>
      </c>
      <c r="D48" s="1624" t="s">
        <v>2503</v>
      </c>
      <c r="E48" s="1625" t="e">
        <f>R48</f>
        <v>#DIV/0!</v>
      </c>
      <c r="F48" s="1626"/>
      <c r="G48" s="1623" t="e">
        <f>T48</f>
        <v>#DIV/0!</v>
      </c>
      <c r="H48" s="1626"/>
      <c r="I48" s="1625" t="e">
        <f>V48</f>
        <v>#DIV/0!</v>
      </c>
      <c r="J48" s="1626"/>
      <c r="K48" s="2252">
        <f>F48+H48+J48</f>
        <v>0</v>
      </c>
      <c r="L48" s="2698"/>
      <c r="P48" s="3324" t="str">
        <f>A48</f>
        <v>比较价值（元/平方米）</v>
      </c>
      <c r="Q48" s="3324"/>
      <c r="R48" s="3320" t="e">
        <f>IF(E1="售价",ROUND(PRODUCT(R47,AA7:AA46),0),ROUND(PRODUCT(R47,AA7:AA46),1))</f>
        <v>#DIV/0!</v>
      </c>
      <c r="S48" s="3320"/>
      <c r="T48" s="3318" t="e">
        <f>IF(E1="售价",ROUND(PRODUCT(T47,AB7:AB46),0),ROUND(PRODUCT(T47,AB7:AB46),1))</f>
        <v>#DIV/0!</v>
      </c>
      <c r="U48" s="3319"/>
      <c r="V48" s="3320" t="e">
        <f>IF(E1="售价",ROUND(PRODUCT(V47,AC7:AC46),0),ROUND(PRODUCT(V47,AC7:AC46),1))</f>
        <v>#DIV/0!</v>
      </c>
      <c r="W48" s="3320"/>
      <c r="X48" s="1561"/>
      <c r="Y48" s="1561"/>
      <c r="Z48" s="1561"/>
      <c r="AA48" s="1561"/>
      <c r="AB48" s="1561"/>
      <c r="AC48" s="1561"/>
    </row>
    <row r="49" spans="1:29" ht="15" thickBot="1">
      <c r="A49" s="1627" t="s">
        <v>2051</v>
      </c>
      <c r="B49" s="1628"/>
      <c r="C49" s="1629" t="e">
        <f>R49</f>
        <v>#DIV/0!</v>
      </c>
      <c r="D49" s="1508"/>
      <c r="E49" s="1508"/>
      <c r="F49" s="1508"/>
      <c r="G49" s="1508"/>
      <c r="H49" s="1508"/>
      <c r="I49" s="1508"/>
      <c r="J49" s="1508"/>
      <c r="K49" s="1630"/>
      <c r="L49" s="2698"/>
      <c r="P49" s="3321" t="str">
        <f>A49</f>
        <v>估价对象XX用房的比较价值（楼面单价，元/平方米）</v>
      </c>
      <c r="Q49" s="3322"/>
      <c r="R49" s="3323" t="e">
        <f>IF(E1="售价",ROUND(IF(D48="简单平均",AVERAGE(R48:V48),R48*F48+T48*H48+V48*J48),0),ROUND(IF(D48="简单平均",AVERAGE(R48:V48),R48*F48+T48*H48+V48*J48),1))</f>
        <v>#DIV/0!</v>
      </c>
      <c r="S49" s="3323"/>
      <c r="T49" s="3323"/>
      <c r="U49" s="3323"/>
      <c r="V49" s="3323"/>
      <c r="W49" s="3323"/>
      <c r="X49" s="1561"/>
      <c r="Y49" s="1561"/>
      <c r="Z49" s="1561"/>
      <c r="AA49" s="1561"/>
      <c r="AB49" s="1561"/>
      <c r="AC49" s="1561"/>
    </row>
    <row r="50" spans="1:29">
      <c r="G50" s="2701"/>
    </row>
    <row r="52" spans="1:29" ht="13.5" customHeight="1">
      <c r="C52" s="376" t="s">
        <v>2052</v>
      </c>
      <c r="D52" s="1634"/>
      <c r="E52" s="1635" t="e">
        <f>IF(E47&lt;E48,E48/E47-1,E47/E48-1)</f>
        <v>#DIV/0!</v>
      </c>
      <c r="F52" s="1636" t="e">
        <f>IF(OR(E52&gt;=0.3,E52&lt;=-0.3),"超过30%","")</f>
        <v>#DIV/0!</v>
      </c>
      <c r="G52" s="1635" t="e">
        <f>IF(G47&lt;G48,G48/G47-1,G47/G48-1)</f>
        <v>#DIV/0!</v>
      </c>
      <c r="H52" s="1636" t="e">
        <f>IF(OR(G52&gt;=0.3,G52&lt;=-0.3),"超过30%","")</f>
        <v>#DIV/0!</v>
      </c>
      <c r="I52" s="1635" t="e">
        <f>IF(I47&lt;I48,I48/I47-1,I47/I48-1)</f>
        <v>#DIV/0!</v>
      </c>
      <c r="J52" s="1636" t="e">
        <f>IF(OR(I52&gt;=0.3,I52&lt;=-0.3),"超过30%","")</f>
        <v>#DIV/0!</v>
      </c>
    </row>
    <row r="53" spans="1:29" ht="13.5" customHeight="1">
      <c r="C53" s="376" t="s">
        <v>2053</v>
      </c>
      <c r="D53" s="1637"/>
      <c r="E53" s="1635" t="e">
        <f>IF(E48&lt;G48,G48/E48-1,E48/G48-1)</f>
        <v>#DIV/0!</v>
      </c>
      <c r="F53" s="1636" t="e">
        <f>IF(OR(E53&gt;=0.2,E53&lt;=-0.2),"超过20%","")</f>
        <v>#DIV/0!</v>
      </c>
      <c r="G53" s="1635" t="e">
        <f>IF(G48&lt;I48,I48/G48-1,G48/I48-1)</f>
        <v>#DIV/0!</v>
      </c>
      <c r="H53" s="1636" t="e">
        <f>IF(OR(G53&gt;=0.2,G53&lt;=-0.2),"超过20%","")</f>
        <v>#DIV/0!</v>
      </c>
      <c r="I53" s="1635" t="e">
        <f>IF(I48&lt;E48,E48/I48-1,I48/E48-1)</f>
        <v>#DIV/0!</v>
      </c>
      <c r="J53" s="1636" t="e">
        <f>IF(OR(I53&gt;=0.2,I53&lt;=-0.2),"超过20%","")</f>
        <v>#DIV/0!</v>
      </c>
    </row>
    <row r="54" spans="1:29" s="1640" customFormat="1" ht="13.5" customHeight="1">
      <c r="C54" s="376" t="s">
        <v>2054</v>
      </c>
      <c r="D54" s="1637"/>
      <c r="E54" s="1635" t="e">
        <f>IF(E47&lt;G47,G47/E47-1,E47/G47-1)</f>
        <v>#DIV/0!</v>
      </c>
      <c r="F54" s="1636" t="e">
        <f>IF(OR(E54&gt;=0.3,E54&lt;=-0.3),"超过30%","")</f>
        <v>#DIV/0!</v>
      </c>
      <c r="G54" s="1635" t="e">
        <f>IF(G47&lt;I47,I47/G47-1,G47/I47-1)</f>
        <v>#DIV/0!</v>
      </c>
      <c r="H54" s="1636" t="e">
        <f>IF(OR(G54&gt;=0.3,G54&lt;=-0.3),"超过30%","")</f>
        <v>#DIV/0!</v>
      </c>
      <c r="I54" s="1635" t="e">
        <f>IF(I47&lt;E47,E47/I47-1,I47/E47-1)</f>
        <v>#DIV/0!</v>
      </c>
      <c r="J54" s="1636" t="e">
        <f>IF(OR(I54&gt;=0.3,I54&lt;=-0.3),"超过30%","")</f>
        <v>#DIV/0!</v>
      </c>
      <c r="K54" s="2704"/>
      <c r="L54" s="2699"/>
      <c r="P54" s="1639"/>
    </row>
    <row r="55" spans="1:29" s="1640" customFormat="1">
      <c r="B55" s="2702"/>
      <c r="C55" s="2703"/>
      <c r="K55" s="2704"/>
      <c r="L55" s="2699"/>
      <c r="P55" s="1639"/>
    </row>
    <row r="56" spans="1:29">
      <c r="B56" s="2702"/>
      <c r="C56" s="2703"/>
    </row>
    <row r="57" spans="1:29" ht="22.2" thickBot="1">
      <c r="A57" s="1643" t="s">
        <v>2055</v>
      </c>
      <c r="B57" s="1561"/>
      <c r="C57" s="1644"/>
      <c r="D57" s="1644"/>
      <c r="E57" s="1644"/>
      <c r="F57" s="1644"/>
      <c r="G57" s="1644"/>
      <c r="H57" s="1644"/>
      <c r="I57" s="1644"/>
      <c r="J57" s="1644"/>
      <c r="K57" s="1645"/>
      <c r="L57" s="2700"/>
      <c r="M57" s="1855"/>
      <c r="N57" s="1855"/>
      <c r="O57" s="1855"/>
      <c r="P57" s="1647"/>
      <c r="Q57" s="1648"/>
    </row>
    <row r="58" spans="1:29" s="1654" customFormat="1" ht="14.4">
      <c r="A58" s="1649" t="s">
        <v>2056</v>
      </c>
      <c r="B58" s="1650"/>
      <c r="C58" s="1651" t="str">
        <f>YEAR(C7)&amp;"-"&amp;MONTH(C7)</f>
        <v>2022-12</v>
      </c>
      <c r="D58" s="1652">
        <f>EDATE(C58,-1)</f>
        <v>44866</v>
      </c>
      <c r="E58" s="1652">
        <f t="shared" ref="E58:O58" si="16">EDATE(D58,-1)</f>
        <v>44835</v>
      </c>
      <c r="F58" s="1652">
        <f t="shared" si="16"/>
        <v>44805</v>
      </c>
      <c r="G58" s="1652">
        <f t="shared" si="16"/>
        <v>44774</v>
      </c>
      <c r="H58" s="1652">
        <f t="shared" si="16"/>
        <v>44743</v>
      </c>
      <c r="I58" s="1652">
        <f t="shared" si="16"/>
        <v>44713</v>
      </c>
      <c r="J58" s="1652">
        <f t="shared" si="16"/>
        <v>44682</v>
      </c>
      <c r="K58" s="1652">
        <f t="shared" si="16"/>
        <v>44652</v>
      </c>
      <c r="L58" s="1652">
        <f t="shared" si="16"/>
        <v>44621</v>
      </c>
      <c r="M58" s="1652">
        <f t="shared" si="16"/>
        <v>44593</v>
      </c>
      <c r="N58" s="1652">
        <f t="shared" si="16"/>
        <v>44562</v>
      </c>
      <c r="O58" s="1652">
        <f t="shared" si="16"/>
        <v>44531</v>
      </c>
      <c r="P58" s="1653"/>
    </row>
    <row r="59" spans="1:29" s="1520" customFormat="1">
      <c r="A59" s="1655"/>
      <c r="B59" s="1656"/>
      <c r="C59" s="1657">
        <v>100</v>
      </c>
      <c r="D59" s="1658"/>
      <c r="E59" s="1658"/>
      <c r="F59" s="1658"/>
      <c r="G59" s="1658"/>
      <c r="H59" s="1658"/>
      <c r="I59" s="1658"/>
      <c r="J59" s="1658"/>
      <c r="K59" s="1658"/>
      <c r="L59" s="1658"/>
      <c r="M59" s="1539"/>
      <c r="N59" s="1658"/>
      <c r="O59" s="1539"/>
      <c r="P59" s="1659"/>
    </row>
    <row r="60" spans="1:29" s="1520" customFormat="1" ht="15" thickBot="1">
      <c r="A60" s="1660" t="s">
        <v>2057</v>
      </c>
      <c r="B60" s="1661"/>
      <c r="C60" s="1662"/>
      <c r="D60" s="1663"/>
      <c r="E60" s="1663"/>
      <c r="F60" s="1663"/>
      <c r="G60" s="1663"/>
      <c r="H60" s="1663"/>
      <c r="I60" s="1663"/>
      <c r="J60" s="1663"/>
      <c r="K60" s="1663"/>
      <c r="L60" s="1663"/>
      <c r="M60" s="1664"/>
      <c r="N60" s="1663"/>
      <c r="O60" s="1664"/>
      <c r="P60" s="1659"/>
      <c r="Q60" s="1648"/>
    </row>
    <row r="61" spans="1:29" s="1520" customFormat="1" ht="14.4">
      <c r="A61" s="1665" t="s">
        <v>2058</v>
      </c>
      <c r="B61" s="1656"/>
      <c r="C61" s="1666" t="s">
        <v>2059</v>
      </c>
      <c r="D61" s="401"/>
      <c r="E61" s="401"/>
      <c r="F61" s="401"/>
      <c r="G61" s="401"/>
      <c r="H61" s="401"/>
      <c r="I61" s="401"/>
      <c r="J61" s="401"/>
      <c r="K61" s="401"/>
      <c r="L61" s="401"/>
      <c r="M61" s="1667"/>
      <c r="N61" s="1668"/>
      <c r="O61" s="1668"/>
      <c r="P61" s="1669"/>
      <c r="Q61" s="1648"/>
    </row>
    <row r="62" spans="1:29" s="1520" customFormat="1" ht="14.4" thickBot="1">
      <c r="A62" s="1665"/>
      <c r="B62" s="1656"/>
      <c r="C62" s="1670">
        <v>100</v>
      </c>
      <c r="D62" s="1658"/>
      <c r="E62" s="1658"/>
      <c r="F62" s="1658"/>
      <c r="G62" s="1658"/>
      <c r="H62" s="1658"/>
      <c r="I62" s="1658"/>
      <c r="J62" s="1658"/>
      <c r="K62" s="1658"/>
      <c r="L62" s="1658"/>
      <c r="M62" s="1671"/>
      <c r="N62" s="1668"/>
      <c r="O62" s="1668"/>
      <c r="P62" s="1659"/>
      <c r="Q62" s="1648"/>
    </row>
    <row r="63" spans="1:29" ht="14.4">
      <c r="A63" s="1550" t="s">
        <v>2060</v>
      </c>
      <c r="B63" s="1672" t="s">
        <v>2025</v>
      </c>
      <c r="C63" s="1673">
        <f>C9</f>
        <v>0</v>
      </c>
      <c r="D63" s="1674"/>
      <c r="E63" s="1674"/>
      <c r="F63" s="1674"/>
      <c r="G63" s="1674"/>
      <c r="H63" s="1674"/>
      <c r="I63" s="1674"/>
      <c r="J63" s="1674"/>
      <c r="K63" s="408"/>
      <c r="L63" s="408"/>
      <c r="M63" s="1675"/>
      <c r="N63" s="1676"/>
      <c r="O63" s="1676"/>
      <c r="P63" s="1677"/>
      <c r="Q63" s="1648"/>
    </row>
    <row r="64" spans="1:29" ht="14.4" thickBot="1">
      <c r="A64" s="1535"/>
      <c r="B64" s="1678"/>
      <c r="C64" s="1679">
        <v>100</v>
      </c>
      <c r="D64" s="1679"/>
      <c r="E64" s="1679"/>
      <c r="F64" s="1679"/>
      <c r="G64" s="1679"/>
      <c r="H64" s="1679"/>
      <c r="I64" s="1679"/>
      <c r="J64" s="1679"/>
      <c r="K64" s="1679"/>
      <c r="L64" s="1679"/>
      <c r="M64" s="1680"/>
      <c r="N64" s="1681"/>
      <c r="O64" s="1681"/>
      <c r="P64" s="1677"/>
      <c r="Q64" s="1648"/>
    </row>
    <row r="65" spans="1:17" ht="29.4" thickTop="1">
      <c r="A65" s="1535"/>
      <c r="B65" s="1682" t="s">
        <v>2028</v>
      </c>
      <c r="C65" s="1683" t="s">
        <v>2061</v>
      </c>
      <c r="D65" s="1683" t="s">
        <v>2062</v>
      </c>
      <c r="E65" s="1683" t="s">
        <v>2063</v>
      </c>
      <c r="F65" s="1683" t="s">
        <v>2064</v>
      </c>
      <c r="G65" s="1683" t="s">
        <v>2065</v>
      </c>
      <c r="H65" s="1683" t="s">
        <v>2066</v>
      </c>
      <c r="I65" s="1683" t="s">
        <v>2067</v>
      </c>
      <c r="J65" s="1683"/>
      <c r="K65" s="418"/>
      <c r="L65" s="418"/>
      <c r="M65" s="1684"/>
      <c r="N65" s="1676"/>
      <c r="O65" s="1676"/>
      <c r="P65" s="1677"/>
      <c r="Q65" s="1648"/>
    </row>
    <row r="66" spans="1:17" ht="14.4" thickBot="1">
      <c r="A66" s="1535"/>
      <c r="B66" s="1685"/>
      <c r="C66" s="1686">
        <v>100</v>
      </c>
      <c r="D66" s="1686">
        <f t="shared" ref="D66:I66" si="17">C66-$K10</f>
        <v>100</v>
      </c>
      <c r="E66" s="1686">
        <f t="shared" si="17"/>
        <v>100</v>
      </c>
      <c r="F66" s="1686">
        <f t="shared" si="17"/>
        <v>100</v>
      </c>
      <c r="G66" s="1686">
        <f t="shared" si="17"/>
        <v>100</v>
      </c>
      <c r="H66" s="1686">
        <f t="shared" si="17"/>
        <v>100</v>
      </c>
      <c r="I66" s="1686">
        <f t="shared" si="17"/>
        <v>100</v>
      </c>
      <c r="J66" s="1686"/>
      <c r="K66" s="1686"/>
      <c r="L66" s="1686"/>
      <c r="M66" s="1687"/>
      <c r="N66" s="1681"/>
      <c r="O66" s="1681"/>
      <c r="P66" s="1677"/>
      <c r="Q66" s="1648"/>
    </row>
    <row r="67" spans="1:17" ht="15" thickTop="1">
      <c r="A67" s="1535"/>
      <c r="B67" s="1688" t="s">
        <v>2029</v>
      </c>
      <c r="C67" s="1689" t="str">
        <f>C68&amp;"（含）"&amp;"-"&amp;D68</f>
        <v>（含）-</v>
      </c>
      <c r="D67" s="1689" t="str">
        <f t="shared" ref="D67:L67" si="18">D68&amp;"（含）"&amp;"-"&amp;E68</f>
        <v>（含）-</v>
      </c>
      <c r="E67" s="1689" t="str">
        <f t="shared" si="18"/>
        <v>（含）-</v>
      </c>
      <c r="F67" s="1689" t="str">
        <f t="shared" si="18"/>
        <v>（含）-</v>
      </c>
      <c r="G67" s="1689" t="str">
        <f t="shared" si="18"/>
        <v>（含）-</v>
      </c>
      <c r="H67" s="1689" t="str">
        <f t="shared" si="18"/>
        <v>（含）-</v>
      </c>
      <c r="I67" s="1689" t="str">
        <f t="shared" si="18"/>
        <v>（含）-</v>
      </c>
      <c r="J67" s="1689" t="str">
        <f t="shared" si="18"/>
        <v>（含）-</v>
      </c>
      <c r="K67" s="1689" t="str">
        <f t="shared" si="18"/>
        <v>（含）-</v>
      </c>
      <c r="L67" s="1689" t="str">
        <f t="shared" si="18"/>
        <v>（含）-</v>
      </c>
      <c r="M67" s="1563" t="str">
        <f>M68&amp;"（含）"&amp;"-"&amp;P68</f>
        <v>（含）-</v>
      </c>
      <c r="N67" s="1681"/>
      <c r="O67" s="1681"/>
      <c r="P67" s="1677"/>
      <c r="Q67" s="1648"/>
    </row>
    <row r="68" spans="1:17">
      <c r="A68" s="1535"/>
      <c r="B68" s="1690"/>
      <c r="C68" s="1691"/>
      <c r="D68" s="1691"/>
      <c r="E68" s="1691"/>
      <c r="F68" s="1691"/>
      <c r="G68" s="1691"/>
      <c r="H68" s="1691"/>
      <c r="I68" s="1691"/>
      <c r="J68" s="1691"/>
      <c r="K68" s="428"/>
      <c r="L68" s="428"/>
      <c r="M68" s="1692"/>
      <c r="N68" s="1676"/>
      <c r="O68" s="1676"/>
      <c r="P68" s="1677"/>
      <c r="Q68" s="1648"/>
    </row>
    <row r="69" spans="1:17" ht="14.4" thickBot="1">
      <c r="A69" s="1535"/>
      <c r="B69" s="1678"/>
      <c r="C69" s="1686">
        <v>100</v>
      </c>
      <c r="D69" s="1686">
        <f t="shared" ref="D69:M69" si="19">C69-$K11</f>
        <v>100</v>
      </c>
      <c r="E69" s="1686">
        <f t="shared" si="19"/>
        <v>100</v>
      </c>
      <c r="F69" s="1686">
        <f t="shared" si="19"/>
        <v>100</v>
      </c>
      <c r="G69" s="1686">
        <f t="shared" si="19"/>
        <v>100</v>
      </c>
      <c r="H69" s="1686">
        <f t="shared" si="19"/>
        <v>100</v>
      </c>
      <c r="I69" s="1686">
        <f t="shared" si="19"/>
        <v>100</v>
      </c>
      <c r="J69" s="1686">
        <f t="shared" si="19"/>
        <v>100</v>
      </c>
      <c r="K69" s="1686">
        <f t="shared" si="19"/>
        <v>100</v>
      </c>
      <c r="L69" s="1686">
        <f t="shared" si="19"/>
        <v>100</v>
      </c>
      <c r="M69" s="1687">
        <f t="shared" si="19"/>
        <v>100</v>
      </c>
      <c r="N69" s="1681"/>
      <c r="O69" s="1681"/>
      <c r="P69" s="1677"/>
      <c r="Q69" s="1648"/>
    </row>
    <row r="70" spans="1:17" s="1601" customFormat="1" ht="14.4" thickTop="1">
      <c r="A70" s="1693"/>
      <c r="B70" s="1682">
        <f>B12</f>
        <v>111</v>
      </c>
      <c r="C70" s="456"/>
      <c r="D70" s="456"/>
      <c r="E70" s="456"/>
      <c r="F70" s="456"/>
      <c r="G70" s="456"/>
      <c r="H70" s="433"/>
      <c r="I70" s="433"/>
      <c r="J70" s="433"/>
      <c r="K70" s="433"/>
      <c r="L70" s="433"/>
      <c r="M70" s="1694"/>
      <c r="N70" s="1695"/>
      <c r="O70" s="1695"/>
      <c r="P70" s="1696"/>
      <c r="Q70" s="1697"/>
    </row>
    <row r="71" spans="1:17" s="1601" customFormat="1" ht="14.4" thickBot="1">
      <c r="A71" s="1693"/>
      <c r="B71" s="1685"/>
      <c r="C71" s="1698"/>
      <c r="D71" s="1679"/>
      <c r="E71" s="1679"/>
      <c r="F71" s="1679"/>
      <c r="G71" s="1679"/>
      <c r="H71" s="1679"/>
      <c r="I71" s="1679"/>
      <c r="J71" s="1679"/>
      <c r="K71" s="1679"/>
      <c r="L71" s="1679"/>
      <c r="M71" s="1680"/>
      <c r="N71" s="1681"/>
      <c r="O71" s="1681"/>
      <c r="P71" s="1696"/>
      <c r="Q71" s="1697"/>
    </row>
    <row r="72" spans="1:17" s="1601" customFormat="1" ht="14.4" thickTop="1">
      <c r="A72" s="1693"/>
      <c r="B72" s="1682">
        <f>B13</f>
        <v>111</v>
      </c>
      <c r="C72" s="456"/>
      <c r="D72" s="456"/>
      <c r="E72" s="456"/>
      <c r="F72" s="456"/>
      <c r="G72" s="456"/>
      <c r="H72" s="433"/>
      <c r="I72" s="433"/>
      <c r="J72" s="433"/>
      <c r="K72" s="433"/>
      <c r="L72" s="433"/>
      <c r="M72" s="1694"/>
      <c r="N72" s="1695"/>
      <c r="O72" s="1695"/>
      <c r="P72" s="1699"/>
      <c r="Q72" s="1700"/>
    </row>
    <row r="73" spans="1:17" s="1601" customFormat="1" ht="14.4" thickBot="1">
      <c r="A73" s="1693"/>
      <c r="B73" s="1685"/>
      <c r="C73" s="1698"/>
      <c r="D73" s="1698"/>
      <c r="E73" s="1698"/>
      <c r="F73" s="1698"/>
      <c r="G73" s="1698"/>
      <c r="H73" s="1701"/>
      <c r="I73" s="1701"/>
      <c r="J73" s="1701"/>
      <c r="K73" s="1701"/>
      <c r="L73" s="1701"/>
      <c r="M73" s="1702"/>
      <c r="N73" s="1695"/>
      <c r="O73" s="1695"/>
      <c r="P73" s="1696"/>
      <c r="Q73" s="1697"/>
    </row>
    <row r="74" spans="1:17" s="1601" customFormat="1" ht="14.4" thickTop="1">
      <c r="A74" s="1693"/>
      <c r="B74" s="1688">
        <f>B14</f>
        <v>111</v>
      </c>
      <c r="C74" s="456"/>
      <c r="D74" s="456"/>
      <c r="E74" s="456"/>
      <c r="F74" s="456"/>
      <c r="G74" s="401"/>
      <c r="H74" s="442"/>
      <c r="I74" s="442"/>
      <c r="J74" s="442"/>
      <c r="K74" s="442"/>
      <c r="L74" s="442"/>
      <c r="M74" s="1703"/>
      <c r="N74" s="1695"/>
      <c r="O74" s="1695"/>
      <c r="P74" s="1696"/>
      <c r="Q74" s="1697"/>
    </row>
    <row r="75" spans="1:17" s="1601" customFormat="1" ht="14.4" thickBot="1">
      <c r="A75" s="1704"/>
      <c r="B75" s="1705"/>
      <c r="C75" s="1706"/>
      <c r="D75" s="1706"/>
      <c r="E75" s="1706"/>
      <c r="F75" s="1706"/>
      <c r="G75" s="1706"/>
      <c r="H75" s="1707"/>
      <c r="I75" s="1707"/>
      <c r="J75" s="1707"/>
      <c r="K75" s="1707"/>
      <c r="L75" s="1707"/>
      <c r="M75" s="1708"/>
      <c r="N75" s="1695"/>
      <c r="O75" s="1695"/>
      <c r="P75" s="1696"/>
      <c r="Q75" s="1697"/>
    </row>
    <row r="76" spans="1:17" ht="14.4">
      <c r="A76" s="1550" t="s">
        <v>2030</v>
      </c>
      <c r="B76" s="1672" t="s">
        <v>2068</v>
      </c>
      <c r="C76" s="1709" t="s">
        <v>2069</v>
      </c>
      <c r="D76" s="1709" t="s">
        <v>2070</v>
      </c>
      <c r="E76" s="1709" t="s">
        <v>2071</v>
      </c>
      <c r="F76" s="1709" t="s">
        <v>2072</v>
      </c>
      <c r="G76" s="1709" t="s">
        <v>2073</v>
      </c>
      <c r="H76" s="1673"/>
      <c r="I76" s="1673"/>
      <c r="J76" s="1673"/>
      <c r="K76" s="452"/>
      <c r="L76" s="452"/>
      <c r="M76" s="1710"/>
      <c r="N76" s="1676"/>
      <c r="O76" s="1676"/>
      <c r="P76" s="1677"/>
      <c r="Q76" s="1648"/>
    </row>
    <row r="77" spans="1:17" ht="14.4" thickBot="1">
      <c r="A77" s="1535"/>
      <c r="B77" s="1685"/>
      <c r="C77" s="1686">
        <v>100</v>
      </c>
      <c r="D77" s="1686">
        <f>C77-$K15</f>
        <v>100</v>
      </c>
      <c r="E77" s="1686">
        <f>D77-$K15</f>
        <v>100</v>
      </c>
      <c r="F77" s="1686">
        <f>E77-$K15</f>
        <v>100</v>
      </c>
      <c r="G77" s="1686">
        <f>F77-$K15</f>
        <v>100</v>
      </c>
      <c r="H77" s="1686"/>
      <c r="I77" s="1686"/>
      <c r="J77" s="1686"/>
      <c r="K77" s="1686"/>
      <c r="L77" s="1686"/>
      <c r="M77" s="1687"/>
      <c r="N77" s="1681"/>
      <c r="O77" s="1681"/>
      <c r="P77" s="1677"/>
      <c r="Q77" s="1648"/>
    </row>
    <row r="78" spans="1:17" ht="15" thickTop="1">
      <c r="A78" s="1535"/>
      <c r="B78" s="1682" t="s">
        <v>2074</v>
      </c>
      <c r="C78" s="559" t="s">
        <v>2069</v>
      </c>
      <c r="D78" s="559" t="s">
        <v>2070</v>
      </c>
      <c r="E78" s="559" t="s">
        <v>2071</v>
      </c>
      <c r="F78" s="559" t="s">
        <v>2072</v>
      </c>
      <c r="G78" s="559" t="s">
        <v>2073</v>
      </c>
      <c r="H78" s="1683"/>
      <c r="I78" s="1683"/>
      <c r="J78" s="1683"/>
      <c r="K78" s="418"/>
      <c r="L78" s="418"/>
      <c r="M78" s="1684"/>
      <c r="N78" s="1676"/>
      <c r="O78" s="1676"/>
      <c r="P78" s="1677"/>
      <c r="Q78" s="1648"/>
    </row>
    <row r="79" spans="1:17" ht="14.4" thickBot="1">
      <c r="A79" s="1535"/>
      <c r="B79" s="1685"/>
      <c r="C79" s="1686">
        <v>100</v>
      </c>
      <c r="D79" s="1686">
        <f>C79-$K17</f>
        <v>100</v>
      </c>
      <c r="E79" s="1686">
        <f>D79-$K17</f>
        <v>100</v>
      </c>
      <c r="F79" s="1686">
        <f>E79-$K17</f>
        <v>100</v>
      </c>
      <c r="G79" s="1686">
        <f>F79-$K17</f>
        <v>100</v>
      </c>
      <c r="H79" s="1686"/>
      <c r="I79" s="1686"/>
      <c r="J79" s="1686"/>
      <c r="K79" s="1686"/>
      <c r="L79" s="1686"/>
      <c r="M79" s="1687"/>
      <c r="N79" s="1681"/>
      <c r="O79" s="1681"/>
      <c r="P79" s="1677"/>
      <c r="Q79" s="1648"/>
    </row>
    <row r="80" spans="1:17" ht="15" thickTop="1">
      <c r="A80" s="1535"/>
      <c r="B80" s="1682" t="s">
        <v>2075</v>
      </c>
      <c r="C80" s="559" t="s">
        <v>2069</v>
      </c>
      <c r="D80" s="559" t="s">
        <v>2070</v>
      </c>
      <c r="E80" s="559" t="s">
        <v>2071</v>
      </c>
      <c r="F80" s="559" t="s">
        <v>2072</v>
      </c>
      <c r="G80" s="559" t="s">
        <v>2073</v>
      </c>
      <c r="H80" s="1683"/>
      <c r="I80" s="1683"/>
      <c r="J80" s="1683"/>
      <c r="K80" s="418"/>
      <c r="L80" s="418"/>
      <c r="M80" s="1684"/>
      <c r="N80" s="1676"/>
      <c r="O80" s="1676"/>
      <c r="P80" s="1677"/>
      <c r="Q80" s="1648"/>
    </row>
    <row r="81" spans="1:17" ht="14.4" thickBot="1">
      <c r="A81" s="1535"/>
      <c r="B81" s="1685"/>
      <c r="C81" s="1686">
        <v>100</v>
      </c>
      <c r="D81" s="1686">
        <f>C81-$K19</f>
        <v>100</v>
      </c>
      <c r="E81" s="1686">
        <f>D81-$K19</f>
        <v>100</v>
      </c>
      <c r="F81" s="1686">
        <f>E81-$K19</f>
        <v>100</v>
      </c>
      <c r="G81" s="1686">
        <f>F81-$K19</f>
        <v>100</v>
      </c>
      <c r="H81" s="1686"/>
      <c r="I81" s="1686"/>
      <c r="J81" s="1686"/>
      <c r="K81" s="1686"/>
      <c r="L81" s="1686"/>
      <c r="M81" s="1687"/>
      <c r="N81" s="1681"/>
      <c r="O81" s="1681"/>
      <c r="P81" s="1677"/>
      <c r="Q81" s="1648"/>
    </row>
    <row r="82" spans="1:17" ht="15" thickTop="1">
      <c r="A82" s="1535"/>
      <c r="B82" s="1688" t="s">
        <v>1467</v>
      </c>
      <c r="C82" s="1683" t="s">
        <v>2076</v>
      </c>
      <c r="D82" s="1683" t="s">
        <v>2077</v>
      </c>
      <c r="E82" s="1683" t="s">
        <v>2078</v>
      </c>
      <c r="F82" s="1683" t="s">
        <v>2079</v>
      </c>
      <c r="G82" s="1683" t="s">
        <v>2080</v>
      </c>
      <c r="H82" s="1683"/>
      <c r="I82" s="1683"/>
      <c r="J82" s="1683"/>
      <c r="K82" s="1683"/>
      <c r="L82" s="1683"/>
      <c r="M82" s="1711"/>
      <c r="N82" s="1681"/>
      <c r="O82" s="1681"/>
      <c r="P82" s="1677"/>
      <c r="Q82" s="1648"/>
    </row>
    <row r="83" spans="1:17" ht="14.4" thickBot="1">
      <c r="A83" s="1535"/>
      <c r="B83" s="1688"/>
      <c r="C83" s="1686">
        <v>100</v>
      </c>
      <c r="D83" s="1686">
        <f>C83-$K21</f>
        <v>100</v>
      </c>
      <c r="E83" s="1686">
        <f>D83-$K21</f>
        <v>100</v>
      </c>
      <c r="F83" s="1686">
        <f>E83-$K21</f>
        <v>100</v>
      </c>
      <c r="G83" s="1686">
        <f>F83-$K21</f>
        <v>100</v>
      </c>
      <c r="H83" s="1712"/>
      <c r="I83" s="1712"/>
      <c r="J83" s="1712"/>
      <c r="K83" s="1712"/>
      <c r="L83" s="1712"/>
      <c r="M83" s="1567"/>
      <c r="N83" s="1681"/>
      <c r="O83" s="1681"/>
      <c r="P83" s="1677"/>
      <c r="Q83" s="1648"/>
    </row>
    <row r="84" spans="1:17" ht="15" thickTop="1">
      <c r="A84" s="1535"/>
      <c r="B84" s="1682" t="s">
        <v>2081</v>
      </c>
      <c r="C84" s="559" t="s">
        <v>2069</v>
      </c>
      <c r="D84" s="559" t="s">
        <v>2070</v>
      </c>
      <c r="E84" s="559" t="s">
        <v>2071</v>
      </c>
      <c r="F84" s="559" t="s">
        <v>2072</v>
      </c>
      <c r="G84" s="559" t="s">
        <v>2073</v>
      </c>
      <c r="H84" s="1683"/>
      <c r="I84" s="1683"/>
      <c r="J84" s="1683"/>
      <c r="K84" s="418"/>
      <c r="L84" s="418"/>
      <c r="M84" s="1684"/>
      <c r="N84" s="1676"/>
      <c r="O84" s="1676"/>
      <c r="P84" s="1677"/>
      <c r="Q84" s="1648"/>
    </row>
    <row r="85" spans="1:17" ht="14.4" thickBot="1">
      <c r="A85" s="1535"/>
      <c r="B85" s="1685"/>
      <c r="C85" s="1686">
        <v>100</v>
      </c>
      <c r="D85" s="1686">
        <f>C85-$K23</f>
        <v>100</v>
      </c>
      <c r="E85" s="1686">
        <f>D85-$K23</f>
        <v>100</v>
      </c>
      <c r="F85" s="1686">
        <f>E85-$K23</f>
        <v>100</v>
      </c>
      <c r="G85" s="1686">
        <f>F85-$K23</f>
        <v>100</v>
      </c>
      <c r="H85" s="1686"/>
      <c r="I85" s="1686"/>
      <c r="J85" s="1686"/>
      <c r="K85" s="1686"/>
      <c r="L85" s="1686"/>
      <c r="M85" s="1687"/>
      <c r="N85" s="1681"/>
      <c r="O85" s="1681"/>
      <c r="P85" s="1677"/>
      <c r="Q85" s="1648"/>
    </row>
    <row r="86" spans="1:17" s="1520" customFormat="1" ht="15" thickTop="1">
      <c r="A86" s="1538"/>
      <c r="B86" s="1682" t="s">
        <v>2082</v>
      </c>
      <c r="C86" s="456"/>
      <c r="D86" s="456"/>
      <c r="E86" s="456"/>
      <c r="F86" s="456"/>
      <c r="G86" s="456"/>
      <c r="H86" s="456"/>
      <c r="I86" s="456"/>
      <c r="J86" s="456"/>
      <c r="K86" s="456"/>
      <c r="L86" s="456"/>
      <c r="M86" s="1713"/>
      <c r="N86" s="1668"/>
      <c r="O86" s="1668"/>
      <c r="P86" s="1677"/>
      <c r="Q86" s="1648"/>
    </row>
    <row r="87" spans="1:17" s="1520" customFormat="1" ht="14.4" thickBot="1">
      <c r="A87" s="1538"/>
      <c r="B87" s="1685"/>
      <c r="C87" s="1714">
        <v>100</v>
      </c>
      <c r="D87" s="1686">
        <f>$C$87-($C$86-D86)*$K$25</f>
        <v>100</v>
      </c>
      <c r="E87" s="1686">
        <f t="shared" ref="E87:M87" si="20">$C$87-($C$86-E86)*$K$25</f>
        <v>100</v>
      </c>
      <c r="F87" s="1686">
        <f t="shared" si="20"/>
        <v>100</v>
      </c>
      <c r="G87" s="1686">
        <f t="shared" si="20"/>
        <v>100</v>
      </c>
      <c r="H87" s="1686">
        <f t="shared" si="20"/>
        <v>100</v>
      </c>
      <c r="I87" s="1686">
        <f t="shared" si="20"/>
        <v>100</v>
      </c>
      <c r="J87" s="1686">
        <f t="shared" si="20"/>
        <v>100</v>
      </c>
      <c r="K87" s="1686">
        <f t="shared" si="20"/>
        <v>100</v>
      </c>
      <c r="L87" s="1686">
        <f t="shared" si="20"/>
        <v>100</v>
      </c>
      <c r="M87" s="1686">
        <f t="shared" si="20"/>
        <v>100</v>
      </c>
      <c r="N87" s="1681"/>
      <c r="O87" s="1681"/>
      <c r="P87" s="1677"/>
      <c r="Q87" s="1648"/>
    </row>
    <row r="88" spans="1:17" s="1520" customFormat="1" ht="15" thickTop="1">
      <c r="A88" s="1538"/>
      <c r="B88" s="1682" t="s">
        <v>2083</v>
      </c>
      <c r="C88" s="456"/>
      <c r="D88" s="456"/>
      <c r="E88" s="456"/>
      <c r="F88" s="1715"/>
      <c r="G88" s="456"/>
      <c r="H88" s="456"/>
      <c r="I88" s="456"/>
      <c r="J88" s="456"/>
      <c r="K88" s="456"/>
      <c r="L88" s="456"/>
      <c r="M88" s="1713"/>
      <c r="N88" s="1668"/>
      <c r="O88" s="1668"/>
      <c r="P88" s="1677"/>
      <c r="Q88" s="1648"/>
    </row>
    <row r="89" spans="1:17" s="1520" customFormat="1" ht="14.4" thickBot="1">
      <c r="A89" s="1538"/>
      <c r="B89" s="1685"/>
      <c r="C89" s="1714">
        <v>100</v>
      </c>
      <c r="D89" s="1686">
        <f t="shared" ref="D89:M89" si="21">C89-$K26</f>
        <v>100</v>
      </c>
      <c r="E89" s="1686">
        <f t="shared" si="21"/>
        <v>100</v>
      </c>
      <c r="F89" s="1686">
        <f t="shared" si="21"/>
        <v>100</v>
      </c>
      <c r="G89" s="1686">
        <f t="shared" si="21"/>
        <v>100</v>
      </c>
      <c r="H89" s="1686">
        <f t="shared" si="21"/>
        <v>100</v>
      </c>
      <c r="I89" s="1686">
        <f t="shared" si="21"/>
        <v>100</v>
      </c>
      <c r="J89" s="1686">
        <f t="shared" si="21"/>
        <v>100</v>
      </c>
      <c r="K89" s="1686">
        <f t="shared" si="21"/>
        <v>100</v>
      </c>
      <c r="L89" s="1686">
        <f t="shared" si="21"/>
        <v>100</v>
      </c>
      <c r="M89" s="1686">
        <f t="shared" si="21"/>
        <v>100</v>
      </c>
      <c r="N89" s="1681"/>
      <c r="O89" s="1681"/>
      <c r="P89" s="1677"/>
      <c r="Q89" s="1648"/>
    </row>
    <row r="90" spans="1:17" s="1601" customFormat="1" ht="14.4" thickTop="1">
      <c r="A90" s="1693"/>
      <c r="B90" s="1682" t="str">
        <f>B27</f>
        <v>道路级别</v>
      </c>
      <c r="C90" s="456"/>
      <c r="D90" s="456"/>
      <c r="E90" s="456"/>
      <c r="F90" s="456"/>
      <c r="G90" s="456"/>
      <c r="H90" s="433"/>
      <c r="I90" s="433"/>
      <c r="J90" s="433"/>
      <c r="K90" s="433"/>
      <c r="L90" s="433"/>
      <c r="M90" s="1694"/>
      <c r="N90" s="1695"/>
      <c r="O90" s="1695"/>
      <c r="P90" s="1696"/>
      <c r="Q90" s="1697"/>
    </row>
    <row r="91" spans="1:17" s="1601" customFormat="1" ht="14.4" thickBot="1">
      <c r="A91" s="1693"/>
      <c r="B91" s="1685"/>
      <c r="C91" s="1698"/>
      <c r="D91" s="1698"/>
      <c r="E91" s="1698"/>
      <c r="F91" s="1698"/>
      <c r="G91" s="1698"/>
      <c r="H91" s="1701"/>
      <c r="I91" s="1701"/>
      <c r="J91" s="1701"/>
      <c r="K91" s="1701"/>
      <c r="L91" s="1701"/>
      <c r="M91" s="1702"/>
      <c r="N91" s="1695"/>
      <c r="O91" s="1695"/>
      <c r="P91" s="1696"/>
      <c r="Q91" s="1697"/>
    </row>
    <row r="92" spans="1:17" ht="14.4" thickTop="1">
      <c r="A92" s="1535"/>
      <c r="B92" s="1682">
        <f>B28</f>
        <v>111</v>
      </c>
      <c r="C92" s="456"/>
      <c r="D92" s="456"/>
      <c r="E92" s="456"/>
      <c r="F92" s="456"/>
      <c r="G92" s="1417"/>
      <c r="H92" s="1417"/>
      <c r="I92" s="1417"/>
      <c r="J92" s="1417"/>
      <c r="K92" s="461"/>
      <c r="L92" s="461"/>
      <c r="M92" s="1716"/>
      <c r="N92" s="1676"/>
      <c r="O92" s="1676"/>
      <c r="P92" s="1677"/>
      <c r="Q92" s="1648"/>
    </row>
    <row r="93" spans="1:17" ht="14.4" thickBot="1">
      <c r="A93" s="1535"/>
      <c r="B93" s="1685"/>
      <c r="C93" s="1698"/>
      <c r="D93" s="1679"/>
      <c r="E93" s="1679"/>
      <c r="F93" s="1679"/>
      <c r="G93" s="1679"/>
      <c r="H93" s="1679"/>
      <c r="I93" s="1679"/>
      <c r="J93" s="1679"/>
      <c r="K93" s="1679"/>
      <c r="L93" s="1679"/>
      <c r="M93" s="1680"/>
      <c r="N93" s="1681"/>
      <c r="O93" s="1681"/>
      <c r="P93" s="1677"/>
      <c r="Q93" s="1648"/>
    </row>
    <row r="94" spans="1:17" ht="14.4" thickTop="1">
      <c r="A94" s="1535"/>
      <c r="B94" s="1682">
        <f>B29</f>
        <v>111</v>
      </c>
      <c r="C94" s="456"/>
      <c r="D94" s="456"/>
      <c r="E94" s="456"/>
      <c r="F94" s="456"/>
      <c r="G94" s="1417"/>
      <c r="H94" s="1417"/>
      <c r="I94" s="1417"/>
      <c r="J94" s="1417"/>
      <c r="K94" s="461"/>
      <c r="L94" s="461"/>
      <c r="M94" s="1716"/>
      <c r="N94" s="1676"/>
      <c r="O94" s="1676"/>
      <c r="P94" s="1677"/>
      <c r="Q94" s="1648"/>
    </row>
    <row r="95" spans="1:17" ht="14.4" thickBot="1">
      <c r="A95" s="1535"/>
      <c r="B95" s="1685"/>
      <c r="C95" s="1698"/>
      <c r="D95" s="1698"/>
      <c r="E95" s="1698"/>
      <c r="F95" s="1698"/>
      <c r="G95" s="1679"/>
      <c r="H95" s="1679"/>
      <c r="I95" s="1679"/>
      <c r="J95" s="1679"/>
      <c r="K95" s="1679"/>
      <c r="L95" s="1679"/>
      <c r="M95" s="1680"/>
      <c r="N95" s="1681"/>
      <c r="O95" s="1681"/>
      <c r="P95" s="1677"/>
      <c r="Q95" s="1648"/>
    </row>
    <row r="96" spans="1:17" ht="14.4" thickTop="1">
      <c r="A96" s="1535"/>
      <c r="B96" s="1682">
        <f>B30</f>
        <v>111</v>
      </c>
      <c r="C96" s="456"/>
      <c r="D96" s="456"/>
      <c r="E96" s="456"/>
      <c r="F96" s="456"/>
      <c r="G96" s="1417"/>
      <c r="H96" s="1417"/>
      <c r="I96" s="1417"/>
      <c r="J96" s="1417"/>
      <c r="K96" s="461"/>
      <c r="L96" s="461"/>
      <c r="M96" s="1716"/>
      <c r="N96" s="1676"/>
      <c r="O96" s="1676"/>
      <c r="P96" s="1677"/>
      <c r="Q96" s="1648"/>
    </row>
    <row r="97" spans="1:17" ht="14.4" thickBot="1">
      <c r="A97" s="1535"/>
      <c r="B97" s="1685"/>
      <c r="C97" s="1706"/>
      <c r="D97" s="1706"/>
      <c r="E97" s="1706"/>
      <c r="F97" s="1706"/>
      <c r="G97" s="1679"/>
      <c r="H97" s="1679"/>
      <c r="I97" s="1679"/>
      <c r="J97" s="1679"/>
      <c r="K97" s="1679"/>
      <c r="L97" s="1679"/>
      <c r="M97" s="1680"/>
      <c r="N97" s="1681"/>
      <c r="O97" s="1681"/>
      <c r="P97" s="1677"/>
      <c r="Q97" s="1648"/>
    </row>
    <row r="98" spans="1:17" ht="14.4" thickTop="1">
      <c r="A98" s="1535"/>
      <c r="B98" s="1688">
        <f>B31</f>
        <v>111</v>
      </c>
      <c r="C98" s="1717"/>
      <c r="D98" s="1717"/>
      <c r="E98" s="1717"/>
      <c r="F98" s="1717"/>
      <c r="G98" s="1717"/>
      <c r="H98" s="1717"/>
      <c r="I98" s="1717"/>
      <c r="J98" s="1717"/>
      <c r="K98" s="465"/>
      <c r="L98" s="465"/>
      <c r="M98" s="1718"/>
      <c r="N98" s="1676"/>
      <c r="O98" s="1676"/>
      <c r="P98" s="1677"/>
      <c r="Q98" s="1648"/>
    </row>
    <row r="99" spans="1:17" ht="14.4" thickBot="1">
      <c r="A99" s="1545"/>
      <c r="B99" s="1705"/>
      <c r="C99" s="1719"/>
      <c r="D99" s="1719"/>
      <c r="E99" s="1719"/>
      <c r="F99" s="1719"/>
      <c r="G99" s="1719"/>
      <c r="H99" s="1719"/>
      <c r="I99" s="1719"/>
      <c r="J99" s="1719"/>
      <c r="K99" s="1719"/>
      <c r="L99" s="1719"/>
      <c r="M99" s="1720"/>
      <c r="N99" s="1681"/>
      <c r="O99" s="1681"/>
      <c r="P99" s="1677"/>
      <c r="Q99" s="1648"/>
    </row>
    <row r="100" spans="1:17" ht="14.4">
      <c r="A100" s="1550" t="s">
        <v>2035</v>
      </c>
      <c r="B100" s="1672" t="s">
        <v>2084</v>
      </c>
      <c r="C100" s="1674"/>
      <c r="D100" s="1674"/>
      <c r="E100" s="1674"/>
      <c r="F100" s="1674"/>
      <c r="G100" s="1674"/>
      <c r="H100" s="1674"/>
      <c r="I100" s="1674"/>
      <c r="J100" s="1674"/>
      <c r="K100" s="408"/>
      <c r="L100" s="408"/>
      <c r="M100" s="1675"/>
      <c r="N100" s="1676"/>
      <c r="O100" s="1676"/>
      <c r="P100" s="1677"/>
      <c r="Q100" s="1648"/>
    </row>
    <row r="101" spans="1:17" ht="14.4" thickBot="1">
      <c r="A101" s="1535"/>
      <c r="B101" s="1685"/>
      <c r="C101" s="1686">
        <v>100</v>
      </c>
      <c r="D101" s="1686">
        <f t="shared" ref="D101:M101" si="22">C101-$K32</f>
        <v>100</v>
      </c>
      <c r="E101" s="1686">
        <f t="shared" si="22"/>
        <v>100</v>
      </c>
      <c r="F101" s="1686">
        <f t="shared" si="22"/>
        <v>100</v>
      </c>
      <c r="G101" s="1686">
        <f t="shared" si="22"/>
        <v>100</v>
      </c>
      <c r="H101" s="1686">
        <f t="shared" si="22"/>
        <v>100</v>
      </c>
      <c r="I101" s="1686">
        <f t="shared" si="22"/>
        <v>100</v>
      </c>
      <c r="J101" s="1686">
        <f t="shared" si="22"/>
        <v>100</v>
      </c>
      <c r="K101" s="1686">
        <f t="shared" si="22"/>
        <v>100</v>
      </c>
      <c r="L101" s="1686">
        <f t="shared" si="22"/>
        <v>100</v>
      </c>
      <c r="M101" s="1686">
        <f t="shared" si="22"/>
        <v>100</v>
      </c>
      <c r="N101" s="1681"/>
      <c r="O101" s="1681"/>
      <c r="P101" s="1677"/>
      <c r="Q101" s="1648"/>
    </row>
    <row r="102" spans="1:17" ht="15" thickTop="1">
      <c r="A102" s="1535"/>
      <c r="B102" s="1682" t="s">
        <v>2085</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8"/>
      <c r="O102" s="1668"/>
      <c r="P102" s="1677"/>
      <c r="Q102" s="1648"/>
    </row>
    <row r="103" spans="1:17" s="1601" customFormat="1">
      <c r="A103" s="1595"/>
      <c r="B103" s="1721"/>
      <c r="C103" s="1722"/>
      <c r="D103" s="1722"/>
      <c r="E103" s="1722"/>
      <c r="F103" s="1722"/>
      <c r="G103" s="1722"/>
      <c r="H103" s="1722"/>
      <c r="I103" s="1722"/>
      <c r="J103" s="472"/>
      <c r="K103" s="472"/>
      <c r="L103" s="472"/>
      <c r="M103" s="1723"/>
      <c r="N103" s="1695"/>
      <c r="O103" s="1695"/>
      <c r="P103" s="1696"/>
      <c r="Q103" s="1697"/>
    </row>
    <row r="104" spans="1:17" s="1601" customFormat="1" ht="14.4" thickBot="1">
      <c r="A104" s="1693"/>
      <c r="B104" s="1685"/>
      <c r="C104" s="1698"/>
      <c r="D104" s="1679"/>
      <c r="E104" s="1679"/>
      <c r="F104" s="1679"/>
      <c r="G104" s="1679"/>
      <c r="H104" s="1679"/>
      <c r="I104" s="1679"/>
      <c r="J104" s="1679"/>
      <c r="K104" s="1679"/>
      <c r="L104" s="1679"/>
      <c r="M104" s="1679"/>
      <c r="N104" s="1681"/>
      <c r="O104" s="1681"/>
      <c r="P104" s="1696"/>
      <c r="Q104" s="1697"/>
    </row>
    <row r="105" spans="1:17" ht="15" thickTop="1">
      <c r="A105" s="1602"/>
      <c r="B105" s="1682" t="s">
        <v>2086</v>
      </c>
      <c r="C105" s="456"/>
      <c r="D105" s="456"/>
      <c r="E105" s="1417"/>
      <c r="F105" s="1417"/>
      <c r="G105" s="1417"/>
      <c r="H105" s="1417"/>
      <c r="I105" s="1417"/>
      <c r="J105" s="1417"/>
      <c r="K105" s="461"/>
      <c r="L105" s="461"/>
      <c r="M105" s="1716"/>
      <c r="N105" s="1676"/>
      <c r="O105" s="1676"/>
      <c r="P105" s="1677"/>
      <c r="Q105" s="1648"/>
    </row>
    <row r="106" spans="1:17" ht="14.4" thickBot="1">
      <c r="A106" s="1535"/>
      <c r="B106" s="1685"/>
      <c r="C106" s="1686">
        <v>100</v>
      </c>
      <c r="D106" s="1686">
        <f t="shared" ref="D106:M106" si="24">C106-$K34</f>
        <v>100</v>
      </c>
      <c r="E106" s="1686">
        <f t="shared" si="24"/>
        <v>100</v>
      </c>
      <c r="F106" s="1686">
        <f t="shared" si="24"/>
        <v>100</v>
      </c>
      <c r="G106" s="1686">
        <f t="shared" si="24"/>
        <v>100</v>
      </c>
      <c r="H106" s="1686">
        <f t="shared" si="24"/>
        <v>100</v>
      </c>
      <c r="I106" s="1686">
        <f t="shared" si="24"/>
        <v>100</v>
      </c>
      <c r="J106" s="1686">
        <f t="shared" si="24"/>
        <v>100</v>
      </c>
      <c r="K106" s="1686">
        <f t="shared" si="24"/>
        <v>100</v>
      </c>
      <c r="L106" s="1686">
        <f t="shared" si="24"/>
        <v>100</v>
      </c>
      <c r="M106" s="1686">
        <f t="shared" si="24"/>
        <v>100</v>
      </c>
      <c r="N106" s="1681"/>
      <c r="O106" s="1681"/>
      <c r="P106" s="1677"/>
      <c r="Q106" s="1648"/>
    </row>
    <row r="107" spans="1:17" ht="15" thickTop="1">
      <c r="A107" s="1602"/>
      <c r="B107" s="1682" t="s">
        <v>2087</v>
      </c>
      <c r="C107" s="1417"/>
      <c r="D107" s="1417"/>
      <c r="E107" s="1417"/>
      <c r="F107" s="1417"/>
      <c r="G107" s="1417"/>
      <c r="H107" s="1417"/>
      <c r="I107" s="1417"/>
      <c r="J107" s="1417"/>
      <c r="K107" s="461"/>
      <c r="L107" s="461"/>
      <c r="M107" s="1716"/>
      <c r="N107" s="1676"/>
      <c r="O107" s="1676"/>
      <c r="P107" s="1677"/>
      <c r="Q107" s="1648"/>
    </row>
    <row r="108" spans="1:17" ht="14.4" thickBot="1">
      <c r="A108" s="1535"/>
      <c r="B108" s="1685"/>
      <c r="C108" s="1686">
        <v>100</v>
      </c>
      <c r="D108" s="1686">
        <f t="shared" ref="D108:M108" si="25">C108-$K35</f>
        <v>100</v>
      </c>
      <c r="E108" s="1686">
        <f t="shared" si="25"/>
        <v>100</v>
      </c>
      <c r="F108" s="1686">
        <f t="shared" si="25"/>
        <v>100</v>
      </c>
      <c r="G108" s="1686">
        <f t="shared" si="25"/>
        <v>100</v>
      </c>
      <c r="H108" s="1686">
        <f t="shared" si="25"/>
        <v>100</v>
      </c>
      <c r="I108" s="1686">
        <f t="shared" si="25"/>
        <v>100</v>
      </c>
      <c r="J108" s="1686">
        <f t="shared" si="25"/>
        <v>100</v>
      </c>
      <c r="K108" s="1686">
        <f t="shared" si="25"/>
        <v>100</v>
      </c>
      <c r="L108" s="1686">
        <f t="shared" si="25"/>
        <v>100</v>
      </c>
      <c r="M108" s="1686">
        <f t="shared" si="25"/>
        <v>100</v>
      </c>
      <c r="N108" s="1681"/>
      <c r="O108" s="1681"/>
      <c r="P108" s="1677"/>
      <c r="Q108" s="1648"/>
    </row>
    <row r="109" spans="1:17" ht="15" thickTop="1">
      <c r="A109" s="1602"/>
      <c r="B109" s="1682" t="s">
        <v>2088</v>
      </c>
      <c r="C109" s="456"/>
      <c r="D109" s="456"/>
      <c r="E109" s="456"/>
      <c r="F109" s="1417"/>
      <c r="G109" s="1417"/>
      <c r="H109" s="1417"/>
      <c r="I109" s="1417"/>
      <c r="J109" s="1417"/>
      <c r="K109" s="461"/>
      <c r="L109" s="461"/>
      <c r="M109" s="1716"/>
      <c r="N109" s="1676"/>
      <c r="O109" s="1676"/>
      <c r="P109" s="1677"/>
      <c r="Q109" s="1648"/>
    </row>
    <row r="110" spans="1:17" ht="14.4" thickBot="1">
      <c r="A110" s="1535"/>
      <c r="B110" s="1685"/>
      <c r="C110" s="1686">
        <v>100</v>
      </c>
      <c r="D110" s="1686">
        <f t="shared" ref="D110:M110" si="26">C110-$K36</f>
        <v>100</v>
      </c>
      <c r="E110" s="1686">
        <f t="shared" si="26"/>
        <v>100</v>
      </c>
      <c r="F110" s="1686">
        <f t="shared" si="26"/>
        <v>100</v>
      </c>
      <c r="G110" s="1686">
        <f t="shared" si="26"/>
        <v>100</v>
      </c>
      <c r="H110" s="1686">
        <f t="shared" si="26"/>
        <v>100</v>
      </c>
      <c r="I110" s="1686">
        <f t="shared" si="26"/>
        <v>100</v>
      </c>
      <c r="J110" s="1686">
        <f t="shared" si="26"/>
        <v>100</v>
      </c>
      <c r="K110" s="1686">
        <f t="shared" si="26"/>
        <v>100</v>
      </c>
      <c r="L110" s="1686">
        <f t="shared" si="26"/>
        <v>100</v>
      </c>
      <c r="M110" s="1686">
        <f t="shared" si="26"/>
        <v>100</v>
      </c>
      <c r="N110" s="1681"/>
      <c r="O110" s="1681"/>
      <c r="P110" s="1677"/>
      <c r="Q110" s="1648"/>
    </row>
    <row r="111" spans="1:17" s="1601" customFormat="1" ht="15" thickTop="1">
      <c r="A111" s="1595"/>
      <c r="B111" s="1682" t="s">
        <v>2089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4"/>
      <c r="N111" s="1695"/>
      <c r="O111" s="1695"/>
      <c r="P111" s="1696"/>
      <c r="Q111" s="1697"/>
    </row>
    <row r="112" spans="1:17" s="1601" customFormat="1">
      <c r="A112" s="1595"/>
      <c r="B112" s="1688"/>
      <c r="C112" s="1472">
        <v>0.5</v>
      </c>
      <c r="D112" s="1472">
        <v>0.6</v>
      </c>
      <c r="E112" s="1472">
        <v>0.7</v>
      </c>
      <c r="F112" s="1472">
        <v>0.8</v>
      </c>
      <c r="G112" s="1472">
        <v>0.9</v>
      </c>
      <c r="H112" s="1472">
        <v>1.0001</v>
      </c>
      <c r="I112" s="1472"/>
      <c r="J112" s="478"/>
      <c r="K112" s="478"/>
      <c r="L112" s="478"/>
      <c r="M112" s="1725"/>
      <c r="N112" s="1695"/>
      <c r="O112" s="1695"/>
      <c r="P112" s="1696"/>
      <c r="Q112" s="1697"/>
    </row>
    <row r="113" spans="1:17" s="1601" customFormat="1" ht="14.4" thickBot="1">
      <c r="A113" s="1693"/>
      <c r="B113" s="1685"/>
      <c r="C113" s="1714">
        <v>100</v>
      </c>
      <c r="D113" s="1686">
        <f>C113+$K37</f>
        <v>100</v>
      </c>
      <c r="E113" s="1686">
        <f>D113+$K37</f>
        <v>100</v>
      </c>
      <c r="F113" s="1686">
        <f>E113+$K37</f>
        <v>100</v>
      </c>
      <c r="G113" s="1686">
        <f>F113+$K37</f>
        <v>100</v>
      </c>
      <c r="H113" s="1686">
        <f>G113+$K37</f>
        <v>100</v>
      </c>
      <c r="I113" s="1714"/>
      <c r="J113" s="1726"/>
      <c r="K113" s="1726"/>
      <c r="L113" s="1726"/>
      <c r="M113" s="1727"/>
      <c r="N113" s="1695"/>
      <c r="O113" s="1695"/>
      <c r="P113" s="1696"/>
      <c r="Q113" s="1697"/>
    </row>
    <row r="114" spans="1:17" ht="15" thickTop="1">
      <c r="A114" s="1602"/>
      <c r="B114" s="1682" t="s">
        <v>2090</v>
      </c>
      <c r="C114" s="456"/>
      <c r="D114" s="456"/>
      <c r="E114" s="1417"/>
      <c r="F114" s="1417"/>
      <c r="G114" s="1417"/>
      <c r="H114" s="1417"/>
      <c r="I114" s="1417"/>
      <c r="J114" s="1417"/>
      <c r="K114" s="461"/>
      <c r="L114" s="461"/>
      <c r="M114" s="1716"/>
      <c r="N114" s="1676"/>
      <c r="O114" s="1676"/>
      <c r="P114" s="1677"/>
      <c r="Q114" s="1648"/>
    </row>
    <row r="115" spans="1:17" ht="14.4" thickBot="1">
      <c r="A115" s="1535"/>
      <c r="B115" s="1685"/>
      <c r="C115" s="1686">
        <v>100</v>
      </c>
      <c r="D115" s="1686">
        <f t="shared" ref="D115:M115" si="27">C115-$K38</f>
        <v>100</v>
      </c>
      <c r="E115" s="1686">
        <f t="shared" si="27"/>
        <v>100</v>
      </c>
      <c r="F115" s="1686">
        <f t="shared" si="27"/>
        <v>100</v>
      </c>
      <c r="G115" s="1686">
        <f t="shared" si="27"/>
        <v>100</v>
      </c>
      <c r="H115" s="1686">
        <f t="shared" si="27"/>
        <v>100</v>
      </c>
      <c r="I115" s="1686">
        <f t="shared" si="27"/>
        <v>100</v>
      </c>
      <c r="J115" s="1686">
        <f t="shared" si="27"/>
        <v>100</v>
      </c>
      <c r="K115" s="1686">
        <f t="shared" si="27"/>
        <v>100</v>
      </c>
      <c r="L115" s="1686">
        <f t="shared" si="27"/>
        <v>100</v>
      </c>
      <c r="M115" s="1686">
        <f t="shared" si="27"/>
        <v>100</v>
      </c>
      <c r="N115" s="1681"/>
      <c r="O115" s="1681"/>
      <c r="P115" s="1677"/>
      <c r="Q115" s="1648"/>
    </row>
    <row r="116" spans="1:17" ht="15" thickTop="1">
      <c r="A116" s="1602"/>
      <c r="B116" s="1682" t="s">
        <v>2091</v>
      </c>
      <c r="C116" s="456"/>
      <c r="D116" s="456"/>
      <c r="E116" s="456"/>
      <c r="F116" s="456"/>
      <c r="G116" s="456"/>
      <c r="H116" s="1417"/>
      <c r="I116" s="1417"/>
      <c r="J116" s="1417"/>
      <c r="K116" s="461"/>
      <c r="L116" s="461"/>
      <c r="M116" s="1716"/>
      <c r="N116" s="1676"/>
      <c r="O116" s="1676"/>
      <c r="P116" s="1677"/>
      <c r="Q116" s="1648"/>
    </row>
    <row r="117" spans="1:17" ht="14.4" thickBot="1">
      <c r="A117" s="1535"/>
      <c r="B117" s="1685"/>
      <c r="C117" s="1686">
        <v>100</v>
      </c>
      <c r="D117" s="1686">
        <f>C117-$K39</f>
        <v>100</v>
      </c>
      <c r="E117" s="1686">
        <f>D117-$K39</f>
        <v>100</v>
      </c>
      <c r="F117" s="1686">
        <f>E117-$K39</f>
        <v>100</v>
      </c>
      <c r="G117" s="1686">
        <f>F117-$K39</f>
        <v>100</v>
      </c>
      <c r="H117" s="1686"/>
      <c r="I117" s="1686"/>
      <c r="J117" s="1686"/>
      <c r="K117" s="1686"/>
      <c r="L117" s="1686"/>
      <c r="M117" s="1687"/>
      <c r="N117" s="1681"/>
      <c r="O117" s="1681"/>
      <c r="P117" s="1677"/>
      <c r="Q117" s="1648"/>
    </row>
    <row r="118" spans="1:17" ht="15" thickTop="1">
      <c r="A118" s="1602"/>
      <c r="B118" s="1682" t="s">
        <v>2092</v>
      </c>
      <c r="C118" s="1417"/>
      <c r="D118" s="1417"/>
      <c r="E118" s="1417"/>
      <c r="F118" s="1417"/>
      <c r="G118" s="1417"/>
      <c r="H118" s="1417"/>
      <c r="I118" s="1417"/>
      <c r="J118" s="1417"/>
      <c r="K118" s="461"/>
      <c r="L118" s="461"/>
      <c r="M118" s="1716"/>
      <c r="N118" s="1676"/>
      <c r="O118" s="1676"/>
      <c r="P118" s="1677"/>
      <c r="Q118" s="1648"/>
    </row>
    <row r="119" spans="1:17" ht="14.4" thickBot="1">
      <c r="A119" s="1535"/>
      <c r="B119" s="1685"/>
      <c r="C119" s="1686">
        <v>100</v>
      </c>
      <c r="D119" s="1686">
        <f t="shared" ref="D119:M119" si="28">C119-$K40</f>
        <v>100</v>
      </c>
      <c r="E119" s="1686">
        <f t="shared" si="28"/>
        <v>100</v>
      </c>
      <c r="F119" s="1686">
        <f t="shared" si="28"/>
        <v>100</v>
      </c>
      <c r="G119" s="1686">
        <f t="shared" si="28"/>
        <v>100</v>
      </c>
      <c r="H119" s="1686">
        <f t="shared" si="28"/>
        <v>100</v>
      </c>
      <c r="I119" s="1686">
        <f t="shared" si="28"/>
        <v>100</v>
      </c>
      <c r="J119" s="1686">
        <f t="shared" si="28"/>
        <v>100</v>
      </c>
      <c r="K119" s="1686">
        <f t="shared" si="28"/>
        <v>100</v>
      </c>
      <c r="L119" s="1686">
        <f t="shared" si="28"/>
        <v>100</v>
      </c>
      <c r="M119" s="1686">
        <f t="shared" si="28"/>
        <v>100</v>
      </c>
      <c r="N119" s="1681"/>
      <c r="O119" s="1681"/>
      <c r="P119" s="1677"/>
      <c r="Q119" s="1648"/>
    </row>
    <row r="120" spans="1:17" s="1601" customFormat="1" ht="29.4" thickTop="1">
      <c r="A120" s="1595"/>
      <c r="B120" s="1682" t="s">
        <v>2046</v>
      </c>
      <c r="C120" s="456"/>
      <c r="D120" s="456"/>
      <c r="E120" s="456"/>
      <c r="F120" s="456"/>
      <c r="G120" s="456"/>
      <c r="H120" s="456"/>
      <c r="I120" s="456"/>
      <c r="J120" s="456"/>
      <c r="K120" s="456"/>
      <c r="L120" s="456"/>
      <c r="M120" s="1713"/>
      <c r="N120" s="1695"/>
      <c r="O120" s="1695"/>
      <c r="P120" s="1696"/>
      <c r="Q120" s="1697"/>
    </row>
    <row r="121" spans="1:17" s="1601" customFormat="1" ht="14.4" thickBot="1">
      <c r="A121" s="1693"/>
      <c r="B121" s="1678"/>
      <c r="C121" s="1698"/>
      <c r="D121" s="1679"/>
      <c r="E121" s="1679"/>
      <c r="F121" s="1679"/>
      <c r="G121" s="1679"/>
      <c r="H121" s="1679"/>
      <c r="I121" s="1679"/>
      <c r="J121" s="1679"/>
      <c r="K121" s="1679"/>
      <c r="L121" s="1679"/>
      <c r="M121" s="1679"/>
      <c r="N121" s="1695"/>
      <c r="O121" s="1695"/>
      <c r="P121" s="1696"/>
      <c r="Q121" s="1697"/>
    </row>
    <row r="122" spans="1:17" ht="15" thickTop="1">
      <c r="A122" s="1602"/>
      <c r="B122" s="1682" t="s">
        <v>2093</v>
      </c>
      <c r="C122" s="456"/>
      <c r="D122" s="456"/>
      <c r="E122" s="456"/>
      <c r="F122" s="1417"/>
      <c r="G122" s="1417"/>
      <c r="H122" s="1417"/>
      <c r="I122" s="1417"/>
      <c r="J122" s="1417"/>
      <c r="K122" s="461"/>
      <c r="L122" s="461"/>
      <c r="M122" s="1716"/>
      <c r="N122" s="1676"/>
      <c r="O122" s="1676"/>
      <c r="P122" s="1677"/>
      <c r="Q122" s="1648"/>
    </row>
    <row r="123" spans="1:17" ht="14.4" thickBot="1">
      <c r="A123" s="1535"/>
      <c r="B123" s="1685"/>
      <c r="C123" s="1686">
        <v>100</v>
      </c>
      <c r="D123" s="1686">
        <f t="shared" ref="D123:M123" si="29">C123-$K42</f>
        <v>100</v>
      </c>
      <c r="E123" s="1686">
        <f t="shared" si="29"/>
        <v>100</v>
      </c>
      <c r="F123" s="1686">
        <f t="shared" si="29"/>
        <v>100</v>
      </c>
      <c r="G123" s="1686">
        <f t="shared" si="29"/>
        <v>100</v>
      </c>
      <c r="H123" s="1686">
        <f t="shared" si="29"/>
        <v>100</v>
      </c>
      <c r="I123" s="1686">
        <f t="shared" si="29"/>
        <v>100</v>
      </c>
      <c r="J123" s="1686">
        <f t="shared" si="29"/>
        <v>100</v>
      </c>
      <c r="K123" s="1686">
        <f t="shared" si="29"/>
        <v>100</v>
      </c>
      <c r="L123" s="1686">
        <f t="shared" si="29"/>
        <v>100</v>
      </c>
      <c r="M123" s="1686">
        <f t="shared" si="29"/>
        <v>100</v>
      </c>
      <c r="N123" s="1681"/>
      <c r="O123" s="1681"/>
      <c r="P123" s="1677"/>
      <c r="Q123" s="1648"/>
    </row>
    <row r="124" spans="1:17" ht="29.4" thickTop="1">
      <c r="A124" s="1602"/>
      <c r="B124" s="1682" t="s">
        <v>2094</v>
      </c>
      <c r="C124" s="559" t="s">
        <v>2069</v>
      </c>
      <c r="D124" s="559" t="s">
        <v>2070</v>
      </c>
      <c r="E124" s="559" t="s">
        <v>2071</v>
      </c>
      <c r="F124" s="559" t="s">
        <v>2072</v>
      </c>
      <c r="G124" s="559" t="s">
        <v>2073</v>
      </c>
      <c r="H124" s="1683"/>
      <c r="I124" s="1683"/>
      <c r="J124" s="1683"/>
      <c r="K124" s="418"/>
      <c r="L124" s="418"/>
      <c r="M124" s="1684"/>
      <c r="N124" s="1676"/>
      <c r="O124" s="1676"/>
      <c r="P124" s="1696"/>
      <c r="Q124" s="1648"/>
    </row>
    <row r="125" spans="1:17" ht="14.4" thickBot="1">
      <c r="A125" s="1535"/>
      <c r="B125" s="1685"/>
      <c r="C125" s="1686">
        <v>100</v>
      </c>
      <c r="D125" s="1686">
        <f>C125-$K43</f>
        <v>100</v>
      </c>
      <c r="E125" s="1686">
        <f>D125-$K43</f>
        <v>100</v>
      </c>
      <c r="F125" s="1686">
        <f>E125-$K43</f>
        <v>100</v>
      </c>
      <c r="G125" s="1686">
        <f>F125-$K43</f>
        <v>100</v>
      </c>
      <c r="H125" s="1686"/>
      <c r="I125" s="1686"/>
      <c r="J125" s="1686"/>
      <c r="K125" s="1686"/>
      <c r="L125" s="1686"/>
      <c r="M125" s="1687"/>
      <c r="N125" s="1681"/>
      <c r="O125" s="1681"/>
      <c r="P125" s="1677"/>
      <c r="Q125" s="1648"/>
    </row>
    <row r="126" spans="1:17" s="1601" customFormat="1" ht="14.4" thickTop="1">
      <c r="A126" s="1595"/>
      <c r="B126" s="1682">
        <f>B44</f>
        <v>111</v>
      </c>
      <c r="C126" s="456"/>
      <c r="D126" s="456"/>
      <c r="E126" s="456"/>
      <c r="F126" s="456"/>
      <c r="G126" s="456"/>
      <c r="H126" s="433"/>
      <c r="I126" s="433"/>
      <c r="J126" s="433"/>
      <c r="K126" s="433"/>
      <c r="L126" s="433"/>
      <c r="M126" s="1694"/>
      <c r="N126" s="1695"/>
      <c r="O126" s="1695"/>
      <c r="P126" s="1696"/>
      <c r="Q126" s="1697"/>
    </row>
    <row r="127" spans="1:17" s="1601" customFormat="1" ht="14.4" thickBot="1">
      <c r="A127" s="1693"/>
      <c r="B127" s="1685"/>
      <c r="C127" s="1698"/>
      <c r="D127" s="1679"/>
      <c r="E127" s="1679"/>
      <c r="F127" s="1679"/>
      <c r="G127" s="1698"/>
      <c r="H127" s="1701"/>
      <c r="I127" s="1701"/>
      <c r="J127" s="1701"/>
      <c r="K127" s="1701"/>
      <c r="L127" s="1701"/>
      <c r="M127" s="1702"/>
      <c r="N127" s="1695"/>
      <c r="O127" s="1695"/>
      <c r="P127" s="1696"/>
      <c r="Q127" s="1697"/>
    </row>
    <row r="128" spans="1:17" ht="14.4" thickTop="1">
      <c r="A128" s="1602"/>
      <c r="B128" s="1682">
        <f>B45</f>
        <v>111</v>
      </c>
      <c r="C128" s="456"/>
      <c r="D128" s="456"/>
      <c r="E128" s="456"/>
      <c r="F128" s="456"/>
      <c r="G128" s="1417"/>
      <c r="H128" s="1417"/>
      <c r="I128" s="1417"/>
      <c r="J128" s="1417"/>
      <c r="K128" s="461"/>
      <c r="L128" s="461"/>
      <c r="M128" s="1716"/>
      <c r="N128" s="1676"/>
      <c r="O128" s="1676"/>
      <c r="P128" s="1677"/>
      <c r="Q128" s="1648"/>
    </row>
    <row r="129" spans="1:17" ht="14.4" thickBot="1">
      <c r="A129" s="1535"/>
      <c r="B129" s="1685"/>
      <c r="C129" s="1698"/>
      <c r="D129" s="1698"/>
      <c r="E129" s="1698"/>
      <c r="F129" s="1698"/>
      <c r="G129" s="1679"/>
      <c r="H129" s="1679"/>
      <c r="I129" s="1679"/>
      <c r="J129" s="1679"/>
      <c r="K129" s="1679"/>
      <c r="L129" s="1679"/>
      <c r="M129" s="1680"/>
      <c r="N129" s="1681"/>
      <c r="O129" s="1681"/>
      <c r="P129" s="1677"/>
      <c r="Q129" s="1648"/>
    </row>
    <row r="130" spans="1:17" ht="14.4" thickTop="1">
      <c r="A130" s="1602"/>
      <c r="B130" s="1688">
        <f>B46</f>
        <v>111</v>
      </c>
      <c r="C130" s="456"/>
      <c r="D130" s="456"/>
      <c r="E130" s="456"/>
      <c r="F130" s="456"/>
      <c r="G130" s="1717"/>
      <c r="H130" s="1717"/>
      <c r="I130" s="1717"/>
      <c r="J130" s="1717"/>
      <c r="K130" s="401"/>
      <c r="L130" s="401"/>
      <c r="M130" s="1718"/>
      <c r="N130" s="1676"/>
      <c r="O130" s="1676"/>
      <c r="P130" s="1677"/>
      <c r="Q130" s="1648"/>
    </row>
    <row r="131" spans="1:17" ht="14.4" thickBot="1">
      <c r="A131" s="1545"/>
      <c r="B131" s="1705"/>
      <c r="C131" s="1706"/>
      <c r="D131" s="1706"/>
      <c r="E131" s="1706"/>
      <c r="F131" s="1706"/>
      <c r="G131" s="1719"/>
      <c r="H131" s="1719"/>
      <c r="I131" s="1719"/>
      <c r="J131" s="1719"/>
      <c r="K131" s="1719"/>
      <c r="L131" s="1719"/>
      <c r="M131" s="1720"/>
      <c r="N131" s="1681"/>
      <c r="O131" s="1681"/>
      <c r="P131" s="1677"/>
      <c r="Q131" s="1648"/>
    </row>
    <row r="136" spans="1:17" ht="15" thickBot="1">
      <c r="B136" s="1412" t="s">
        <v>2095</v>
      </c>
    </row>
    <row r="137" spans="1:17" ht="15">
      <c r="B137" s="1730" t="s">
        <v>2096</v>
      </c>
      <c r="C137" s="1731"/>
      <c r="D137" s="1731"/>
      <c r="E137" s="1731"/>
      <c r="F137" s="1731"/>
      <c r="G137" s="1732"/>
      <c r="H137" s="1733"/>
      <c r="I137" s="1734" t="s">
        <v>2097</v>
      </c>
      <c r="J137" s="1731"/>
      <c r="K137" s="1735"/>
    </row>
    <row r="138" spans="1:17" ht="15">
      <c r="B138" s="1736"/>
      <c r="C138" s="1737" t="s">
        <v>2098</v>
      </c>
      <c r="D138" s="1737" t="s">
        <v>2099</v>
      </c>
      <c r="E138" s="1738" t="s">
        <v>2100</v>
      </c>
      <c r="F138" s="1739" t="s">
        <v>2101</v>
      </c>
      <c r="G138" s="1737" t="s">
        <v>2099</v>
      </c>
      <c r="H138" s="1740" t="s">
        <v>2100</v>
      </c>
      <c r="I138" s="1741"/>
      <c r="J138" s="1737" t="s">
        <v>2102</v>
      </c>
      <c r="K138" s="1740" t="s">
        <v>2103</v>
      </c>
    </row>
    <row r="139" spans="1:17" ht="15">
      <c r="B139" s="1742">
        <v>6</v>
      </c>
      <c r="C139" s="1743">
        <v>96</v>
      </c>
      <c r="D139" s="1744" t="s">
        <v>2104</v>
      </c>
      <c r="E139" s="1745">
        <v>100</v>
      </c>
      <c r="F139" s="1746">
        <v>102.5</v>
      </c>
      <c r="G139" s="1744" t="s">
        <v>2104</v>
      </c>
      <c r="H139" s="1747">
        <v>105</v>
      </c>
      <c r="I139" s="1748" t="s">
        <v>2105</v>
      </c>
      <c r="J139" s="1743">
        <v>20</v>
      </c>
      <c r="K139" s="1749">
        <f>C145/(J139-2)</f>
        <v>4.0555555555555553E-3</v>
      </c>
    </row>
    <row r="140" spans="1:17" ht="15">
      <c r="B140" s="1750">
        <v>5</v>
      </c>
      <c r="C140" s="1751">
        <v>100</v>
      </c>
      <c r="D140" s="1751"/>
      <c r="E140" s="1752"/>
      <c r="F140" s="1753">
        <v>102</v>
      </c>
      <c r="G140" s="1751"/>
      <c r="H140" s="1754"/>
      <c r="I140" s="1755" t="s">
        <v>2106</v>
      </c>
      <c r="J140" s="1756">
        <f>ROUNDUP((J139-1)/2,0)</f>
        <v>10</v>
      </c>
      <c r="K140" s="1757">
        <v>100</v>
      </c>
    </row>
    <row r="141" spans="1:17" ht="15">
      <c r="B141" s="1750">
        <v>4</v>
      </c>
      <c r="C141" s="1751">
        <v>102</v>
      </c>
      <c r="D141" s="1751"/>
      <c r="E141" s="1752"/>
      <c r="F141" s="1753">
        <v>101.5</v>
      </c>
      <c r="G141" s="1751"/>
      <c r="H141" s="1754"/>
      <c r="I141" s="1755" t="s">
        <v>2107</v>
      </c>
      <c r="J141" s="1756">
        <v>1</v>
      </c>
      <c r="K141" s="1758">
        <f>ROUND(100+(J141-J140)*K139*100,1)</f>
        <v>96.4</v>
      </c>
    </row>
    <row r="142" spans="1:17" ht="15">
      <c r="B142" s="1750">
        <v>3</v>
      </c>
      <c r="C142" s="1751">
        <v>103</v>
      </c>
      <c r="D142" s="1751"/>
      <c r="E142" s="1752"/>
      <c r="F142" s="1753">
        <v>101</v>
      </c>
      <c r="G142" s="1751"/>
      <c r="H142" s="1754"/>
      <c r="I142" s="1755" t="s">
        <v>2108</v>
      </c>
      <c r="J142" s="1756">
        <f>J139</f>
        <v>20</v>
      </c>
      <c r="K142" s="1759">
        <v>95</v>
      </c>
    </row>
    <row r="143" spans="1:17" ht="15">
      <c r="B143" s="1750">
        <v>2</v>
      </c>
      <c r="C143" s="1751">
        <v>100</v>
      </c>
      <c r="D143" s="1751"/>
      <c r="E143" s="1752"/>
      <c r="F143" s="1753">
        <v>100.5</v>
      </c>
      <c r="G143" s="1751"/>
      <c r="H143" s="1754"/>
      <c r="I143" s="1755" t="s">
        <v>2109</v>
      </c>
      <c r="J143" s="1751">
        <v>15</v>
      </c>
      <c r="K143" s="1758">
        <f>ROUND(100+(J143-J140)*K139*100,1)</f>
        <v>102</v>
      </c>
    </row>
    <row r="144" spans="1:17" ht="15">
      <c r="B144" s="1750">
        <v>1</v>
      </c>
      <c r="C144" s="1751">
        <v>98</v>
      </c>
      <c r="D144" s="1276" t="s">
        <v>2110</v>
      </c>
      <c r="E144" s="1752">
        <v>102</v>
      </c>
      <c r="F144" s="1760">
        <v>100</v>
      </c>
      <c r="G144" s="1276" t="s">
        <v>2110</v>
      </c>
      <c r="H144" s="1754">
        <v>105</v>
      </c>
      <c r="I144" s="1755" t="s">
        <v>2109</v>
      </c>
      <c r="J144" s="1751">
        <v>18</v>
      </c>
      <c r="K144" s="1758">
        <f>ROUND(100+(J144-J140)*K139*100,1)</f>
        <v>103.2</v>
      </c>
    </row>
    <row r="145" spans="2:11" ht="16.2" thickBot="1">
      <c r="B145" s="1761" t="s">
        <v>2111</v>
      </c>
      <c r="C145" s="1762">
        <f>ROUND(MAX(C139:C144)/MIN(C139:C144)-1,3)</f>
        <v>7.2999999999999995E-2</v>
      </c>
      <c r="D145" s="1763"/>
      <c r="E145" s="1763"/>
      <c r="F145" s="1413" t="s">
        <v>2112</v>
      </c>
      <c r="G145" s="1764"/>
      <c r="H145" s="1765"/>
      <c r="I145" s="1766" t="s">
        <v>2109</v>
      </c>
      <c r="J145" s="1767">
        <v>8</v>
      </c>
      <c r="K145" s="1768">
        <f>ROUND(100+(J145-J140)*K139*100,1)</f>
        <v>99.2</v>
      </c>
    </row>
    <row r="147" spans="2:11" ht="14.4">
      <c r="B147" s="1412" t="s">
        <v>2113</v>
      </c>
    </row>
    <row r="148" spans="2:11" ht="14.4">
      <c r="B148" s="1412"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N17" sqref="N17"/>
    </sheetView>
  </sheetViews>
  <sheetFormatPr defaultColWidth="9" defaultRowHeight="13.8"/>
  <cols>
    <col min="1" max="1" width="10.4414062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63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2115</v>
      </c>
      <c r="C1" s="1476"/>
      <c r="D1" s="2213"/>
      <c r="E1" s="1478"/>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1776" customFormat="1" ht="28.5" customHeight="1" thickTop="1">
      <c r="A2" s="1486" t="s">
        <v>1674</v>
      </c>
      <c r="B2" s="1487" t="e">
        <f ca="1">IF(D2="——",IF(C2="元",ROUND(C49*D3,0),ROUND(C49*D3/10000,0)),IF(C2="元",ROUND(C49*D3,0),ROUND(C49*D3/10000,0))-E2)</f>
        <v>#DIV/0!</v>
      </c>
      <c r="C2" s="1488" t="str">
        <f>'数据-取费表'!B3</f>
        <v>元</v>
      </c>
      <c r="D2" s="1489"/>
      <c r="E2" s="2214" t="e">
        <f ca="1">SUMIF(INDIRECT("'"&amp;G2&amp;"'"&amp;"!A:A"),"承租人权益价值",INDIRECT("'"&amp;G2&amp;"'"&amp;"!c:c"))</f>
        <v>#REF!</v>
      </c>
      <c r="F2" s="1491" t="str">
        <f>C2</f>
        <v>元</v>
      </c>
      <c r="G2" s="1492"/>
      <c r="H2" s="2706"/>
      <c r="I2" s="2706"/>
      <c r="J2" s="2706"/>
      <c r="K2" s="2706"/>
      <c r="L2" s="2708"/>
      <c r="M2" s="2706"/>
      <c r="N2" s="2706"/>
      <c r="O2" s="2706"/>
      <c r="P2" s="2215"/>
      <c r="Q2" s="1771"/>
      <c r="R2" s="1771"/>
      <c r="S2" s="1771"/>
      <c r="T2" s="1771"/>
      <c r="U2" s="1771"/>
      <c r="V2" s="1771"/>
      <c r="W2" s="1771"/>
      <c r="X2" s="1771"/>
      <c r="Y2" s="1771"/>
      <c r="Z2" s="1771"/>
      <c r="AA2" s="1771"/>
      <c r="AB2" s="1771"/>
      <c r="AC2" s="1775"/>
    </row>
    <row r="3" spans="1:29" s="1776" customFormat="1" ht="28.5" customHeight="1" thickBot="1">
      <c r="A3" s="1496" t="s">
        <v>1675</v>
      </c>
      <c r="B3" s="1779" t="e">
        <f ca="1">ROUND(IF(D2="——",C49,IF(C2="万元",B2*10000/D3,B2/D3)),0)</f>
        <v>#DIV/0!</v>
      </c>
      <c r="C3" s="1497" t="s">
        <v>2005</v>
      </c>
      <c r="D3" s="1497">
        <f>IF(C1="仅计算典型户型",'数据-取费表'!E5,'数据-取费表'!B5)</f>
        <v>165.59</v>
      </c>
      <c r="F3" s="2705"/>
      <c r="G3" s="2706"/>
      <c r="H3" s="2706"/>
      <c r="I3" s="2706"/>
      <c r="J3" s="2706"/>
      <c r="K3" s="2707"/>
      <c r="L3" s="2708"/>
      <c r="M3" s="2706"/>
      <c r="N3" s="2706"/>
      <c r="O3" s="2706"/>
      <c r="P3" s="2215"/>
      <c r="Q3" s="1771"/>
      <c r="R3" s="1771"/>
      <c r="S3" s="1771"/>
      <c r="T3" s="1771"/>
      <c r="U3" s="1771"/>
      <c r="V3" s="1771"/>
      <c r="W3" s="1771"/>
      <c r="X3" s="1771"/>
      <c r="Y3" s="1771"/>
      <c r="Z3" s="1771"/>
      <c r="AA3" s="1771"/>
      <c r="AB3" s="1771"/>
      <c r="AC3" s="1775"/>
    </row>
    <row r="4" spans="1:29" ht="14.4">
      <c r="A4" s="1499" t="s">
        <v>2006</v>
      </c>
      <c r="B4" s="1500"/>
      <c r="C4" s="3351" t="s">
        <v>2007</v>
      </c>
      <c r="D4" s="3352"/>
      <c r="E4" s="3353" t="s">
        <v>2008</v>
      </c>
      <c r="F4" s="3354"/>
      <c r="G4" s="3351" t="s">
        <v>2009</v>
      </c>
      <c r="H4" s="3352"/>
      <c r="I4" s="3351" t="s">
        <v>2010</v>
      </c>
      <c r="J4" s="3352"/>
      <c r="K4" s="1781" t="s">
        <v>2011</v>
      </c>
      <c r="L4" s="2694"/>
      <c r="P4" s="3355" t="s">
        <v>2012</v>
      </c>
      <c r="Q4" s="3356"/>
      <c r="R4" s="3340" t="s">
        <v>2008</v>
      </c>
      <c r="S4" s="3341"/>
      <c r="T4" s="3340" t="s">
        <v>2009</v>
      </c>
      <c r="U4" s="3341"/>
      <c r="V4" s="3320" t="s">
        <v>2010</v>
      </c>
      <c r="W4" s="3320"/>
      <c r="X4" s="1502"/>
      <c r="Y4" s="3340" t="s">
        <v>2012</v>
      </c>
      <c r="Z4" s="3341"/>
      <c r="AA4" s="3348" t="s">
        <v>2008</v>
      </c>
      <c r="AB4" s="3320" t="s">
        <v>2009</v>
      </c>
      <c r="AC4" s="3348" t="s">
        <v>2010</v>
      </c>
    </row>
    <row r="5" spans="1:29">
      <c r="A5" s="1504"/>
      <c r="B5" s="1505"/>
      <c r="C5" s="3336" t="s">
        <v>2013</v>
      </c>
      <c r="D5" s="3337"/>
      <c r="E5" s="3361" t="s">
        <v>2014</v>
      </c>
      <c r="F5" s="3362"/>
      <c r="G5" s="3336" t="s">
        <v>2015</v>
      </c>
      <c r="H5" s="3337"/>
      <c r="I5" s="3336" t="s">
        <v>2016</v>
      </c>
      <c r="J5" s="3337"/>
      <c r="K5" s="1781"/>
      <c r="L5" s="2694"/>
      <c r="P5" s="3357"/>
      <c r="Q5" s="3358"/>
      <c r="R5" s="3342"/>
      <c r="S5" s="3343"/>
      <c r="T5" s="3342"/>
      <c r="U5" s="3343"/>
      <c r="V5" s="3320"/>
      <c r="W5" s="3320"/>
      <c r="X5" s="1502"/>
      <c r="Y5" s="3342"/>
      <c r="Z5" s="3343"/>
      <c r="AA5" s="3349"/>
      <c r="AB5" s="3320"/>
      <c r="AC5" s="3349"/>
    </row>
    <row r="6" spans="1:29" ht="15" thickBot="1">
      <c r="A6" s="1507"/>
      <c r="B6" s="1508"/>
      <c r="C6" s="3334" t="s">
        <v>2017</v>
      </c>
      <c r="D6" s="3335"/>
      <c r="E6" s="3363" t="s">
        <v>2017</v>
      </c>
      <c r="F6" s="3364"/>
      <c r="G6" s="3334" t="s">
        <v>2017</v>
      </c>
      <c r="H6" s="3335"/>
      <c r="I6" s="3334" t="s">
        <v>2017</v>
      </c>
      <c r="J6" s="3335"/>
      <c r="K6" s="1781" t="s">
        <v>2018</v>
      </c>
      <c r="L6" s="2694"/>
      <c r="P6" s="3359"/>
      <c r="Q6" s="3360"/>
      <c r="R6" s="3342"/>
      <c r="S6" s="3343"/>
      <c r="T6" s="3344"/>
      <c r="U6" s="3345"/>
      <c r="V6" s="3320"/>
      <c r="W6" s="3320"/>
      <c r="X6" s="1502"/>
      <c r="Y6" s="3344"/>
      <c r="Z6" s="3345"/>
      <c r="AA6" s="3350"/>
      <c r="AB6" s="3320"/>
      <c r="AC6" s="3350"/>
    </row>
    <row r="7" spans="1:29" s="1520" customFormat="1" ht="15" thickBot="1">
      <c r="A7" s="1509" t="s">
        <v>2019</v>
      </c>
      <c r="B7" s="1510"/>
      <c r="C7" s="1511">
        <f>'数据-取费表'!B2</f>
        <v>44901</v>
      </c>
      <c r="D7" s="1512">
        <v>100</v>
      </c>
      <c r="E7" s="1513"/>
      <c r="F7" s="1514">
        <f>SUMIF(58:58,YEAR(E7)&amp;"-"&amp;MONTH(E7),59:59)</f>
        <v>0</v>
      </c>
      <c r="G7" s="1513"/>
      <c r="H7" s="1512">
        <f>SUMIF(58:58,YEAR(G7)&amp;"-"&amp;MONTH(G7),59:59)</f>
        <v>0</v>
      </c>
      <c r="I7" s="1513"/>
      <c r="J7" s="1512">
        <f>SUMIF(58:58,YEAR(I7)&amp;"-"&amp;MONTH(I7),59:59)</f>
        <v>0</v>
      </c>
      <c r="K7" s="1783"/>
      <c r="L7" s="2694"/>
      <c r="P7" s="3338" t="s">
        <v>2020</v>
      </c>
      <c r="Q7" s="3346"/>
      <c r="R7" s="1516" t="s">
        <v>25</v>
      </c>
      <c r="S7" s="1517">
        <f t="shared" ref="S7:S15" si="0">F7</f>
        <v>0</v>
      </c>
      <c r="T7" s="1516" t="s">
        <v>25</v>
      </c>
      <c r="U7" s="1517">
        <f t="shared" ref="U7:U15" si="1">H7</f>
        <v>0</v>
      </c>
      <c r="V7" s="1516" t="s">
        <v>25</v>
      </c>
      <c r="W7" s="1517">
        <f t="shared" ref="W7:W15" si="2">J7</f>
        <v>0</v>
      </c>
      <c r="X7" s="1518"/>
      <c r="Y7" s="3338" t="s">
        <v>2020</v>
      </c>
      <c r="Z7" s="3339"/>
      <c r="AA7" s="1519" t="e">
        <f>D7/F7</f>
        <v>#DIV/0!</v>
      </c>
      <c r="AB7" s="1519" t="e">
        <f>D7/H7</f>
        <v>#DIV/0!</v>
      </c>
      <c r="AC7" s="1519" t="e">
        <f>D7/J7</f>
        <v>#DIV/0!</v>
      </c>
    </row>
    <row r="8" spans="1:29" s="1520" customFormat="1" ht="15" thickBot="1">
      <c r="A8" s="1509" t="s">
        <v>2021</v>
      </c>
      <c r="B8" s="1510"/>
      <c r="C8" s="1521" t="s">
        <v>2022</v>
      </c>
      <c r="D8" s="1512">
        <v>100</v>
      </c>
      <c r="E8" s="1521"/>
      <c r="F8" s="1514">
        <f>SUMIF(61:61,E8,62:62)-SUMIF(61:61,C8,62:62)+100</f>
        <v>0</v>
      </c>
      <c r="G8" s="1521"/>
      <c r="H8" s="1512">
        <f>SUMIF(61:61,G8,62:62)-SUMIF(61:61,C8,62:62)+100</f>
        <v>0</v>
      </c>
      <c r="I8" s="1521"/>
      <c r="J8" s="1512">
        <f>SUMIF(61:61,I8,62:62)-SUMIF(61:61,C8,62:62)+100</f>
        <v>0</v>
      </c>
      <c r="K8" s="1783"/>
      <c r="L8" s="2694"/>
      <c r="P8" s="3338" t="s">
        <v>2023</v>
      </c>
      <c r="Q8" s="3339"/>
      <c r="R8" s="1516" t="s">
        <v>25</v>
      </c>
      <c r="S8" s="1517">
        <f t="shared" si="0"/>
        <v>0</v>
      </c>
      <c r="T8" s="1516" t="s">
        <v>25</v>
      </c>
      <c r="U8" s="1517">
        <f t="shared" si="1"/>
        <v>0</v>
      </c>
      <c r="V8" s="1516" t="s">
        <v>25</v>
      </c>
      <c r="W8" s="1517">
        <f t="shared" si="2"/>
        <v>0</v>
      </c>
      <c r="X8" s="1518"/>
      <c r="Y8" s="3338" t="s">
        <v>2023</v>
      </c>
      <c r="Z8" s="3339"/>
      <c r="AA8" s="1519" t="e">
        <f t="shared" ref="AA8:AA46" si="3">D8/F8</f>
        <v>#DIV/0!</v>
      </c>
      <c r="AB8" s="1519" t="e">
        <f t="shared" ref="AB8:AB46" si="4">D8/H8</f>
        <v>#DIV/0!</v>
      </c>
      <c r="AC8" s="1519" t="e">
        <f t="shared" ref="AC8:AC46" si="5">D8/J8</f>
        <v>#DIV/0!</v>
      </c>
    </row>
    <row r="9" spans="1:29" s="1520" customFormat="1" ht="14.4">
      <c r="A9" s="1473" t="s">
        <v>2024</v>
      </c>
      <c r="B9" s="1523" t="s">
        <v>2025</v>
      </c>
      <c r="C9" s="1524"/>
      <c r="D9" s="1525">
        <v>100</v>
      </c>
      <c r="E9" s="1526"/>
      <c r="F9" s="1523">
        <f>SUMIF(63:63,E9,64:64)-SUMIF(63:63,C9,64:64)+100</f>
        <v>100</v>
      </c>
      <c r="G9" s="1526"/>
      <c r="H9" s="1525">
        <f>SUMIF(63:63,G9,64:64)-SUMIF(63:63,C9,64:64)+100</f>
        <v>100</v>
      </c>
      <c r="I9" s="1526"/>
      <c r="J9" s="1525">
        <f>SUMIF(63:63,I9,64:64)-SUMIF(63:63,C9,64:64)+100</f>
        <v>100</v>
      </c>
      <c r="K9" s="1783"/>
      <c r="L9" s="2694"/>
      <c r="P9" s="3347" t="s">
        <v>2026</v>
      </c>
      <c r="Q9" s="1472" t="str">
        <f t="shared" ref="Q9:Q15" si="6">B9</f>
        <v>用途</v>
      </c>
      <c r="R9" s="1516" t="s">
        <v>25</v>
      </c>
      <c r="S9" s="1517">
        <f t="shared" si="0"/>
        <v>100</v>
      </c>
      <c r="T9" s="1516" t="s">
        <v>25</v>
      </c>
      <c r="U9" s="1517">
        <f t="shared" si="1"/>
        <v>100</v>
      </c>
      <c r="V9" s="1516" t="s">
        <v>25</v>
      </c>
      <c r="W9" s="1517">
        <f t="shared" si="2"/>
        <v>100</v>
      </c>
      <c r="X9" s="1518"/>
      <c r="Y9" s="3184"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807"/>
      <c r="L10" s="2695"/>
      <c r="P10" s="3347"/>
      <c r="Q10" s="1472" t="str">
        <f t="shared" si="6"/>
        <v>土地使用年限（年）</v>
      </c>
      <c r="R10" s="1516" t="s">
        <v>25</v>
      </c>
      <c r="S10" s="1517">
        <f t="shared" si="0"/>
        <v>100</v>
      </c>
      <c r="T10" s="1516" t="s">
        <v>25</v>
      </c>
      <c r="U10" s="1517">
        <f t="shared" si="1"/>
        <v>100</v>
      </c>
      <c r="V10" s="1516" t="s">
        <v>25</v>
      </c>
      <c r="W10" s="1517">
        <f t="shared" si="2"/>
        <v>100</v>
      </c>
      <c r="X10" s="1518"/>
      <c r="Y10" s="3184"/>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807"/>
      <c r="L11" s="2696"/>
      <c r="P11" s="3347"/>
      <c r="Q11" s="1472" t="str">
        <f t="shared" si="6"/>
        <v>容积率</v>
      </c>
      <c r="R11" s="1516" t="s">
        <v>25</v>
      </c>
      <c r="S11" s="1517" t="e">
        <f t="shared" si="0"/>
        <v>#N/A</v>
      </c>
      <c r="T11" s="1516" t="s">
        <v>25</v>
      </c>
      <c r="U11" s="1517" t="e">
        <f t="shared" si="1"/>
        <v>#N/A</v>
      </c>
      <c r="V11" s="1516" t="s">
        <v>25</v>
      </c>
      <c r="W11" s="1517" t="e">
        <f t="shared" si="2"/>
        <v>#N/A</v>
      </c>
      <c r="X11" s="1518"/>
      <c r="Y11" s="3184"/>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3"/>
      <c r="F12" s="1529">
        <f>SUMIF(70:70,E12,71:71)-SUMIF(70:70,C12,71:71)+100</f>
        <v>100</v>
      </c>
      <c r="G12" s="1543"/>
      <c r="H12" s="1531">
        <f>SUMIF(70:70,G12,71:71)-SUMIF(70:70,C12,71:71)+100</f>
        <v>100</v>
      </c>
      <c r="I12" s="1543"/>
      <c r="J12" s="1531">
        <f>SUMIF(70:70,I12,71:71)-SUMIF(70:70,C12,71:71)+100</f>
        <v>100</v>
      </c>
      <c r="K12" s="1804"/>
      <c r="L12" s="2694"/>
      <c r="P12" s="3347"/>
      <c r="Q12" s="1472">
        <f t="shared" si="6"/>
        <v>111</v>
      </c>
      <c r="R12" s="1516" t="s">
        <v>25</v>
      </c>
      <c r="S12" s="1517">
        <f t="shared" si="0"/>
        <v>100</v>
      </c>
      <c r="T12" s="1516" t="s">
        <v>25</v>
      </c>
      <c r="U12" s="1517">
        <f t="shared" si="1"/>
        <v>100</v>
      </c>
      <c r="V12" s="1516" t="s">
        <v>25</v>
      </c>
      <c r="W12" s="1517">
        <f t="shared" si="2"/>
        <v>100</v>
      </c>
      <c r="X12" s="1518"/>
      <c r="Y12" s="3184"/>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804"/>
      <c r="L13" s="2697"/>
      <c r="P13" s="3347"/>
      <c r="Q13" s="1472">
        <f t="shared" si="6"/>
        <v>111</v>
      </c>
      <c r="R13" s="1516" t="s">
        <v>25</v>
      </c>
      <c r="S13" s="1517">
        <f t="shared" si="0"/>
        <v>100</v>
      </c>
      <c r="T13" s="1516" t="s">
        <v>25</v>
      </c>
      <c r="U13" s="1517">
        <f t="shared" si="1"/>
        <v>100</v>
      </c>
      <c r="V13" s="1516" t="s">
        <v>25</v>
      </c>
      <c r="W13" s="1517">
        <f t="shared" si="2"/>
        <v>100</v>
      </c>
      <c r="X13" s="1518"/>
      <c r="Y13" s="3184"/>
      <c r="Z13" s="1519">
        <f t="shared" si="7"/>
        <v>111</v>
      </c>
      <c r="AA13" s="1519">
        <f t="shared" si="3"/>
        <v>1</v>
      </c>
      <c r="AB13" s="1519">
        <f t="shared" si="4"/>
        <v>1</v>
      </c>
      <c r="AC13" s="1519">
        <f t="shared" si="5"/>
        <v>1</v>
      </c>
    </row>
    <row r="14" spans="1:29" ht="15.6" thickBot="1">
      <c r="A14" s="1545"/>
      <c r="B14" s="1546">
        <v>111</v>
      </c>
      <c r="C14" s="1547"/>
      <c r="D14" s="1548">
        <v>100</v>
      </c>
      <c r="E14" s="1543"/>
      <c r="F14" s="1549">
        <f>SUMIF(74:74,E14,75:75)-SUMIF(74:74,C14,75:75)+100</f>
        <v>100</v>
      </c>
      <c r="G14" s="1543"/>
      <c r="H14" s="1548">
        <f>SUMIF(74:74,G14,75:75)-SUMIF(74:74,C14,75:75)+100</f>
        <v>100</v>
      </c>
      <c r="I14" s="1543"/>
      <c r="J14" s="1548">
        <f>SUMIF(74:74,I14,75:75)-SUMIF(74:74,C14,75:75)+100</f>
        <v>100</v>
      </c>
      <c r="K14" s="1804"/>
      <c r="L14" s="2697"/>
      <c r="P14" s="3347"/>
      <c r="Q14" s="1472">
        <f t="shared" si="6"/>
        <v>111</v>
      </c>
      <c r="R14" s="1516" t="s">
        <v>25</v>
      </c>
      <c r="S14" s="1517">
        <f t="shared" si="0"/>
        <v>100</v>
      </c>
      <c r="T14" s="1516" t="s">
        <v>25</v>
      </c>
      <c r="U14" s="1517">
        <f t="shared" si="1"/>
        <v>100</v>
      </c>
      <c r="V14" s="1516" t="s">
        <v>25</v>
      </c>
      <c r="W14" s="1517">
        <f t="shared" si="2"/>
        <v>100</v>
      </c>
      <c r="X14" s="1518"/>
      <c r="Y14" s="3184"/>
      <c r="Z14" s="1519">
        <f t="shared" si="7"/>
        <v>111</v>
      </c>
      <c r="AA14" s="1519">
        <f t="shared" si="3"/>
        <v>1</v>
      </c>
      <c r="AB14" s="1519">
        <f t="shared" si="4"/>
        <v>1</v>
      </c>
      <c r="AC14" s="1519">
        <f t="shared" si="5"/>
        <v>1</v>
      </c>
    </row>
    <row r="15" spans="1:29" ht="82.8">
      <c r="A15" s="1550" t="s">
        <v>2030</v>
      </c>
      <c r="B15" s="1551" t="s">
        <v>2116</v>
      </c>
      <c r="C15" s="1552" t="str">
        <f>估价对象房地状况!C4</f>
        <v>估价对象位于XX商圈，周边商业氛围成熟，人流量大，商业繁华度好</v>
      </c>
      <c r="D15" s="1553">
        <v>100</v>
      </c>
      <c r="E15" s="1554"/>
      <c r="F15" s="1555">
        <f>SUMIF(76:76,E16,77:77)-SUMIF(76:76,C16,77:77)+100</f>
        <v>100</v>
      </c>
      <c r="G15" s="1556"/>
      <c r="H15" s="1553">
        <f>SUMIF(76:76,G16,77:77)-SUMIF(76:76,C16,77:77)+100</f>
        <v>100</v>
      </c>
      <c r="I15" s="1554"/>
      <c r="J15" s="1553">
        <f>SUMIF(76:76,I16,77:77)-SUMIF(76:76,C16,77:77)+100</f>
        <v>100</v>
      </c>
      <c r="K15" s="2216"/>
      <c r="L15" s="2697"/>
      <c r="P15" s="3325" t="s">
        <v>2031</v>
      </c>
      <c r="Q15" s="1454" t="str">
        <f t="shared" si="6"/>
        <v>商业繁华度</v>
      </c>
      <c r="R15" s="1558" t="s">
        <v>25</v>
      </c>
      <c r="S15" s="1559">
        <f t="shared" si="0"/>
        <v>100</v>
      </c>
      <c r="T15" s="1558" t="s">
        <v>25</v>
      </c>
      <c r="U15" s="1559">
        <f t="shared" si="1"/>
        <v>100</v>
      </c>
      <c r="V15" s="1558" t="s">
        <v>25</v>
      </c>
      <c r="W15" s="1559">
        <f t="shared" si="2"/>
        <v>100</v>
      </c>
      <c r="X15" s="1502"/>
      <c r="Y15" s="3327" t="s">
        <v>2031</v>
      </c>
      <c r="Z15" s="1560" t="str">
        <f t="shared" si="7"/>
        <v>商业繁华度</v>
      </c>
      <c r="AA15" s="1560">
        <f t="shared" si="3"/>
        <v>1</v>
      </c>
      <c r="AB15" s="1560">
        <f t="shared" si="4"/>
        <v>1</v>
      </c>
      <c r="AC15" s="1560">
        <f t="shared" si="5"/>
        <v>1</v>
      </c>
    </row>
    <row r="16" spans="1:29" ht="15">
      <c r="A16" s="1535"/>
      <c r="B16" s="1561"/>
      <c r="C16" s="1562"/>
      <c r="D16" s="1563"/>
      <c r="E16" s="1562"/>
      <c r="F16" s="1565"/>
      <c r="G16" s="1562"/>
      <c r="H16" s="1567"/>
      <c r="I16" s="1562"/>
      <c r="J16" s="1563"/>
      <c r="K16" s="2217"/>
      <c r="L16" s="2697"/>
      <c r="P16" s="3326"/>
      <c r="Q16" s="1454"/>
      <c r="R16" s="1558"/>
      <c r="S16" s="1559"/>
      <c r="T16" s="1558"/>
      <c r="U16" s="1559"/>
      <c r="V16" s="1558"/>
      <c r="W16" s="1559"/>
      <c r="X16" s="1502"/>
      <c r="Y16" s="3328"/>
      <c r="Z16" s="1560"/>
      <c r="AA16" s="1560">
        <v>1</v>
      </c>
      <c r="AB16" s="1560">
        <v>1</v>
      </c>
      <c r="AC16" s="1560">
        <v>1</v>
      </c>
    </row>
    <row r="17" spans="1:29" ht="96.6">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2216"/>
      <c r="L17" s="2697"/>
      <c r="P17" s="3326"/>
      <c r="Q17" s="1454" t="str">
        <f>B17</f>
        <v>交通便捷度</v>
      </c>
      <c r="R17" s="1558" t="s">
        <v>25</v>
      </c>
      <c r="S17" s="1559">
        <f>F17</f>
        <v>100</v>
      </c>
      <c r="T17" s="1558" t="s">
        <v>25</v>
      </c>
      <c r="U17" s="1559">
        <f>H17</f>
        <v>100</v>
      </c>
      <c r="V17" s="1558" t="s">
        <v>25</v>
      </c>
      <c r="W17" s="1559">
        <f>J17</f>
        <v>100</v>
      </c>
      <c r="X17" s="1502"/>
      <c r="Y17" s="3328"/>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2217"/>
      <c r="L18" s="2697"/>
      <c r="P18" s="3326"/>
      <c r="Q18" s="1454"/>
      <c r="R18" s="1558"/>
      <c r="S18" s="1559"/>
      <c r="T18" s="1558"/>
      <c r="U18" s="1559"/>
      <c r="V18" s="1558"/>
      <c r="W18" s="1559"/>
      <c r="X18" s="1502"/>
      <c r="Y18" s="3328"/>
      <c r="Z18" s="1560"/>
      <c r="AA18" s="1560">
        <v>1</v>
      </c>
      <c r="AB18" s="1560">
        <v>1</v>
      </c>
      <c r="AC18" s="1560">
        <v>1</v>
      </c>
    </row>
    <row r="19" spans="1:29" ht="41.4">
      <c r="A19" s="1535"/>
      <c r="B19" s="1569" t="s">
        <v>2117</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2216"/>
      <c r="L19" s="2697"/>
      <c r="P19" s="3326"/>
      <c r="Q19" s="1454" t="str">
        <f>B19</f>
        <v>公共配套设施</v>
      </c>
      <c r="R19" s="1558" t="s">
        <v>25</v>
      </c>
      <c r="S19" s="1559">
        <f>F19</f>
        <v>100</v>
      </c>
      <c r="T19" s="1558" t="s">
        <v>25</v>
      </c>
      <c r="U19" s="1559">
        <f>H19</f>
        <v>100</v>
      </c>
      <c r="V19" s="1558" t="s">
        <v>25</v>
      </c>
      <c r="W19" s="1559">
        <f>J19</f>
        <v>100</v>
      </c>
      <c r="X19" s="1502"/>
      <c r="Y19" s="3328"/>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2217"/>
      <c r="L20" s="2697"/>
      <c r="P20" s="3326"/>
      <c r="Q20" s="1454"/>
      <c r="R20" s="1558"/>
      <c r="S20" s="1559"/>
      <c r="T20" s="1558"/>
      <c r="U20" s="1559"/>
      <c r="V20" s="1558"/>
      <c r="W20" s="1559"/>
      <c r="X20" s="1502"/>
      <c r="Y20" s="3328"/>
      <c r="Z20" s="1560"/>
      <c r="AA20" s="1560">
        <v>1</v>
      </c>
      <c r="AB20" s="1560">
        <v>1</v>
      </c>
      <c r="AC20" s="1560">
        <v>1</v>
      </c>
    </row>
    <row r="21" spans="1:29" ht="41.4">
      <c r="A21" s="1535"/>
      <c r="B21" s="1582" t="s">
        <v>2118</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2216"/>
      <c r="L21" s="2697"/>
      <c r="P21" s="3326"/>
      <c r="Q21" s="1454" t="str">
        <f>B21</f>
        <v>基础设施水平</v>
      </c>
      <c r="R21" s="1558" t="s">
        <v>25</v>
      </c>
      <c r="S21" s="1559">
        <f>F21</f>
        <v>100</v>
      </c>
      <c r="T21" s="1558" t="s">
        <v>25</v>
      </c>
      <c r="U21" s="1559">
        <f>H21</f>
        <v>100</v>
      </c>
      <c r="V21" s="1558" t="s">
        <v>25</v>
      </c>
      <c r="W21" s="1559">
        <f>J21</f>
        <v>100</v>
      </c>
      <c r="X21" s="1502"/>
      <c r="Y21" s="3328"/>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2218"/>
      <c r="L22" s="2697"/>
      <c r="P22" s="3326"/>
      <c r="Q22" s="1454"/>
      <c r="R22" s="1558"/>
      <c r="S22" s="1559"/>
      <c r="T22" s="1558"/>
      <c r="U22" s="1559"/>
      <c r="V22" s="1558"/>
      <c r="W22" s="1559"/>
      <c r="X22" s="1502"/>
      <c r="Y22" s="3328"/>
      <c r="Z22" s="1560"/>
      <c r="AA22" s="1560">
        <v>1</v>
      </c>
      <c r="AB22" s="1560">
        <v>1</v>
      </c>
      <c r="AC22" s="1560">
        <v>1</v>
      </c>
    </row>
    <row r="23" spans="1:29" ht="55.2">
      <c r="A23" s="1535"/>
      <c r="B23" s="1569" t="s">
        <v>1468</v>
      </c>
      <c r="C23" s="2219"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2216"/>
      <c r="L23" s="2697"/>
      <c r="P23" s="3326"/>
      <c r="Q23" s="1454" t="str">
        <f>B23</f>
        <v>自然及人文环境</v>
      </c>
      <c r="R23" s="1558" t="s">
        <v>25</v>
      </c>
      <c r="S23" s="1559">
        <f>F23</f>
        <v>100</v>
      </c>
      <c r="T23" s="1558" t="s">
        <v>25</v>
      </c>
      <c r="U23" s="1559">
        <f>H23</f>
        <v>100</v>
      </c>
      <c r="V23" s="1558" t="s">
        <v>25</v>
      </c>
      <c r="W23" s="1559">
        <f>J23</f>
        <v>100</v>
      </c>
      <c r="X23" s="1502"/>
      <c r="Y23" s="3328"/>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2217"/>
      <c r="L24" s="2697"/>
      <c r="P24" s="3326"/>
      <c r="Q24" s="1454"/>
      <c r="R24" s="1558"/>
      <c r="S24" s="1559"/>
      <c r="T24" s="1558"/>
      <c r="U24" s="1559"/>
      <c r="V24" s="1558"/>
      <c r="W24" s="1559"/>
      <c r="X24" s="1502"/>
      <c r="Y24" s="3328"/>
      <c r="Z24" s="1560"/>
      <c r="AA24" s="1560">
        <v>1</v>
      </c>
      <c r="AB24" s="1560">
        <v>1</v>
      </c>
      <c r="AC24" s="1560">
        <v>1</v>
      </c>
    </row>
    <row r="25" spans="1:29" ht="15">
      <c r="A25" s="1535"/>
      <c r="B25" s="1529" t="s">
        <v>2119</v>
      </c>
      <c r="C25" s="1806"/>
      <c r="D25" s="1544">
        <v>100</v>
      </c>
      <c r="E25" s="1806"/>
      <c r="F25" s="1586">
        <f>SUMIF(86:86,E25,87:87)-SUMIF(86:86,C25,87:87)+100</f>
        <v>100</v>
      </c>
      <c r="G25" s="1806"/>
      <c r="H25" s="1544">
        <f>SUMIF(86:86,G25,87:87)-SUMIF(86:86,C25,87:87)+100</f>
        <v>100</v>
      </c>
      <c r="I25" s="1806"/>
      <c r="J25" s="1544">
        <f>SUMIF(86:86,I25,87:87)-SUMIF(86:86,C25,87:87)+100</f>
        <v>100</v>
      </c>
      <c r="K25" s="1807"/>
      <c r="L25" s="2697"/>
      <c r="P25" s="3326"/>
      <c r="Q25" s="1454" t="str">
        <f t="shared" ref="Q25:Q46" si="11">B25</f>
        <v>临街状况</v>
      </c>
      <c r="R25" s="1558" t="s">
        <v>25</v>
      </c>
      <c r="S25" s="1559">
        <f>F25</f>
        <v>100</v>
      </c>
      <c r="T25" s="1558" t="s">
        <v>25</v>
      </c>
      <c r="U25" s="1559">
        <f>H25</f>
        <v>100</v>
      </c>
      <c r="V25" s="1558" t="s">
        <v>25</v>
      </c>
      <c r="W25" s="1559">
        <f>J25</f>
        <v>100</v>
      </c>
      <c r="X25" s="1502"/>
      <c r="Y25" s="3328"/>
      <c r="Z25" s="1560" t="str">
        <f>Q25</f>
        <v>临街状况</v>
      </c>
      <c r="AA25" s="1560">
        <f t="shared" si="3"/>
        <v>1</v>
      </c>
      <c r="AB25" s="1560">
        <f t="shared" si="4"/>
        <v>1</v>
      </c>
      <c r="AC25" s="1560">
        <f t="shared" si="5"/>
        <v>1</v>
      </c>
    </row>
    <row r="26" spans="1:29" ht="15">
      <c r="A26" s="1535"/>
      <c r="B26" s="1591" t="s">
        <v>2120</v>
      </c>
      <c r="C26" s="1543"/>
      <c r="D26" s="1544">
        <v>100</v>
      </c>
      <c r="E26" s="1543"/>
      <c r="F26" s="1586">
        <f>SUMIF(88:88,E26,89:89)-SUMIF(88:88,C26,89:89)+100</f>
        <v>100</v>
      </c>
      <c r="G26" s="1543"/>
      <c r="H26" s="1544">
        <f>SUMIF(88:88,G26,89:89)-SUMIF(88:88,C26,89:89)+100</f>
        <v>100</v>
      </c>
      <c r="I26" s="1543"/>
      <c r="J26" s="1544">
        <f>SUMIF(88:88,I26,89:89)-SUMIF(88:88,C26,89:89)+100</f>
        <v>100</v>
      </c>
      <c r="K26" s="1804"/>
      <c r="L26" s="2697"/>
      <c r="P26" s="3326"/>
      <c r="Q26" s="1454" t="str">
        <f t="shared" si="11"/>
        <v>平面位置/可视性</v>
      </c>
      <c r="R26" s="1558" t="s">
        <v>25</v>
      </c>
      <c r="S26" s="1559">
        <f>F26</f>
        <v>100</v>
      </c>
      <c r="T26" s="1558" t="s">
        <v>25</v>
      </c>
      <c r="U26" s="1559">
        <f>H26</f>
        <v>100</v>
      </c>
      <c r="V26" s="1558" t="s">
        <v>25</v>
      </c>
      <c r="W26" s="1559">
        <f>J26</f>
        <v>100</v>
      </c>
      <c r="X26" s="1502"/>
      <c r="Y26" s="3328"/>
      <c r="Z26" s="1560" t="str">
        <f>Q26</f>
        <v>平面位置/可视性</v>
      </c>
      <c r="AA26" s="1560">
        <f t="shared" si="3"/>
        <v>1</v>
      </c>
      <c r="AB26" s="1560">
        <f t="shared" si="4"/>
        <v>1</v>
      </c>
      <c r="AC26" s="1560">
        <f t="shared" si="5"/>
        <v>1</v>
      </c>
    </row>
    <row r="27" spans="1:29" s="1520" customFormat="1" ht="15">
      <c r="A27" s="1538"/>
      <c r="B27" s="1569" t="s">
        <v>2121</v>
      </c>
      <c r="C27" s="2220"/>
      <c r="D27" s="1588">
        <v>100</v>
      </c>
      <c r="E27" s="2220"/>
      <c r="F27" s="1575">
        <f>SUMIF(90:90,E27,91:91)-SUMIF(90:90,C27,91:91)+100</f>
        <v>100</v>
      </c>
      <c r="G27" s="2220"/>
      <c r="H27" s="1588">
        <f>SUMIF(90:90,G27,91:91)-SUMIF(90:90,C27,91:91)+100</f>
        <v>100</v>
      </c>
      <c r="I27" s="2220"/>
      <c r="J27" s="1588">
        <f>SUMIF(90:90,I27,91:91)-SUMIF(90:90,C27,91:91)+100</f>
        <v>100</v>
      </c>
      <c r="K27" s="1807"/>
      <c r="L27" s="2694"/>
      <c r="P27" s="3326"/>
      <c r="Q27" s="1472" t="str">
        <f t="shared" si="11"/>
        <v>人流量</v>
      </c>
      <c r="R27" s="1516" t="s">
        <v>25</v>
      </c>
      <c r="S27" s="1517">
        <f>F27</f>
        <v>100</v>
      </c>
      <c r="T27" s="1516" t="s">
        <v>25</v>
      </c>
      <c r="U27" s="1517">
        <f>H27</f>
        <v>100</v>
      </c>
      <c r="V27" s="1516" t="s">
        <v>25</v>
      </c>
      <c r="W27" s="1517">
        <f>J27</f>
        <v>100</v>
      </c>
      <c r="X27" s="1518"/>
      <c r="Y27" s="3328"/>
      <c r="Z27" s="1519" t="str">
        <f>Q27</f>
        <v>人流量</v>
      </c>
      <c r="AA27" s="1560">
        <f>D27/F27</f>
        <v>1</v>
      </c>
      <c r="AB27" s="1560">
        <f>D27/H27</f>
        <v>1</v>
      </c>
      <c r="AC27" s="1560">
        <f>D27/J27</f>
        <v>1</v>
      </c>
    </row>
    <row r="28" spans="1:29" ht="15">
      <c r="A28" s="1535"/>
      <c r="B28" s="1529" t="s">
        <v>2122</v>
      </c>
      <c r="C28" s="1806"/>
      <c r="D28" s="1544">
        <v>100</v>
      </c>
      <c r="E28" s="1806"/>
      <c r="F28" s="1586">
        <f>SUMIF(92:92,E28,93:93)-SUMIF(92:92,C28,93:93)+100</f>
        <v>100</v>
      </c>
      <c r="G28" s="1806"/>
      <c r="H28" s="1544">
        <f>SUMIF(92:92,G28,93:93)-SUMIF(92:92,C28,93:93)+100</f>
        <v>100</v>
      </c>
      <c r="I28" s="1806"/>
      <c r="J28" s="1544">
        <f>SUMIF(92:92,I28,93:93)-SUMIF(92:92,C28,93:93)+100</f>
        <v>100</v>
      </c>
      <c r="K28" s="1804"/>
      <c r="L28" s="2697"/>
      <c r="P28" s="3326"/>
      <c r="Q28" s="1454" t="str">
        <f t="shared" si="11"/>
        <v>楼层</v>
      </c>
      <c r="R28" s="1558" t="s">
        <v>25</v>
      </c>
      <c r="S28" s="1559">
        <f t="shared" ref="S28:S46" si="12">F28</f>
        <v>100</v>
      </c>
      <c r="T28" s="1558" t="s">
        <v>25</v>
      </c>
      <c r="U28" s="1559">
        <f t="shared" ref="U28:U46" si="13">H28</f>
        <v>100</v>
      </c>
      <c r="V28" s="1558" t="s">
        <v>25</v>
      </c>
      <c r="W28" s="1559">
        <f t="shared" ref="W28:W46" si="14">J28</f>
        <v>100</v>
      </c>
      <c r="X28" s="1502"/>
      <c r="Y28" s="3328"/>
      <c r="Z28" s="1560" t="str">
        <f t="shared" ref="Z28:Z46" si="15">Q28</f>
        <v>楼层</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804"/>
      <c r="L29" s="2697"/>
      <c r="P29" s="3326"/>
      <c r="Q29" s="1454">
        <f t="shared" si="11"/>
        <v>111</v>
      </c>
      <c r="R29" s="1558" t="s">
        <v>25</v>
      </c>
      <c r="S29" s="1559">
        <f t="shared" si="12"/>
        <v>100</v>
      </c>
      <c r="T29" s="1558" t="s">
        <v>25</v>
      </c>
      <c r="U29" s="1559">
        <f t="shared" si="13"/>
        <v>100</v>
      </c>
      <c r="V29" s="1558" t="s">
        <v>25</v>
      </c>
      <c r="W29" s="1559">
        <f t="shared" si="14"/>
        <v>100</v>
      </c>
      <c r="X29" s="1502"/>
      <c r="Y29" s="3328"/>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804"/>
      <c r="L30" s="2697"/>
      <c r="P30" s="3326"/>
      <c r="Q30" s="1454">
        <f t="shared" si="11"/>
        <v>111</v>
      </c>
      <c r="R30" s="1558" t="s">
        <v>25</v>
      </c>
      <c r="S30" s="1559">
        <f t="shared" si="12"/>
        <v>100</v>
      </c>
      <c r="T30" s="1558" t="s">
        <v>25</v>
      </c>
      <c r="U30" s="1559">
        <f t="shared" si="13"/>
        <v>100</v>
      </c>
      <c r="V30" s="1558" t="s">
        <v>25</v>
      </c>
      <c r="W30" s="1559">
        <f t="shared" si="14"/>
        <v>100</v>
      </c>
      <c r="X30" s="1502"/>
      <c r="Y30" s="3328"/>
      <c r="Z30" s="1560">
        <f t="shared" si="15"/>
        <v>111</v>
      </c>
      <c r="AA30" s="1560">
        <f t="shared" si="3"/>
        <v>1</v>
      </c>
      <c r="AB30" s="1560">
        <f t="shared" si="4"/>
        <v>1</v>
      </c>
      <c r="AC30" s="1560">
        <f t="shared" si="5"/>
        <v>1</v>
      </c>
    </row>
    <row r="31" spans="1:29" ht="15.6" thickBot="1">
      <c r="A31" s="1545"/>
      <c r="B31" s="1591">
        <v>111</v>
      </c>
      <c r="C31" s="1547"/>
      <c r="D31" s="1548">
        <v>100</v>
      </c>
      <c r="E31" s="1543"/>
      <c r="F31" s="1549">
        <f>SUMIF(98:98,E31,99:99)-SUMIF(98:98,C31,99:99)+100</f>
        <v>100</v>
      </c>
      <c r="G31" s="1543"/>
      <c r="H31" s="1548">
        <f>SUMIF(98:98,G31,99:99)-SUMIF(98:98,C31,99:99)+100</f>
        <v>100</v>
      </c>
      <c r="I31" s="1543"/>
      <c r="J31" s="1548">
        <f>SUMIF(98:98,I31,99:99)-SUMIF(98:98,C31,99:99)+100</f>
        <v>100</v>
      </c>
      <c r="K31" s="1804"/>
      <c r="L31" s="2697"/>
      <c r="P31" s="3326"/>
      <c r="Q31" s="1454">
        <f t="shared" si="11"/>
        <v>111</v>
      </c>
      <c r="R31" s="1558" t="s">
        <v>25</v>
      </c>
      <c r="S31" s="1559">
        <f t="shared" si="12"/>
        <v>100</v>
      </c>
      <c r="T31" s="1558" t="s">
        <v>25</v>
      </c>
      <c r="U31" s="1559">
        <f t="shared" si="13"/>
        <v>100</v>
      </c>
      <c r="V31" s="1558" t="s">
        <v>25</v>
      </c>
      <c r="W31" s="1559">
        <f t="shared" si="14"/>
        <v>100</v>
      </c>
      <c r="X31" s="1502"/>
      <c r="Y31" s="3328"/>
      <c r="Z31" s="1560">
        <f t="shared" si="15"/>
        <v>111</v>
      </c>
      <c r="AA31" s="1560">
        <f t="shared" si="3"/>
        <v>1</v>
      </c>
      <c r="AB31" s="1560">
        <f t="shared" si="4"/>
        <v>1</v>
      </c>
      <c r="AC31" s="1560">
        <f t="shared" si="5"/>
        <v>1</v>
      </c>
    </row>
    <row r="32" spans="1:29" ht="15">
      <c r="A32" s="1550" t="s">
        <v>2035</v>
      </c>
      <c r="B32" s="1523" t="s">
        <v>2123</v>
      </c>
      <c r="C32" s="1592"/>
      <c r="D32" s="1593">
        <v>100</v>
      </c>
      <c r="E32" s="1592"/>
      <c r="F32" s="1586">
        <f>SUMIF(100:100,E32,101:101)-SUMIF(100:100,C32,101:101)+100</f>
        <v>100</v>
      </c>
      <c r="G32" s="1592"/>
      <c r="H32" s="1544">
        <f>SUMIF(100:100,G32,101:101)-SUMIF(100:100,C32,101:101)+100</f>
        <v>100</v>
      </c>
      <c r="I32" s="1592"/>
      <c r="J32" s="1593">
        <f>SUMIF(100:100,I32,101:101)-SUMIF(100:100,C32,101:101)+100</f>
        <v>100</v>
      </c>
      <c r="K32" s="1807"/>
      <c r="L32" s="2697"/>
      <c r="P32" s="3329" t="s">
        <v>2037</v>
      </c>
      <c r="Q32" s="1454" t="str">
        <f t="shared" si="11"/>
        <v>商业类型</v>
      </c>
      <c r="R32" s="1558" t="s">
        <v>25</v>
      </c>
      <c r="S32" s="1559">
        <f t="shared" si="12"/>
        <v>100</v>
      </c>
      <c r="T32" s="1558" t="s">
        <v>25</v>
      </c>
      <c r="U32" s="1559">
        <f t="shared" si="13"/>
        <v>100</v>
      </c>
      <c r="V32" s="1558" t="s">
        <v>25</v>
      </c>
      <c r="W32" s="1559">
        <f t="shared" si="14"/>
        <v>100</v>
      </c>
      <c r="X32" s="1502"/>
      <c r="Y32" s="3332" t="s">
        <v>2037</v>
      </c>
      <c r="Z32" s="1560" t="str">
        <f t="shared" si="15"/>
        <v>商业类型</v>
      </c>
      <c r="AA32" s="1560">
        <f t="shared" si="3"/>
        <v>1</v>
      </c>
      <c r="AB32" s="1560">
        <f t="shared" si="4"/>
        <v>1</v>
      </c>
      <c r="AC32" s="1560">
        <f t="shared" si="5"/>
        <v>1</v>
      </c>
    </row>
    <row r="33" spans="1:29" s="1601" customFormat="1" ht="15">
      <c r="A33" s="1595"/>
      <c r="B33" s="1529" t="s">
        <v>2038</v>
      </c>
      <c r="C33" s="1596"/>
      <c r="D33" s="1531">
        <v>100</v>
      </c>
      <c r="E33" s="1537"/>
      <c r="F33" s="1529" t="e">
        <f>LOOKUP(E33,103:103,104:104)-LOOKUP(C33,103:103,104:104)+100</f>
        <v>#N/A</v>
      </c>
      <c r="G33" s="1536"/>
      <c r="H33" s="1531" t="e">
        <f>LOOKUP(G33,103:103,104:104)-LOOKUP(C33,103:103,104:104)+100</f>
        <v>#N/A</v>
      </c>
      <c r="I33" s="1536"/>
      <c r="J33" s="1531" t="e">
        <f>LOOKUP(I33,103:103,104:104)-LOOKUP(C33,103:103,104:104)+100</f>
        <v>#N/A</v>
      </c>
      <c r="K33" s="1804"/>
      <c r="L33" s="2696"/>
      <c r="P33" s="3330"/>
      <c r="Q33" s="478" t="str">
        <f t="shared" si="11"/>
        <v>项目建筑规模</v>
      </c>
      <c r="R33" s="1597" t="s">
        <v>25</v>
      </c>
      <c r="S33" s="1598" t="e">
        <f t="shared" si="12"/>
        <v>#N/A</v>
      </c>
      <c r="T33" s="1597" t="s">
        <v>25</v>
      </c>
      <c r="U33" s="1598" t="e">
        <f t="shared" si="13"/>
        <v>#N/A</v>
      </c>
      <c r="V33" s="1597" t="s">
        <v>25</v>
      </c>
      <c r="W33" s="1598" t="e">
        <f t="shared" si="14"/>
        <v>#N/A</v>
      </c>
      <c r="X33" s="1599"/>
      <c r="Y33" s="3332"/>
      <c r="Z33" s="1600" t="str">
        <f t="shared" si="15"/>
        <v>项目建筑规模</v>
      </c>
      <c r="AA33" s="1560" t="e">
        <f t="shared" si="3"/>
        <v>#N/A</v>
      </c>
      <c r="AB33" s="1560" t="e">
        <f t="shared" si="4"/>
        <v>#N/A</v>
      </c>
      <c r="AC33" s="1560" t="e">
        <f t="shared" si="5"/>
        <v>#N/A</v>
      </c>
    </row>
    <row r="34" spans="1:29" ht="15">
      <c r="A34" s="1602"/>
      <c r="B34" s="1529" t="s">
        <v>2039</v>
      </c>
      <c r="C34" s="1584"/>
      <c r="D34" s="1544">
        <v>100</v>
      </c>
      <c r="E34" s="1603"/>
      <c r="F34" s="1586">
        <f>SUMIF(105:105,E34,106:106)-SUMIF(105:105,C34,106:106)+100</f>
        <v>100</v>
      </c>
      <c r="G34" s="1584"/>
      <c r="H34" s="1544">
        <f>SUMIF(105:105,G34,106:106)-SUMIF(105:105,C34,106:106)+100</f>
        <v>100</v>
      </c>
      <c r="I34" s="1584"/>
      <c r="J34" s="1544">
        <f>SUMIF(105:105,I34,106:106)-SUMIF(105:105,C34,106:106)+100</f>
        <v>100</v>
      </c>
      <c r="K34" s="1807"/>
      <c r="L34" s="2697"/>
      <c r="P34" s="3330"/>
      <c r="Q34" s="1454" t="str">
        <f t="shared" si="11"/>
        <v>建筑结构</v>
      </c>
      <c r="R34" s="1558" t="s">
        <v>25</v>
      </c>
      <c r="S34" s="1559">
        <f t="shared" si="12"/>
        <v>100</v>
      </c>
      <c r="T34" s="1558" t="s">
        <v>25</v>
      </c>
      <c r="U34" s="1559">
        <f t="shared" si="13"/>
        <v>100</v>
      </c>
      <c r="V34" s="1558" t="s">
        <v>25</v>
      </c>
      <c r="W34" s="1559">
        <f t="shared" si="14"/>
        <v>100</v>
      </c>
      <c r="X34" s="1502"/>
      <c r="Y34" s="3332"/>
      <c r="Z34" s="1560" t="str">
        <f t="shared" si="15"/>
        <v>建筑结构</v>
      </c>
      <c r="AA34" s="1560">
        <f t="shared" si="3"/>
        <v>1</v>
      </c>
      <c r="AB34" s="1560">
        <f t="shared" si="4"/>
        <v>1</v>
      </c>
      <c r="AC34" s="1560">
        <f t="shared" si="5"/>
        <v>1</v>
      </c>
    </row>
    <row r="35" spans="1:29" ht="15">
      <c r="A35" s="1602"/>
      <c r="B35" s="1529" t="s">
        <v>2124</v>
      </c>
      <c r="C35" s="1587"/>
      <c r="D35" s="1544">
        <v>100</v>
      </c>
      <c r="E35" s="1587"/>
      <c r="F35" s="1586">
        <f>SUMIF(107:107,E35,108:108)-SUMIF(107:107,C35,108:108)+100</f>
        <v>100</v>
      </c>
      <c r="G35" s="1587"/>
      <c r="H35" s="1544">
        <f>SUMIF(107:107,G35,108:108)-SUMIF(107:107,C35,108:108)+100</f>
        <v>100</v>
      </c>
      <c r="I35" s="1587"/>
      <c r="J35" s="1544">
        <f>SUMIF(107:107,I35,108:108)-SUMIF(107:107,C35,108:108)+100</f>
        <v>100</v>
      </c>
      <c r="K35" s="1807"/>
      <c r="L35" s="2697"/>
      <c r="P35" s="3330"/>
      <c r="Q35" s="1454" t="str">
        <f t="shared" si="11"/>
        <v>公共部分装修</v>
      </c>
      <c r="R35" s="1558" t="s">
        <v>25</v>
      </c>
      <c r="S35" s="1559">
        <f t="shared" si="12"/>
        <v>100</v>
      </c>
      <c r="T35" s="1558" t="s">
        <v>25</v>
      </c>
      <c r="U35" s="1559">
        <f t="shared" si="13"/>
        <v>100</v>
      </c>
      <c r="V35" s="1558" t="s">
        <v>25</v>
      </c>
      <c r="W35" s="1559">
        <f t="shared" si="14"/>
        <v>100</v>
      </c>
      <c r="X35" s="1502"/>
      <c r="Y35" s="3332"/>
      <c r="Z35" s="1560" t="str">
        <f t="shared" si="15"/>
        <v>公共部分装修</v>
      </c>
      <c r="AA35" s="1560">
        <f t="shared" si="3"/>
        <v>1</v>
      </c>
      <c r="AB35" s="1560">
        <f t="shared" si="4"/>
        <v>1</v>
      </c>
      <c r="AC35" s="1560">
        <f t="shared" si="5"/>
        <v>1</v>
      </c>
    </row>
    <row r="36" spans="1:29" ht="15">
      <c r="A36" s="1602"/>
      <c r="B36" s="1529" t="s">
        <v>2125</v>
      </c>
      <c r="C36" s="1605"/>
      <c r="D36" s="1544">
        <v>100</v>
      </c>
      <c r="E36" s="1605"/>
      <c r="F36" s="1586" t="e">
        <f>LOOKUP(E36,110:110,111:111)-LOOKUP(C36,110:110,111:111)+100</f>
        <v>#N/A</v>
      </c>
      <c r="G36" s="1605"/>
      <c r="H36" s="1586" t="e">
        <f>LOOKUP(G36,110:110,111:111)-LOOKUP(C36,110:110,111:111)+100</f>
        <v>#N/A</v>
      </c>
      <c r="I36" s="1605"/>
      <c r="J36" s="1544" t="e">
        <f>LOOKUP(I36,110:110,111:111)-LOOKUP(C36,110:110,111:111)+100</f>
        <v>#N/A</v>
      </c>
      <c r="K36" s="1807"/>
      <c r="L36" s="2697"/>
      <c r="P36" s="3330"/>
      <c r="Q36" s="1454" t="str">
        <f t="shared" si="11"/>
        <v>成新度</v>
      </c>
      <c r="R36" s="1558" t="s">
        <v>25</v>
      </c>
      <c r="S36" s="1559" t="e">
        <f t="shared" si="12"/>
        <v>#N/A</v>
      </c>
      <c r="T36" s="1558" t="s">
        <v>25</v>
      </c>
      <c r="U36" s="1559" t="e">
        <f t="shared" si="13"/>
        <v>#N/A</v>
      </c>
      <c r="V36" s="1558" t="s">
        <v>25</v>
      </c>
      <c r="W36" s="1559" t="e">
        <f t="shared" si="14"/>
        <v>#N/A</v>
      </c>
      <c r="X36" s="1502"/>
      <c r="Y36" s="3332"/>
      <c r="Z36" s="1560" t="str">
        <f t="shared" si="15"/>
        <v>成新度</v>
      </c>
      <c r="AA36" s="1560" t="e">
        <f t="shared" si="3"/>
        <v>#N/A</v>
      </c>
      <c r="AB36" s="1560" t="e">
        <f t="shared" si="4"/>
        <v>#N/A</v>
      </c>
      <c r="AC36" s="1560" t="e">
        <f t="shared" si="5"/>
        <v>#N/A</v>
      </c>
    </row>
    <row r="37" spans="1:29" s="1520" customFormat="1" ht="15">
      <c r="A37" s="1604"/>
      <c r="B37" s="1529" t="s">
        <v>2126</v>
      </c>
      <c r="C37" s="1587"/>
      <c r="D37" s="1531">
        <v>100</v>
      </c>
      <c r="E37" s="1587"/>
      <c r="F37" s="1586">
        <f>SUMIF(112:112,E37,113:113)-SUMIF(112:112,C37,113:113)+100</f>
        <v>100</v>
      </c>
      <c r="G37" s="1587"/>
      <c r="H37" s="1544">
        <f>SUMIF(112:112,G37,113:113)-SUMIF(112:112,C37,113:113)+100</f>
        <v>100</v>
      </c>
      <c r="I37" s="1587"/>
      <c r="J37" s="1544">
        <f>SUMIF(112:112,I37,113:113)-SUMIF(112:112,C37,113:113)+100</f>
        <v>100</v>
      </c>
      <c r="K37" s="1807"/>
      <c r="L37" s="2694"/>
      <c r="P37" s="3330"/>
      <c r="Q37" s="1472" t="str">
        <f t="shared" si="11"/>
        <v>市政基础设施</v>
      </c>
      <c r="R37" s="1516" t="s">
        <v>25</v>
      </c>
      <c r="S37" s="1517">
        <f t="shared" si="12"/>
        <v>100</v>
      </c>
      <c r="T37" s="1516" t="s">
        <v>25</v>
      </c>
      <c r="U37" s="1517">
        <f t="shared" si="13"/>
        <v>100</v>
      </c>
      <c r="V37" s="1516" t="s">
        <v>25</v>
      </c>
      <c r="W37" s="1517">
        <f t="shared" si="14"/>
        <v>100</v>
      </c>
      <c r="X37" s="1518"/>
      <c r="Y37" s="3332"/>
      <c r="Z37" s="1519" t="str">
        <f t="shared" si="15"/>
        <v>市政基础设施</v>
      </c>
      <c r="AA37" s="1519">
        <f t="shared" si="3"/>
        <v>1</v>
      </c>
      <c r="AB37" s="1519">
        <f t="shared" si="4"/>
        <v>1</v>
      </c>
      <c r="AC37" s="1519">
        <f t="shared" si="5"/>
        <v>1</v>
      </c>
    </row>
    <row r="38" spans="1:29" ht="15">
      <c r="A38" s="1602"/>
      <c r="B38" s="1529" t="s">
        <v>2127</v>
      </c>
      <c r="C38" s="1587"/>
      <c r="D38" s="1544">
        <v>100</v>
      </c>
      <c r="E38" s="1587"/>
      <c r="F38" s="1586">
        <f>SUMIF(114:114,E38,115:115)-SUMIF(114:114,C38,115:115)+100</f>
        <v>100</v>
      </c>
      <c r="G38" s="1587"/>
      <c r="H38" s="1544">
        <f>SUMIF(114:114,G38,115:115)-SUMIF(114:114,C38,115:115)+100</f>
        <v>100</v>
      </c>
      <c r="I38" s="1587"/>
      <c r="J38" s="1544">
        <f>SUMIF(114:114,I38,115:115)-SUMIF(114:114,C38,115:115)+100</f>
        <v>100</v>
      </c>
      <c r="K38" s="1807"/>
      <c r="L38" s="2697"/>
      <c r="P38" s="3330" t="s">
        <v>2037</v>
      </c>
      <c r="Q38" s="1454" t="str">
        <f t="shared" si="11"/>
        <v>业态</v>
      </c>
      <c r="R38" s="1558" t="s">
        <v>25</v>
      </c>
      <c r="S38" s="1559">
        <f t="shared" si="12"/>
        <v>100</v>
      </c>
      <c r="T38" s="1558" t="s">
        <v>25</v>
      </c>
      <c r="U38" s="1559">
        <f t="shared" si="13"/>
        <v>100</v>
      </c>
      <c r="V38" s="1558" t="s">
        <v>25</v>
      </c>
      <c r="W38" s="1559">
        <f t="shared" si="14"/>
        <v>100</v>
      </c>
      <c r="X38" s="1502"/>
      <c r="Y38" s="3332" t="s">
        <v>2037</v>
      </c>
      <c r="Z38" s="1560" t="str">
        <f t="shared" si="15"/>
        <v>业态</v>
      </c>
      <c r="AA38" s="1560">
        <f t="shared" si="3"/>
        <v>1</v>
      </c>
      <c r="AB38" s="1560">
        <f t="shared" si="4"/>
        <v>1</v>
      </c>
      <c r="AC38" s="1560">
        <f t="shared" si="5"/>
        <v>1</v>
      </c>
    </row>
    <row r="39" spans="1:29" ht="15">
      <c r="A39" s="1602"/>
      <c r="B39" s="1529" t="s">
        <v>2128</v>
      </c>
      <c r="C39" s="1587"/>
      <c r="D39" s="1544">
        <v>100</v>
      </c>
      <c r="E39" s="1587"/>
      <c r="F39" s="1586">
        <f>SUMIF(116:116,E39,117:117)-SUMIF(116:116,C39,117:117)+100</f>
        <v>100</v>
      </c>
      <c r="G39" s="1587"/>
      <c r="H39" s="1544">
        <f>SUMIF(116:116,G39,117:117)-SUMIF(116:116,C39,117:117)+100</f>
        <v>100</v>
      </c>
      <c r="I39" s="1587"/>
      <c r="J39" s="1544">
        <f>SUMIF(116:116,I39,117:117)-SUMIF(116:116,C39,117:117)+100</f>
        <v>100</v>
      </c>
      <c r="K39" s="1807"/>
      <c r="L39" s="2697"/>
      <c r="P39" s="3330"/>
      <c r="Q39" s="1454" t="str">
        <f t="shared" si="11"/>
        <v>层高</v>
      </c>
      <c r="R39" s="1558" t="s">
        <v>25</v>
      </c>
      <c r="S39" s="1559">
        <f t="shared" si="12"/>
        <v>100</v>
      </c>
      <c r="T39" s="1558" t="s">
        <v>25</v>
      </c>
      <c r="U39" s="1559">
        <f t="shared" si="13"/>
        <v>100</v>
      </c>
      <c r="V39" s="1558" t="s">
        <v>25</v>
      </c>
      <c r="W39" s="1559">
        <f t="shared" si="14"/>
        <v>100</v>
      </c>
      <c r="X39" s="1502"/>
      <c r="Y39" s="3332"/>
      <c r="Z39" s="1560" t="str">
        <f t="shared" si="15"/>
        <v>层高</v>
      </c>
      <c r="AA39" s="1560">
        <f t="shared" si="3"/>
        <v>1</v>
      </c>
      <c r="AB39" s="1560">
        <f t="shared" si="4"/>
        <v>1</v>
      </c>
      <c r="AC39" s="1560">
        <f t="shared" si="5"/>
        <v>1</v>
      </c>
    </row>
    <row r="40" spans="1:29" ht="15">
      <c r="A40" s="1602"/>
      <c r="B40" s="1529" t="s">
        <v>2129</v>
      </c>
      <c r="C40" s="2221"/>
      <c r="D40" s="1544">
        <v>100</v>
      </c>
      <c r="E40" s="2222"/>
      <c r="F40" s="1586">
        <f>SUMIF(118:118,E40,119:119)-SUMIF(118:118,C40,119:119)+100</f>
        <v>100</v>
      </c>
      <c r="G40" s="2222"/>
      <c r="H40" s="1544">
        <f>SUMIF(118:118,G40,119:119)-SUMIF(118:118,C40,119:119)+100</f>
        <v>100</v>
      </c>
      <c r="I40" s="2222"/>
      <c r="J40" s="1544">
        <f>SUMIF(118:118,I40,119:119)-SUMIF(118:118,C40,119:119)+100</f>
        <v>100</v>
      </c>
      <c r="K40" s="1804"/>
      <c r="L40" s="2697"/>
      <c r="P40" s="3330"/>
      <c r="Q40" s="1454" t="str">
        <f t="shared" si="11"/>
        <v>单套建筑面积</v>
      </c>
      <c r="R40" s="1558" t="s">
        <v>25</v>
      </c>
      <c r="S40" s="1559">
        <f t="shared" si="12"/>
        <v>100</v>
      </c>
      <c r="T40" s="1558" t="s">
        <v>25</v>
      </c>
      <c r="U40" s="1559">
        <f t="shared" si="13"/>
        <v>100</v>
      </c>
      <c r="V40" s="1558" t="s">
        <v>25</v>
      </c>
      <c r="W40" s="1559">
        <f t="shared" si="14"/>
        <v>100</v>
      </c>
      <c r="X40" s="1502"/>
      <c r="Y40" s="3332"/>
      <c r="Z40" s="1560" t="str">
        <f t="shared" si="15"/>
        <v>单套建筑面积</v>
      </c>
      <c r="AA40" s="1560">
        <f t="shared" si="3"/>
        <v>1</v>
      </c>
      <c r="AB40" s="1560">
        <f t="shared" si="4"/>
        <v>1</v>
      </c>
      <c r="AC40" s="1560">
        <f t="shared" si="5"/>
        <v>1</v>
      </c>
    </row>
    <row r="41" spans="1:29" s="1601" customFormat="1" ht="15">
      <c r="A41" s="1595"/>
      <c r="B41" s="1586" t="s">
        <v>2130</v>
      </c>
      <c r="C41" s="1806"/>
      <c r="D41" s="1544">
        <v>100</v>
      </c>
      <c r="E41" s="1806"/>
      <c r="F41" s="1586">
        <f>SUMIF(120:120,E41,121:121)-SUMIF(120:120,C41,121:121)+100</f>
        <v>100</v>
      </c>
      <c r="G41" s="1806"/>
      <c r="H41" s="1544">
        <f>SUMIF(120:120,G41,121:121)-SUMIF(120:120,C41,121:121)+100</f>
        <v>100</v>
      </c>
      <c r="I41" s="1806"/>
      <c r="J41" s="1544">
        <f>SUMIF(120:120,I41,121:121)-SUMIF(120:120,C41,121:121)+100</f>
        <v>100</v>
      </c>
      <c r="K41" s="1807"/>
      <c r="L41" s="2696"/>
      <c r="P41" s="3330"/>
      <c r="Q41" s="478" t="str">
        <f t="shared" si="11"/>
        <v>进深比</v>
      </c>
      <c r="R41" s="1597" t="s">
        <v>25</v>
      </c>
      <c r="S41" s="1598">
        <f t="shared" si="12"/>
        <v>100</v>
      </c>
      <c r="T41" s="1597" t="s">
        <v>25</v>
      </c>
      <c r="U41" s="1598">
        <f t="shared" si="13"/>
        <v>100</v>
      </c>
      <c r="V41" s="1597" t="s">
        <v>25</v>
      </c>
      <c r="W41" s="1598">
        <f t="shared" si="14"/>
        <v>100</v>
      </c>
      <c r="X41" s="1599"/>
      <c r="Y41" s="3332"/>
      <c r="Z41" s="1600" t="str">
        <f t="shared" si="15"/>
        <v>进深比</v>
      </c>
      <c r="AA41" s="1560">
        <f t="shared" si="3"/>
        <v>1</v>
      </c>
      <c r="AB41" s="1560">
        <f t="shared" si="4"/>
        <v>1</v>
      </c>
      <c r="AC41" s="1560">
        <f t="shared" si="5"/>
        <v>1</v>
      </c>
    </row>
    <row r="42" spans="1:29" ht="15">
      <c r="A42" s="1602"/>
      <c r="B42" s="1529" t="s">
        <v>2131</v>
      </c>
      <c r="C42" s="1587"/>
      <c r="D42" s="1544">
        <v>100</v>
      </c>
      <c r="E42" s="1587"/>
      <c r="F42" s="1586">
        <f>SUMIF(122:122,E42,123:123)-SUMIF(122:122,C42,123:123)+100</f>
        <v>100</v>
      </c>
      <c r="G42" s="1587"/>
      <c r="H42" s="1544">
        <f>SUMIF(122:122,G42,123:123)-SUMIF(122:122,C42,123:123)+100</f>
        <v>100</v>
      </c>
      <c r="I42" s="1587"/>
      <c r="J42" s="1544">
        <f>SUMIF(122:122,I42,123:123)-SUMIF(122:122,C42,123:123)+100</f>
        <v>100</v>
      </c>
      <c r="K42" s="1807"/>
      <c r="L42" s="2697"/>
      <c r="P42" s="3330"/>
      <c r="Q42" s="1454" t="str">
        <f t="shared" si="11"/>
        <v>内部装修</v>
      </c>
      <c r="R42" s="1558" t="s">
        <v>25</v>
      </c>
      <c r="S42" s="1559">
        <f t="shared" si="12"/>
        <v>100</v>
      </c>
      <c r="T42" s="1558" t="s">
        <v>25</v>
      </c>
      <c r="U42" s="1559">
        <f t="shared" si="13"/>
        <v>100</v>
      </c>
      <c r="V42" s="1558" t="s">
        <v>25</v>
      </c>
      <c r="W42" s="1559">
        <f t="shared" si="14"/>
        <v>100</v>
      </c>
      <c r="X42" s="1502"/>
      <c r="Y42" s="3332"/>
      <c r="Z42" s="1560" t="str">
        <f t="shared" si="15"/>
        <v>内部装修</v>
      </c>
      <c r="AA42" s="1560">
        <f t="shared" si="3"/>
        <v>1</v>
      </c>
      <c r="AB42" s="1560">
        <f t="shared" si="4"/>
        <v>1</v>
      </c>
      <c r="AC42" s="1560">
        <f t="shared" si="5"/>
        <v>1</v>
      </c>
    </row>
    <row r="43" spans="1:29" ht="28.8">
      <c r="A43" s="1602"/>
      <c r="B43" s="1529" t="s">
        <v>2048</v>
      </c>
      <c r="C43" s="1587"/>
      <c r="D43" s="1544">
        <v>100</v>
      </c>
      <c r="E43" s="1587"/>
      <c r="F43" s="1586">
        <f>SUMIF(124:124,E43,125:125)-SUMIF(124:124,C43,125:125)+100</f>
        <v>100</v>
      </c>
      <c r="G43" s="1587"/>
      <c r="H43" s="1544">
        <f>SUMIF(124:124,G43,125:125)-SUMIF(124:124,C43,125:125)+100</f>
        <v>100</v>
      </c>
      <c r="I43" s="1587"/>
      <c r="J43" s="1544">
        <f>SUMIF(124:124,I43,125:125)-SUMIF(124:124,C43,125:125)+100</f>
        <v>100</v>
      </c>
      <c r="K43" s="1807"/>
      <c r="L43" s="2697"/>
      <c r="P43" s="3330"/>
      <c r="Q43" s="1454" t="str">
        <f t="shared" si="11"/>
        <v>内部装修维护情况</v>
      </c>
      <c r="R43" s="1558" t="s">
        <v>25</v>
      </c>
      <c r="S43" s="1559">
        <f t="shared" si="12"/>
        <v>100</v>
      </c>
      <c r="T43" s="1558" t="s">
        <v>25</v>
      </c>
      <c r="U43" s="1559">
        <f t="shared" si="13"/>
        <v>100</v>
      </c>
      <c r="V43" s="1558" t="s">
        <v>25</v>
      </c>
      <c r="W43" s="1559">
        <f t="shared" si="14"/>
        <v>100</v>
      </c>
      <c r="X43" s="1502"/>
      <c r="Y43" s="3332"/>
      <c r="Z43" s="1560" t="str">
        <f t="shared" si="15"/>
        <v>内部装修维护情况</v>
      </c>
      <c r="AA43" s="1560">
        <f t="shared" si="3"/>
        <v>1</v>
      </c>
      <c r="AB43" s="1560">
        <f t="shared" si="4"/>
        <v>1</v>
      </c>
      <c r="AC43" s="1560">
        <f t="shared" si="5"/>
        <v>1</v>
      </c>
    </row>
    <row r="44" spans="1:29" s="1520" customFormat="1" ht="15">
      <c r="A44" s="1604"/>
      <c r="B44" s="1591">
        <v>111</v>
      </c>
      <c r="C44" s="1596"/>
      <c r="D44" s="1531">
        <v>100</v>
      </c>
      <c r="E44" s="1543"/>
      <c r="F44" s="1529">
        <f>SUMIF(126:126,E44,127:127)-SUMIF(126:126,C44,127:127)+100</f>
        <v>100</v>
      </c>
      <c r="G44" s="1543"/>
      <c r="H44" s="1531">
        <f>SUMIF(126:126,G44,127:127)-SUMIF(126:126,C44,127:127)+100</f>
        <v>100</v>
      </c>
      <c r="I44" s="1543"/>
      <c r="J44" s="1531">
        <f>SUMIF(126:126,I44,127:127)-SUMIF(126:126,C44,127:127)+100</f>
        <v>100</v>
      </c>
      <c r="K44" s="1804"/>
      <c r="L44" s="2694"/>
      <c r="P44" s="3330"/>
      <c r="Q44" s="1472">
        <f t="shared" si="11"/>
        <v>111</v>
      </c>
      <c r="R44" s="1516" t="s">
        <v>25</v>
      </c>
      <c r="S44" s="1517">
        <f t="shared" si="12"/>
        <v>100</v>
      </c>
      <c r="T44" s="1516" t="s">
        <v>25</v>
      </c>
      <c r="U44" s="1517">
        <f t="shared" si="13"/>
        <v>100</v>
      </c>
      <c r="V44" s="1516" t="s">
        <v>25</v>
      </c>
      <c r="W44" s="1517">
        <f t="shared" si="14"/>
        <v>100</v>
      </c>
      <c r="X44" s="1518"/>
      <c r="Y44" s="3332"/>
      <c r="Z44" s="1519">
        <f t="shared" si="15"/>
        <v>111</v>
      </c>
      <c r="AA44" s="1519">
        <f t="shared" si="3"/>
        <v>1</v>
      </c>
      <c r="AB44" s="1519">
        <f t="shared" si="4"/>
        <v>1</v>
      </c>
      <c r="AC44" s="1519">
        <f t="shared" si="5"/>
        <v>1</v>
      </c>
    </row>
    <row r="45" spans="1:29" ht="15">
      <c r="A45" s="1602"/>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804"/>
      <c r="L45" s="2697"/>
      <c r="P45" s="3330"/>
      <c r="Q45" s="1454">
        <f t="shared" si="11"/>
        <v>111</v>
      </c>
      <c r="R45" s="1558" t="s">
        <v>25</v>
      </c>
      <c r="S45" s="1559">
        <f t="shared" si="12"/>
        <v>100</v>
      </c>
      <c r="T45" s="1558" t="s">
        <v>25</v>
      </c>
      <c r="U45" s="1559">
        <f t="shared" si="13"/>
        <v>100</v>
      </c>
      <c r="V45" s="1558" t="s">
        <v>25</v>
      </c>
      <c r="W45" s="1559">
        <f t="shared" si="14"/>
        <v>100</v>
      </c>
      <c r="X45" s="1502"/>
      <c r="Y45" s="3332"/>
      <c r="Z45" s="1560">
        <f t="shared" si="15"/>
        <v>111</v>
      </c>
      <c r="AA45" s="1560">
        <f t="shared" si="3"/>
        <v>1</v>
      </c>
      <c r="AB45" s="1560">
        <f t="shared" si="4"/>
        <v>1</v>
      </c>
      <c r="AC45" s="1560">
        <f t="shared" si="5"/>
        <v>1</v>
      </c>
    </row>
    <row r="46" spans="1:29" ht="15.6" thickBot="1">
      <c r="A46" s="1609"/>
      <c r="B46" s="1546">
        <v>111</v>
      </c>
      <c r="C46" s="1547"/>
      <c r="D46" s="1548">
        <v>100</v>
      </c>
      <c r="E46" s="1543"/>
      <c r="F46" s="1549">
        <f>SUMIF(130:130,E46,131:131)-SUMIF(130:130,C46,131:131)+100</f>
        <v>100</v>
      </c>
      <c r="G46" s="1543"/>
      <c r="H46" s="1548">
        <f>SUMIF(130:130,G46,131:131)-SUMIF(130:130,C46,131:131)+100</f>
        <v>100</v>
      </c>
      <c r="I46" s="1543"/>
      <c r="J46" s="1548">
        <f>SUMIF(130:130,I46,131:131)-SUMIF(130:130,C46,131:131)+100</f>
        <v>100</v>
      </c>
      <c r="K46" s="1804"/>
      <c r="L46" s="2697"/>
      <c r="P46" s="3331"/>
      <c r="Q46" s="1454">
        <f t="shared" si="11"/>
        <v>111</v>
      </c>
      <c r="R46" s="1558" t="s">
        <v>25</v>
      </c>
      <c r="S46" s="1559">
        <f t="shared" si="12"/>
        <v>100</v>
      </c>
      <c r="T46" s="1558" t="s">
        <v>25</v>
      </c>
      <c r="U46" s="1559">
        <f t="shared" si="13"/>
        <v>100</v>
      </c>
      <c r="V46" s="1558" t="s">
        <v>25</v>
      </c>
      <c r="W46" s="1559">
        <f t="shared" si="14"/>
        <v>100</v>
      </c>
      <c r="X46" s="1502"/>
      <c r="Y46" s="3333"/>
      <c r="Z46" s="1560">
        <f t="shared" si="15"/>
        <v>111</v>
      </c>
      <c r="AA46" s="1560">
        <f t="shared" si="3"/>
        <v>1</v>
      </c>
      <c r="AB46" s="1560">
        <f t="shared" si="4"/>
        <v>1</v>
      </c>
      <c r="AC46" s="1560">
        <f t="shared" si="5"/>
        <v>1</v>
      </c>
    </row>
    <row r="47" spans="1:29" ht="14.4">
      <c r="A47" s="1610" t="s">
        <v>2049</v>
      </c>
      <c r="B47" s="1611"/>
      <c r="C47" s="1612" t="s">
        <v>1</v>
      </c>
      <c r="D47" s="1613"/>
      <c r="E47" s="1614"/>
      <c r="F47" s="1615"/>
      <c r="G47" s="1616"/>
      <c r="H47" s="1617"/>
      <c r="I47" s="1614"/>
      <c r="J47" s="1617"/>
      <c r="K47" s="1823"/>
      <c r="L47" s="2698"/>
      <c r="P47" s="3324" t="str">
        <f>A47</f>
        <v>成交单价（元/平方米）</v>
      </c>
      <c r="Q47" s="3324"/>
      <c r="R47" s="3320">
        <f>E47</f>
        <v>0</v>
      </c>
      <c r="S47" s="3320"/>
      <c r="T47" s="3320">
        <f>G47</f>
        <v>0</v>
      </c>
      <c r="U47" s="3320"/>
      <c r="V47" s="3320">
        <f>I47</f>
        <v>0</v>
      </c>
      <c r="W47" s="3320"/>
      <c r="X47" s="1561"/>
      <c r="Y47" s="1620"/>
      <c r="Z47" s="1561"/>
      <c r="AA47" s="1561"/>
      <c r="AB47" s="1561"/>
      <c r="AC47" s="1561"/>
    </row>
    <row r="48" spans="1:29" ht="15" thickBot="1">
      <c r="A48" s="1621" t="s">
        <v>2132</v>
      </c>
      <c r="B48" s="1622"/>
      <c r="C48" s="1623" t="e">
        <f>R49</f>
        <v>#DIV/0!</v>
      </c>
      <c r="D48" s="1624" t="s">
        <v>2503</v>
      </c>
      <c r="E48" s="1625" t="e">
        <f>R48</f>
        <v>#DIV/0!</v>
      </c>
      <c r="F48" s="1626"/>
      <c r="G48" s="1623" t="e">
        <f>T48</f>
        <v>#DIV/0!</v>
      </c>
      <c r="H48" s="1626"/>
      <c r="I48" s="1625" t="e">
        <f>V48</f>
        <v>#DIV/0!</v>
      </c>
      <c r="J48" s="1626"/>
      <c r="K48" s="2251">
        <f>F48+H48+J48</f>
        <v>0</v>
      </c>
      <c r="L48" s="2698"/>
      <c r="P48" s="3324" t="str">
        <f>A48</f>
        <v>比较价值（元/平方米）</v>
      </c>
      <c r="Q48" s="3324"/>
      <c r="R48" s="3320" t="e">
        <f>IF(E1="售价",ROUND(PRODUCT(R47,AA7:AA46),0),ROUND(PRODUCT(R47,AA7:AA46),1))</f>
        <v>#DIV/0!</v>
      </c>
      <c r="S48" s="3320"/>
      <c r="T48" s="3320" t="e">
        <f>IF(E1="售价",ROUND(PRODUCT(T47,AB7:AB46),0),ROUND(PRODUCT(T47,AB7:AB46),1))</f>
        <v>#DIV/0!</v>
      </c>
      <c r="U48" s="3320"/>
      <c r="V48" s="3320" t="e">
        <f>IF(E1="售价",ROUND(PRODUCT(V47,AC7:AC46),0),ROUND(PRODUCT(V47,AC7:AC46),1))</f>
        <v>#DIV/0!</v>
      </c>
      <c r="W48" s="3320"/>
      <c r="X48" s="1561"/>
      <c r="Y48" s="1561"/>
      <c r="Z48" s="1561"/>
      <c r="AA48" s="1561"/>
      <c r="AB48" s="1561"/>
      <c r="AC48" s="1561"/>
    </row>
    <row r="49" spans="1:29" ht="15" thickBot="1">
      <c r="A49" s="1627" t="s">
        <v>2133</v>
      </c>
      <c r="B49" s="1628"/>
      <c r="C49" s="1508" t="e">
        <f>R49</f>
        <v>#DIV/0!</v>
      </c>
      <c r="D49" s="1508"/>
      <c r="E49" s="1508"/>
      <c r="F49" s="1508"/>
      <c r="G49" s="1508"/>
      <c r="H49" s="1508"/>
      <c r="I49" s="1508"/>
      <c r="J49" s="1508"/>
      <c r="K49" s="1828"/>
      <c r="L49" s="2698"/>
      <c r="P49" s="3321" t="str">
        <f>A49</f>
        <v>估价对象XX用房的比较价值（楼面单价，元/平方米）</v>
      </c>
      <c r="Q49" s="3322"/>
      <c r="R49" s="3323" t="e">
        <f>IF(E1="售价",ROUND(IF(D48="简单平均",AVERAGE(R48:V48),R48*F48+T48*H48+V48*J48),0),ROUND(IF(D48="简单平均",AVERAGE(R48:V48),R48*F48+T48*H48+V48*J48),1))</f>
        <v>#DIV/0!</v>
      </c>
      <c r="S49" s="3323"/>
      <c r="T49" s="3323"/>
      <c r="U49" s="3323"/>
      <c r="V49" s="3323"/>
      <c r="W49" s="3323"/>
      <c r="X49" s="1561"/>
      <c r="Y49" s="1561"/>
      <c r="Z49" s="1561"/>
      <c r="AA49" s="1561"/>
      <c r="AB49" s="1561"/>
      <c r="AC49" s="1561"/>
    </row>
    <row r="50" spans="1:29">
      <c r="G50" s="2701"/>
      <c r="P50" s="2223"/>
      <c r="Q50" s="1619"/>
      <c r="R50" s="1619"/>
      <c r="S50" s="1619"/>
      <c r="T50" s="1619"/>
      <c r="U50" s="1619"/>
      <c r="V50" s="1619"/>
      <c r="W50" s="1619"/>
      <c r="X50" s="1619"/>
      <c r="Y50" s="1619"/>
      <c r="Z50" s="1619"/>
      <c r="AA50" s="1619"/>
      <c r="AB50" s="1619"/>
      <c r="AC50" s="1619"/>
    </row>
    <row r="51" spans="1:29">
      <c r="P51" s="2223"/>
      <c r="Q51" s="1619"/>
      <c r="R51" s="1619"/>
      <c r="S51" s="1619"/>
      <c r="T51" s="1619"/>
      <c r="U51" s="1619"/>
      <c r="V51" s="1619"/>
      <c r="W51" s="1619"/>
      <c r="X51" s="1619"/>
      <c r="Y51" s="1619"/>
      <c r="Z51" s="1619"/>
      <c r="AA51" s="1619"/>
      <c r="AB51" s="1619"/>
      <c r="AC51" s="1619"/>
    </row>
    <row r="52" spans="1:29" ht="13.5" customHeight="1">
      <c r="C52" s="376" t="s">
        <v>2134</v>
      </c>
      <c r="D52" s="1634"/>
      <c r="E52" s="1635" t="e">
        <f>IF(E47&lt;E48,E48/E47-1,E47/E48-1)</f>
        <v>#DIV/0!</v>
      </c>
      <c r="F52" s="1636" t="e">
        <f>IF(OR(E52&gt;=0.3,E52&lt;=-0.3),"超过30%","")</f>
        <v>#DIV/0!</v>
      </c>
      <c r="G52" s="1635" t="e">
        <f>IF(G47&lt;G48,G48/G47-1,G47/G48-1)</f>
        <v>#DIV/0!</v>
      </c>
      <c r="H52" s="1636" t="e">
        <f>IF(OR(G52&gt;=0.3,G52&lt;=-0.3),"超过30%","")</f>
        <v>#DIV/0!</v>
      </c>
      <c r="I52" s="1635" t="e">
        <f>IF(I47&lt;I48,I48/I47-1,I47/I48-1)</f>
        <v>#DIV/0!</v>
      </c>
      <c r="J52" s="1636" t="e">
        <f>IF(OR(I52&gt;=0.3,I52&lt;=-0.3),"超过30%","")</f>
        <v>#DIV/0!</v>
      </c>
      <c r="P52" s="2223"/>
      <c r="Q52" s="1619"/>
      <c r="R52" s="1619"/>
      <c r="S52" s="1619"/>
      <c r="T52" s="1619"/>
      <c r="U52" s="1619"/>
      <c r="V52" s="1619"/>
      <c r="W52" s="1619"/>
      <c r="X52" s="1619"/>
      <c r="Y52" s="1619"/>
      <c r="Z52" s="1619"/>
      <c r="AA52" s="1619"/>
      <c r="AB52" s="1619"/>
      <c r="AC52" s="1619"/>
    </row>
    <row r="53" spans="1:29" ht="13.5" customHeight="1">
      <c r="C53" s="376" t="s">
        <v>2135</v>
      </c>
      <c r="D53" s="1637"/>
      <c r="E53" s="1635" t="e">
        <f>IF(E48&lt;G48,G48/E48-1,E48/G48-1)</f>
        <v>#DIV/0!</v>
      </c>
      <c r="F53" s="1636" t="e">
        <f>IF(OR(E53&gt;=0.2,E53&lt;=-0.2),"超过20%","")</f>
        <v>#DIV/0!</v>
      </c>
      <c r="G53" s="1635" t="e">
        <f>IF(G48&lt;I48,I48/G48-1,G48/I48-1)</f>
        <v>#DIV/0!</v>
      </c>
      <c r="H53" s="1636" t="e">
        <f>IF(OR(G53&gt;=0.2,G53&lt;=-0.2),"超过20%","")</f>
        <v>#DIV/0!</v>
      </c>
      <c r="I53" s="1635" t="e">
        <f>IF(I48&lt;E48,E48/I48-1,I48/E48-1)</f>
        <v>#DIV/0!</v>
      </c>
      <c r="J53" s="1636" t="e">
        <f>IF(OR(I53&gt;=0.2,I53&lt;=-0.2),"超过20%","")</f>
        <v>#DIV/0!</v>
      </c>
      <c r="P53" s="2223"/>
      <c r="Q53" s="1619"/>
      <c r="R53" s="1619"/>
      <c r="S53" s="1619"/>
      <c r="T53" s="1619"/>
      <c r="U53" s="1619"/>
      <c r="V53" s="1619"/>
      <c r="W53" s="1619"/>
      <c r="X53" s="1619"/>
      <c r="Y53" s="1619"/>
      <c r="Z53" s="1619"/>
      <c r="AA53" s="1619"/>
      <c r="AB53" s="1619"/>
      <c r="AC53" s="1619"/>
    </row>
    <row r="54" spans="1:29" s="1640" customFormat="1" ht="13.5" customHeight="1">
      <c r="C54" s="376" t="s">
        <v>2136</v>
      </c>
      <c r="D54" s="1637"/>
      <c r="E54" s="1635" t="e">
        <f>IF(E47&lt;G47,G47/E47-1,E47/G47-1)</f>
        <v>#DIV/0!</v>
      </c>
      <c r="F54" s="1636" t="e">
        <f>IF(OR(E54&gt;=0.3,E54&lt;=-0.3),"超过30%","")</f>
        <v>#DIV/0!</v>
      </c>
      <c r="G54" s="1635" t="e">
        <f>IF(G47&lt;I47,I47/G47-1,G47/I47-1)</f>
        <v>#DIV/0!</v>
      </c>
      <c r="H54" s="1636" t="e">
        <f>IF(OR(G54&gt;=0.3,G54&lt;=-0.3),"超过30%","")</f>
        <v>#DIV/0!</v>
      </c>
      <c r="I54" s="1635" t="e">
        <f>IF(I47&lt;E47,E47/I47-1,I47/E47-1)</f>
        <v>#DIV/0!</v>
      </c>
      <c r="J54" s="1636" t="e">
        <f>IF(OR(I54&gt;=0.3,I54&lt;=-0.3),"超过30%","")</f>
        <v>#DIV/0!</v>
      </c>
      <c r="K54" s="2704"/>
      <c r="L54" s="2699"/>
      <c r="P54" s="2224"/>
      <c r="Q54" s="1638"/>
      <c r="R54" s="1638"/>
      <c r="S54" s="1638"/>
      <c r="T54" s="1638"/>
      <c r="U54" s="1638"/>
      <c r="V54" s="1638"/>
      <c r="W54" s="1638"/>
      <c r="X54" s="1638"/>
      <c r="Y54" s="1638"/>
      <c r="Z54" s="1638"/>
      <c r="AA54" s="1638"/>
      <c r="AB54" s="1638"/>
      <c r="AC54" s="1638"/>
    </row>
    <row r="55" spans="1:29" s="1640" customFormat="1">
      <c r="B55" s="2702"/>
      <c r="C55" s="2703"/>
      <c r="K55" s="2704"/>
      <c r="L55" s="2699"/>
      <c r="P55" s="2224"/>
      <c r="Q55" s="1638"/>
      <c r="R55" s="1638"/>
      <c r="S55" s="1638"/>
      <c r="T55" s="1638"/>
      <c r="U55" s="1638"/>
      <c r="V55" s="1638"/>
      <c r="W55" s="1638"/>
      <c r="X55" s="1638"/>
      <c r="Y55" s="1638"/>
      <c r="Z55" s="1638"/>
      <c r="AA55" s="1638"/>
      <c r="AB55" s="1638"/>
      <c r="AC55" s="1638"/>
    </row>
    <row r="56" spans="1:29">
      <c r="B56" s="2702"/>
      <c r="C56" s="2703"/>
      <c r="P56" s="2223"/>
      <c r="Q56" s="1619"/>
      <c r="R56" s="1619"/>
      <c r="S56" s="1619"/>
      <c r="T56" s="1619"/>
      <c r="U56" s="1619"/>
      <c r="V56" s="1619"/>
      <c r="W56" s="1619"/>
      <c r="X56" s="1619"/>
      <c r="Y56" s="1619"/>
      <c r="Z56" s="1619"/>
      <c r="AA56" s="1619"/>
      <c r="AB56" s="1619"/>
      <c r="AC56" s="1619"/>
    </row>
    <row r="57" spans="1:29" ht="22.2" thickBot="1">
      <c r="A57" s="1643" t="s">
        <v>2137</v>
      </c>
      <c r="B57" s="1561"/>
      <c r="C57" s="1644"/>
      <c r="D57" s="1644"/>
      <c r="E57" s="1644"/>
      <c r="F57" s="1644"/>
      <c r="G57" s="1644"/>
      <c r="H57" s="1644"/>
      <c r="I57" s="1644"/>
      <c r="J57" s="1644"/>
      <c r="K57" s="1645"/>
      <c r="L57" s="1854"/>
      <c r="M57" s="1852"/>
      <c r="N57" s="1855"/>
      <c r="O57" s="1855"/>
      <c r="P57" s="2225"/>
      <c r="Q57" s="2226"/>
      <c r="R57" s="1619"/>
      <c r="S57" s="1619"/>
      <c r="T57" s="1619"/>
      <c r="U57" s="1619"/>
      <c r="V57" s="1619"/>
      <c r="W57" s="1619"/>
      <c r="X57" s="1619"/>
      <c r="Y57" s="1619"/>
      <c r="Z57" s="1619"/>
      <c r="AA57" s="1619"/>
      <c r="AB57" s="1619"/>
      <c r="AC57" s="1619"/>
    </row>
    <row r="58" spans="1:29" s="1654" customFormat="1" ht="14.4">
      <c r="A58" s="1649" t="s">
        <v>2019</v>
      </c>
      <c r="B58" s="1650"/>
      <c r="C58" s="1651" t="str">
        <f>YEAR(C7)&amp;"-"&amp;MONTH(C7)</f>
        <v>2022-12</v>
      </c>
      <c r="D58" s="1652">
        <f>EDATE(C58,-1)</f>
        <v>44866</v>
      </c>
      <c r="E58" s="1652">
        <f t="shared" ref="E58:O58" si="16">EDATE(D58,-1)</f>
        <v>44835</v>
      </c>
      <c r="F58" s="1652">
        <f t="shared" si="16"/>
        <v>44805</v>
      </c>
      <c r="G58" s="1652">
        <f t="shared" si="16"/>
        <v>44774</v>
      </c>
      <c r="H58" s="1652">
        <f t="shared" si="16"/>
        <v>44743</v>
      </c>
      <c r="I58" s="1652">
        <f t="shared" si="16"/>
        <v>44713</v>
      </c>
      <c r="J58" s="1652">
        <f t="shared" si="16"/>
        <v>44682</v>
      </c>
      <c r="K58" s="1652">
        <f t="shared" si="16"/>
        <v>44652</v>
      </c>
      <c r="L58" s="1652">
        <f t="shared" si="16"/>
        <v>44621</v>
      </c>
      <c r="M58" s="1652">
        <f t="shared" si="16"/>
        <v>44593</v>
      </c>
      <c r="N58" s="1652">
        <f t="shared" si="16"/>
        <v>44562</v>
      </c>
      <c r="O58" s="1652">
        <f t="shared" si="16"/>
        <v>44531</v>
      </c>
      <c r="P58" s="1653"/>
    </row>
    <row r="59" spans="1:29" s="1520" customFormat="1">
      <c r="A59" s="1655"/>
      <c r="B59" s="1656"/>
      <c r="C59" s="1657">
        <v>100</v>
      </c>
      <c r="D59" s="1658"/>
      <c r="E59" s="1658"/>
      <c r="F59" s="1658"/>
      <c r="G59" s="1658"/>
      <c r="H59" s="1658"/>
      <c r="I59" s="1658"/>
      <c r="J59" s="1658"/>
      <c r="K59" s="1658"/>
      <c r="L59" s="1658"/>
      <c r="M59" s="1539"/>
      <c r="N59" s="1658"/>
      <c r="O59" s="1539"/>
      <c r="P59" s="1659"/>
    </row>
    <row r="60" spans="1:29" s="1520" customFormat="1" ht="15" thickBot="1">
      <c r="A60" s="1660" t="s">
        <v>2057</v>
      </c>
      <c r="B60" s="1661"/>
      <c r="C60" s="1662"/>
      <c r="D60" s="1663"/>
      <c r="E60" s="1663"/>
      <c r="F60" s="1663"/>
      <c r="G60" s="1663"/>
      <c r="H60" s="1663"/>
      <c r="I60" s="1663"/>
      <c r="J60" s="1663"/>
      <c r="K60" s="1663"/>
      <c r="L60" s="1663"/>
      <c r="M60" s="1664"/>
      <c r="N60" s="1663"/>
      <c r="O60" s="1664"/>
      <c r="P60" s="1659"/>
      <c r="Q60" s="1648"/>
    </row>
    <row r="61" spans="1:29" s="1520" customFormat="1" ht="14.4">
      <c r="A61" s="1665" t="s">
        <v>2021</v>
      </c>
      <c r="B61" s="1656"/>
      <c r="C61" s="1666" t="s">
        <v>2022</v>
      </c>
      <c r="D61" s="401"/>
      <c r="E61" s="401"/>
      <c r="F61" s="401"/>
      <c r="G61" s="401"/>
      <c r="H61" s="401"/>
      <c r="I61" s="401"/>
      <c r="J61" s="401"/>
      <c r="K61" s="401"/>
      <c r="L61" s="401"/>
      <c r="M61" s="1667"/>
      <c r="N61" s="1865"/>
      <c r="O61" s="1865"/>
      <c r="P61" s="1669"/>
      <c r="Q61" s="1648"/>
    </row>
    <row r="62" spans="1:29" s="1520" customFormat="1" ht="14.4" thickBot="1">
      <c r="A62" s="1665"/>
      <c r="B62" s="1656"/>
      <c r="C62" s="1670">
        <v>100</v>
      </c>
      <c r="D62" s="1658"/>
      <c r="E62" s="1658"/>
      <c r="F62" s="1658"/>
      <c r="G62" s="1658"/>
      <c r="H62" s="1658"/>
      <c r="I62" s="1658"/>
      <c r="J62" s="1658"/>
      <c r="K62" s="1658"/>
      <c r="L62" s="1658"/>
      <c r="M62" s="1671"/>
      <c r="N62" s="1865"/>
      <c r="O62" s="1865"/>
      <c r="P62" s="1659"/>
      <c r="Q62" s="1648"/>
    </row>
    <row r="63" spans="1:29" ht="14.4">
      <c r="A63" s="1550" t="s">
        <v>2060</v>
      </c>
      <c r="B63" s="1672" t="s">
        <v>2025</v>
      </c>
      <c r="C63" s="1673">
        <f>C9</f>
        <v>0</v>
      </c>
      <c r="D63" s="1674"/>
      <c r="E63" s="1674"/>
      <c r="F63" s="1674"/>
      <c r="G63" s="1674"/>
      <c r="H63" s="1674"/>
      <c r="I63" s="1674"/>
      <c r="J63" s="1674"/>
      <c r="K63" s="408"/>
      <c r="L63" s="408"/>
      <c r="M63" s="1675"/>
      <c r="N63" s="2709"/>
      <c r="O63" s="2709"/>
      <c r="P63" s="1677"/>
      <c r="Q63" s="1648"/>
    </row>
    <row r="64" spans="1:29" ht="14.4" thickBot="1">
      <c r="A64" s="1535"/>
      <c r="B64" s="1678"/>
      <c r="C64" s="1679">
        <v>100</v>
      </c>
      <c r="D64" s="1679"/>
      <c r="E64" s="1679"/>
      <c r="F64" s="1679"/>
      <c r="G64" s="1679"/>
      <c r="H64" s="1679"/>
      <c r="I64" s="1679"/>
      <c r="J64" s="1679"/>
      <c r="K64" s="1679"/>
      <c r="L64" s="1679"/>
      <c r="M64" s="1680"/>
      <c r="N64" s="2248"/>
      <c r="O64" s="2248"/>
      <c r="P64" s="1677"/>
      <c r="Q64" s="1648"/>
    </row>
    <row r="65" spans="1:17" ht="29.4" thickTop="1">
      <c r="A65" s="1535"/>
      <c r="B65" s="1682" t="s">
        <v>2028</v>
      </c>
      <c r="C65" s="1683" t="s">
        <v>2061</v>
      </c>
      <c r="D65" s="1683" t="s">
        <v>2062</v>
      </c>
      <c r="E65" s="1683" t="s">
        <v>2063</v>
      </c>
      <c r="F65" s="1683" t="s">
        <v>2064</v>
      </c>
      <c r="G65" s="1683" t="s">
        <v>2065</v>
      </c>
      <c r="H65" s="1683" t="s">
        <v>2066</v>
      </c>
      <c r="I65" s="1683" t="s">
        <v>2067</v>
      </c>
      <c r="J65" s="1683"/>
      <c r="K65" s="418"/>
      <c r="L65" s="418"/>
      <c r="M65" s="1684"/>
      <c r="N65" s="2709"/>
      <c r="O65" s="2709"/>
      <c r="P65" s="1677"/>
      <c r="Q65" s="1648"/>
    </row>
    <row r="66" spans="1:17" ht="14.4" thickBot="1">
      <c r="A66" s="1535"/>
      <c r="B66" s="1685"/>
      <c r="C66" s="1686" t="s">
        <v>36</v>
      </c>
      <c r="D66" s="1686" t="s">
        <v>37</v>
      </c>
      <c r="E66" s="1686" t="s">
        <v>38</v>
      </c>
      <c r="F66" s="1686">
        <v>100</v>
      </c>
      <c r="G66" s="1686">
        <f>F66-$K10</f>
        <v>100</v>
      </c>
      <c r="H66" s="1686">
        <f>G66-$K10</f>
        <v>100</v>
      </c>
      <c r="I66" s="1686">
        <f>H66-$K10</f>
        <v>100</v>
      </c>
      <c r="J66" s="1686"/>
      <c r="K66" s="1686"/>
      <c r="L66" s="1686"/>
      <c r="M66" s="1687"/>
      <c r="N66" s="2248"/>
      <c r="O66" s="2248"/>
      <c r="P66" s="1677"/>
      <c r="Q66" s="1648"/>
    </row>
    <row r="67" spans="1:17" ht="15" thickTop="1">
      <c r="A67" s="1535"/>
      <c r="B67" s="1688" t="s">
        <v>2029</v>
      </c>
      <c r="C67" s="1689" t="str">
        <f>C68&amp;"（含）"&amp;"-"&amp;D68</f>
        <v>（含）-</v>
      </c>
      <c r="D67" s="1689" t="str">
        <f t="shared" ref="D67:L67" si="17">D68&amp;"（含）"&amp;"-"&amp;E68</f>
        <v>（含）-</v>
      </c>
      <c r="E67" s="1689" t="str">
        <f t="shared" si="17"/>
        <v>（含）-</v>
      </c>
      <c r="F67" s="1689" t="str">
        <f t="shared" si="17"/>
        <v>（含）-</v>
      </c>
      <c r="G67" s="1689" t="str">
        <f t="shared" si="17"/>
        <v>（含）-</v>
      </c>
      <c r="H67" s="1689" t="str">
        <f t="shared" si="17"/>
        <v>（含）-</v>
      </c>
      <c r="I67" s="1689" t="str">
        <f t="shared" si="17"/>
        <v>（含）-</v>
      </c>
      <c r="J67" s="1689" t="str">
        <f t="shared" si="17"/>
        <v>（含）-</v>
      </c>
      <c r="K67" s="1689" t="str">
        <f t="shared" si="17"/>
        <v>（含）-</v>
      </c>
      <c r="L67" s="1689" t="str">
        <f t="shared" si="17"/>
        <v>（含）-</v>
      </c>
      <c r="M67" s="1563" t="str">
        <f>M68&amp;"（含）"&amp;"-"&amp;P68</f>
        <v>（含）-</v>
      </c>
      <c r="N67" s="2248"/>
      <c r="O67" s="2248"/>
      <c r="P67" s="1677"/>
      <c r="Q67" s="1648"/>
    </row>
    <row r="68" spans="1:17">
      <c r="A68" s="1535"/>
      <c r="B68" s="1690"/>
      <c r="C68" s="1691"/>
      <c r="D68" s="1691"/>
      <c r="E68" s="1691"/>
      <c r="F68" s="1691"/>
      <c r="G68" s="1691"/>
      <c r="H68" s="1691"/>
      <c r="I68" s="1691"/>
      <c r="J68" s="1691"/>
      <c r="K68" s="428"/>
      <c r="L68" s="428"/>
      <c r="M68" s="1692"/>
      <c r="N68" s="2709"/>
      <c r="O68" s="2709"/>
      <c r="P68" s="1677"/>
      <c r="Q68" s="1648"/>
    </row>
    <row r="69" spans="1:17" ht="14.4" thickBot="1">
      <c r="A69" s="1535"/>
      <c r="B69" s="1678"/>
      <c r="C69" s="1686">
        <v>100</v>
      </c>
      <c r="D69" s="1686">
        <f t="shared" ref="D69:M69" si="18">C69-$K11</f>
        <v>100</v>
      </c>
      <c r="E69" s="1686">
        <f t="shared" si="18"/>
        <v>100</v>
      </c>
      <c r="F69" s="1686">
        <f t="shared" si="18"/>
        <v>100</v>
      </c>
      <c r="G69" s="1686">
        <f t="shared" si="18"/>
        <v>100</v>
      </c>
      <c r="H69" s="1686">
        <f t="shared" si="18"/>
        <v>100</v>
      </c>
      <c r="I69" s="1686">
        <f t="shared" si="18"/>
        <v>100</v>
      </c>
      <c r="J69" s="1686">
        <f t="shared" si="18"/>
        <v>100</v>
      </c>
      <c r="K69" s="1686">
        <f t="shared" si="18"/>
        <v>100</v>
      </c>
      <c r="L69" s="1686">
        <f t="shared" si="18"/>
        <v>100</v>
      </c>
      <c r="M69" s="1687">
        <f t="shared" si="18"/>
        <v>100</v>
      </c>
      <c r="N69" s="2248"/>
      <c r="O69" s="2248"/>
      <c r="P69" s="1677"/>
      <c r="Q69" s="1648"/>
    </row>
    <row r="70" spans="1:17" s="1601" customFormat="1" ht="14.4" thickTop="1">
      <c r="A70" s="1693"/>
      <c r="B70" s="1682">
        <f>B12</f>
        <v>111</v>
      </c>
      <c r="C70" s="456"/>
      <c r="D70" s="456"/>
      <c r="E70" s="456"/>
      <c r="F70" s="456"/>
      <c r="G70" s="456"/>
      <c r="H70" s="433"/>
      <c r="I70" s="433"/>
      <c r="J70" s="433"/>
      <c r="K70" s="433"/>
      <c r="L70" s="433"/>
      <c r="M70" s="1694"/>
      <c r="N70" s="1866"/>
      <c r="O70" s="1866"/>
      <c r="P70" s="1696"/>
      <c r="Q70" s="1697"/>
    </row>
    <row r="71" spans="1:17" s="1601" customFormat="1" ht="14.4" thickBot="1">
      <c r="A71" s="1693"/>
      <c r="B71" s="1685"/>
      <c r="C71" s="1698"/>
      <c r="D71" s="1679"/>
      <c r="E71" s="1679"/>
      <c r="F71" s="1679"/>
      <c r="G71" s="1679"/>
      <c r="H71" s="1679"/>
      <c r="I71" s="1679"/>
      <c r="J71" s="1679"/>
      <c r="K71" s="1679"/>
      <c r="L71" s="1679"/>
      <c r="M71" s="1680"/>
      <c r="N71" s="2248"/>
      <c r="O71" s="2248"/>
      <c r="P71" s="1696"/>
      <c r="Q71" s="1697"/>
    </row>
    <row r="72" spans="1:17" s="1601" customFormat="1" ht="14.4" thickTop="1">
      <c r="A72" s="1693"/>
      <c r="B72" s="1682">
        <f>B13</f>
        <v>111</v>
      </c>
      <c r="C72" s="456"/>
      <c r="D72" s="456"/>
      <c r="E72" s="456"/>
      <c r="F72" s="456"/>
      <c r="G72" s="456"/>
      <c r="H72" s="433"/>
      <c r="I72" s="433"/>
      <c r="J72" s="433"/>
      <c r="K72" s="433"/>
      <c r="L72" s="433"/>
      <c r="M72" s="1694"/>
      <c r="N72" s="1866"/>
      <c r="O72" s="1866"/>
      <c r="P72" s="1699"/>
      <c r="Q72" s="1700"/>
    </row>
    <row r="73" spans="1:17" s="1601" customFormat="1" ht="14.4" thickBot="1">
      <c r="A73" s="1693"/>
      <c r="B73" s="1685"/>
      <c r="C73" s="1698"/>
      <c r="D73" s="1679"/>
      <c r="E73" s="1679"/>
      <c r="F73" s="1679"/>
      <c r="G73" s="1698"/>
      <c r="H73" s="1701"/>
      <c r="I73" s="1701"/>
      <c r="J73" s="1701"/>
      <c r="K73" s="1701"/>
      <c r="L73" s="1701"/>
      <c r="M73" s="1702"/>
      <c r="N73" s="1866"/>
      <c r="O73" s="1866"/>
      <c r="P73" s="1696"/>
      <c r="Q73" s="1697"/>
    </row>
    <row r="74" spans="1:17" s="1601" customFormat="1" ht="14.4" thickTop="1">
      <c r="A74" s="1693"/>
      <c r="B74" s="1688">
        <f>B14</f>
        <v>111</v>
      </c>
      <c r="C74" s="456"/>
      <c r="D74" s="456"/>
      <c r="E74" s="456"/>
      <c r="F74" s="456"/>
      <c r="G74" s="401"/>
      <c r="H74" s="442"/>
      <c r="I74" s="442"/>
      <c r="J74" s="442"/>
      <c r="K74" s="442"/>
      <c r="L74" s="442"/>
      <c r="M74" s="1703"/>
      <c r="N74" s="1866"/>
      <c r="O74" s="1866"/>
      <c r="P74" s="1696"/>
      <c r="Q74" s="1697"/>
    </row>
    <row r="75" spans="1:17" s="1601" customFormat="1" ht="14.4" thickBot="1">
      <c r="A75" s="1704"/>
      <c r="B75" s="1705"/>
      <c r="C75" s="1706"/>
      <c r="D75" s="1706"/>
      <c r="E75" s="1706"/>
      <c r="F75" s="1706"/>
      <c r="G75" s="1706"/>
      <c r="H75" s="1707"/>
      <c r="I75" s="1707"/>
      <c r="J75" s="1707"/>
      <c r="K75" s="1707"/>
      <c r="L75" s="1707"/>
      <c r="M75" s="1708"/>
      <c r="N75" s="1866"/>
      <c r="O75" s="1866"/>
      <c r="P75" s="1696"/>
      <c r="Q75" s="1697"/>
    </row>
    <row r="76" spans="1:17" ht="14.4">
      <c r="A76" s="1550" t="s">
        <v>2030</v>
      </c>
      <c r="B76" s="1672" t="s">
        <v>2068</v>
      </c>
      <c r="C76" s="1709" t="s">
        <v>2069</v>
      </c>
      <c r="D76" s="1709" t="s">
        <v>2070</v>
      </c>
      <c r="E76" s="1709" t="s">
        <v>2071</v>
      </c>
      <c r="F76" s="1709" t="s">
        <v>2072</v>
      </c>
      <c r="G76" s="1709" t="s">
        <v>2073</v>
      </c>
      <c r="H76" s="1673"/>
      <c r="I76" s="1673"/>
      <c r="J76" s="1673"/>
      <c r="K76" s="452"/>
      <c r="L76" s="452"/>
      <c r="M76" s="1710"/>
      <c r="N76" s="2709"/>
      <c r="O76" s="2709"/>
      <c r="P76" s="1677"/>
      <c r="Q76" s="1648"/>
    </row>
    <row r="77" spans="1:17" ht="14.4" thickBot="1">
      <c r="A77" s="1535"/>
      <c r="B77" s="1685"/>
      <c r="C77" s="1686">
        <v>100</v>
      </c>
      <c r="D77" s="1686">
        <f>C77-$K15</f>
        <v>100</v>
      </c>
      <c r="E77" s="1686">
        <f>D77-$K15</f>
        <v>100</v>
      </c>
      <c r="F77" s="1686">
        <f>E77-$K15</f>
        <v>100</v>
      </c>
      <c r="G77" s="1686">
        <f>F77-$K15</f>
        <v>100</v>
      </c>
      <c r="H77" s="1686"/>
      <c r="I77" s="1686"/>
      <c r="J77" s="1686"/>
      <c r="K77" s="1686"/>
      <c r="L77" s="1686"/>
      <c r="M77" s="1687"/>
      <c r="N77" s="2248"/>
      <c r="O77" s="2248"/>
      <c r="P77" s="1677"/>
      <c r="Q77" s="1648"/>
    </row>
    <row r="78" spans="1:17" ht="15" thickTop="1">
      <c r="A78" s="1535"/>
      <c r="B78" s="1682" t="s">
        <v>2074</v>
      </c>
      <c r="C78" s="559" t="s">
        <v>2069</v>
      </c>
      <c r="D78" s="559" t="s">
        <v>2070</v>
      </c>
      <c r="E78" s="559" t="s">
        <v>2071</v>
      </c>
      <c r="F78" s="559" t="s">
        <v>2072</v>
      </c>
      <c r="G78" s="559" t="s">
        <v>2073</v>
      </c>
      <c r="H78" s="1683"/>
      <c r="I78" s="1683"/>
      <c r="J78" s="1683"/>
      <c r="K78" s="418"/>
      <c r="L78" s="418"/>
      <c r="M78" s="1684"/>
      <c r="N78" s="2709"/>
      <c r="O78" s="2709"/>
      <c r="P78" s="1677"/>
      <c r="Q78" s="1648"/>
    </row>
    <row r="79" spans="1:17" ht="14.4" thickBot="1">
      <c r="A79" s="1535"/>
      <c r="B79" s="1685"/>
      <c r="C79" s="1686">
        <v>100</v>
      </c>
      <c r="D79" s="1686">
        <f>C79-$K17</f>
        <v>100</v>
      </c>
      <c r="E79" s="1686">
        <f>D79-$K17</f>
        <v>100</v>
      </c>
      <c r="F79" s="1686">
        <f>E79-$K17</f>
        <v>100</v>
      </c>
      <c r="G79" s="1686">
        <f>F79-$K17</f>
        <v>100</v>
      </c>
      <c r="H79" s="1686"/>
      <c r="I79" s="1686"/>
      <c r="J79" s="1686"/>
      <c r="K79" s="1686"/>
      <c r="L79" s="1686"/>
      <c r="M79" s="1687"/>
      <c r="N79" s="2248"/>
      <c r="O79" s="2248"/>
      <c r="P79" s="1677"/>
      <c r="Q79" s="1648"/>
    </row>
    <row r="80" spans="1:17" ht="15" thickTop="1">
      <c r="A80" s="1535"/>
      <c r="B80" s="1682" t="s">
        <v>2075</v>
      </c>
      <c r="C80" s="559" t="s">
        <v>2069</v>
      </c>
      <c r="D80" s="559" t="s">
        <v>2070</v>
      </c>
      <c r="E80" s="559" t="s">
        <v>2071</v>
      </c>
      <c r="F80" s="559" t="s">
        <v>2072</v>
      </c>
      <c r="G80" s="559" t="s">
        <v>2073</v>
      </c>
      <c r="H80" s="1683"/>
      <c r="I80" s="1683"/>
      <c r="J80" s="1683"/>
      <c r="K80" s="418"/>
      <c r="L80" s="418"/>
      <c r="M80" s="1684"/>
      <c r="N80" s="2709"/>
      <c r="O80" s="2709"/>
      <c r="P80" s="1677"/>
      <c r="Q80" s="1648"/>
    </row>
    <row r="81" spans="1:17" ht="14.4" thickBot="1">
      <c r="A81" s="1535"/>
      <c r="B81" s="1685"/>
      <c r="C81" s="1686">
        <v>100</v>
      </c>
      <c r="D81" s="1686">
        <f>C81-$K19</f>
        <v>100</v>
      </c>
      <c r="E81" s="1686">
        <f>D81-$K19</f>
        <v>100</v>
      </c>
      <c r="F81" s="1686">
        <f>E81-$K19</f>
        <v>100</v>
      </c>
      <c r="G81" s="1686">
        <f>F81-$K19</f>
        <v>100</v>
      </c>
      <c r="H81" s="1686"/>
      <c r="I81" s="1686"/>
      <c r="J81" s="1686"/>
      <c r="K81" s="1686"/>
      <c r="L81" s="1686"/>
      <c r="M81" s="1687"/>
      <c r="N81" s="2248"/>
      <c r="O81" s="2248"/>
      <c r="P81" s="1677"/>
      <c r="Q81" s="1648"/>
    </row>
    <row r="82" spans="1:17" ht="15" thickTop="1">
      <c r="A82" s="1535"/>
      <c r="B82" s="1688" t="s">
        <v>2118</v>
      </c>
      <c r="C82" s="1683" t="s">
        <v>2076</v>
      </c>
      <c r="D82" s="1683" t="s">
        <v>2077</v>
      </c>
      <c r="E82" s="1683" t="s">
        <v>2078</v>
      </c>
      <c r="F82" s="1683" t="s">
        <v>2079</v>
      </c>
      <c r="G82" s="1683" t="s">
        <v>2080</v>
      </c>
      <c r="H82" s="1683"/>
      <c r="I82" s="1683"/>
      <c r="J82" s="1683"/>
      <c r="K82" s="1683"/>
      <c r="L82" s="1683"/>
      <c r="M82" s="1711"/>
      <c r="N82" s="2248"/>
      <c r="O82" s="2248"/>
      <c r="P82" s="1677"/>
      <c r="Q82" s="1648"/>
    </row>
    <row r="83" spans="1:17" ht="14.4" thickBot="1">
      <c r="A83" s="1535"/>
      <c r="B83" s="1688"/>
      <c r="C83" s="1686">
        <v>100</v>
      </c>
      <c r="D83" s="1686">
        <f>C83-$K21</f>
        <v>100</v>
      </c>
      <c r="E83" s="1686">
        <f>D83-$K21</f>
        <v>100</v>
      </c>
      <c r="F83" s="1686">
        <f>E83-$K21</f>
        <v>100</v>
      </c>
      <c r="G83" s="1686">
        <f>F83-$K21</f>
        <v>100</v>
      </c>
      <c r="H83" s="1712"/>
      <c r="I83" s="1712"/>
      <c r="J83" s="1712"/>
      <c r="K83" s="1712"/>
      <c r="L83" s="1712"/>
      <c r="M83" s="1567"/>
      <c r="N83" s="2248"/>
      <c r="O83" s="2248"/>
      <c r="P83" s="1677"/>
      <c r="Q83" s="1648"/>
    </row>
    <row r="84" spans="1:17" ht="15" thickTop="1">
      <c r="A84" s="1535"/>
      <c r="B84" s="1682" t="s">
        <v>2081</v>
      </c>
      <c r="C84" s="559" t="s">
        <v>2069</v>
      </c>
      <c r="D84" s="559" t="s">
        <v>2070</v>
      </c>
      <c r="E84" s="559" t="s">
        <v>2071</v>
      </c>
      <c r="F84" s="559" t="s">
        <v>2072</v>
      </c>
      <c r="G84" s="559" t="s">
        <v>2073</v>
      </c>
      <c r="H84" s="1683"/>
      <c r="I84" s="1683"/>
      <c r="J84" s="1683"/>
      <c r="K84" s="418"/>
      <c r="L84" s="418"/>
      <c r="M84" s="1684"/>
      <c r="N84" s="2709"/>
      <c r="O84" s="2709"/>
      <c r="P84" s="1677"/>
      <c r="Q84" s="1648"/>
    </row>
    <row r="85" spans="1:17" ht="14.4" thickBot="1">
      <c r="A85" s="1535"/>
      <c r="B85" s="1685"/>
      <c r="C85" s="1686">
        <v>100</v>
      </c>
      <c r="D85" s="1686">
        <f>C85-$K23</f>
        <v>100</v>
      </c>
      <c r="E85" s="1686">
        <f>D85-$K23</f>
        <v>100</v>
      </c>
      <c r="F85" s="1686">
        <f>E85-$K23</f>
        <v>100</v>
      </c>
      <c r="G85" s="1686">
        <f>F85-$K23</f>
        <v>100</v>
      </c>
      <c r="H85" s="1686"/>
      <c r="I85" s="1686"/>
      <c r="J85" s="1686"/>
      <c r="K85" s="1686"/>
      <c r="L85" s="1686"/>
      <c r="M85" s="1687"/>
      <c r="N85" s="2248"/>
      <c r="O85" s="2248"/>
      <c r="P85" s="1677"/>
      <c r="Q85" s="1648"/>
    </row>
    <row r="86" spans="1:17" s="1520" customFormat="1" ht="15" thickTop="1">
      <c r="A86" s="1538"/>
      <c r="B86" s="1682" t="s">
        <v>2138</v>
      </c>
      <c r="C86" s="456"/>
      <c r="D86" s="456"/>
      <c r="E86" s="456"/>
      <c r="F86" s="456"/>
      <c r="G86" s="456"/>
      <c r="H86" s="456"/>
      <c r="I86" s="456"/>
      <c r="J86" s="456"/>
      <c r="K86" s="456"/>
      <c r="L86" s="456"/>
      <c r="M86" s="1713"/>
      <c r="N86" s="1865"/>
      <c r="O86" s="1865"/>
      <c r="P86" s="1677"/>
      <c r="Q86" s="1648"/>
    </row>
    <row r="87" spans="1:17" s="1520" customFormat="1" ht="14.4" thickBot="1">
      <c r="A87" s="1538"/>
      <c r="B87" s="1685"/>
      <c r="C87" s="1714">
        <v>100</v>
      </c>
      <c r="D87" s="1686">
        <f t="shared" ref="D87:M87" si="19">C87-$K25</f>
        <v>100</v>
      </c>
      <c r="E87" s="1686">
        <f t="shared" si="19"/>
        <v>100</v>
      </c>
      <c r="F87" s="1686">
        <f t="shared" si="19"/>
        <v>100</v>
      </c>
      <c r="G87" s="1686">
        <f t="shared" si="19"/>
        <v>100</v>
      </c>
      <c r="H87" s="1686">
        <f t="shared" si="19"/>
        <v>100</v>
      </c>
      <c r="I87" s="1686">
        <f t="shared" si="19"/>
        <v>100</v>
      </c>
      <c r="J87" s="1686">
        <f t="shared" si="19"/>
        <v>100</v>
      </c>
      <c r="K87" s="1686">
        <f t="shared" si="19"/>
        <v>100</v>
      </c>
      <c r="L87" s="1686">
        <f t="shared" si="19"/>
        <v>100</v>
      </c>
      <c r="M87" s="1686">
        <f t="shared" si="19"/>
        <v>100</v>
      </c>
      <c r="N87" s="2248"/>
      <c r="O87" s="2248"/>
      <c r="P87" s="1677"/>
      <c r="Q87" s="1648"/>
    </row>
    <row r="88" spans="1:17" s="1520" customFormat="1" ht="14.4" thickTop="1">
      <c r="A88" s="1538"/>
      <c r="B88" s="1682" t="str">
        <f>B26</f>
        <v>平面位置/可视性</v>
      </c>
      <c r="C88" s="456"/>
      <c r="D88" s="456"/>
      <c r="E88" s="456"/>
      <c r="F88" s="1715"/>
      <c r="G88" s="456"/>
      <c r="H88" s="456"/>
      <c r="I88" s="456"/>
      <c r="J88" s="456"/>
      <c r="K88" s="456"/>
      <c r="L88" s="456"/>
      <c r="M88" s="1713"/>
      <c r="N88" s="1865"/>
      <c r="O88" s="1865"/>
      <c r="P88" s="1677"/>
      <c r="Q88" s="1648"/>
    </row>
    <row r="89" spans="1:17" s="1520" customFormat="1" ht="14.4" thickBot="1">
      <c r="A89" s="1538"/>
      <c r="B89" s="1685"/>
      <c r="C89" s="1698"/>
      <c r="D89" s="1679"/>
      <c r="E89" s="1679"/>
      <c r="F89" s="1679"/>
      <c r="G89" s="1679"/>
      <c r="H89" s="1679"/>
      <c r="I89" s="1679"/>
      <c r="J89" s="1679"/>
      <c r="K89" s="1679"/>
      <c r="L89" s="1679"/>
      <c r="M89" s="1679"/>
      <c r="N89" s="2248"/>
      <c r="O89" s="2248"/>
      <c r="P89" s="1677"/>
      <c r="Q89" s="1648"/>
    </row>
    <row r="90" spans="1:17" s="1601" customFormat="1" ht="14.4" thickTop="1">
      <c r="A90" s="1693"/>
      <c r="B90" s="1682" t="str">
        <f>B27</f>
        <v>人流量</v>
      </c>
      <c r="C90" s="456"/>
      <c r="D90" s="456"/>
      <c r="E90" s="456"/>
      <c r="F90" s="456"/>
      <c r="G90" s="456"/>
      <c r="H90" s="433"/>
      <c r="I90" s="433"/>
      <c r="J90" s="433"/>
      <c r="K90" s="433"/>
      <c r="L90" s="433"/>
      <c r="M90" s="1694"/>
      <c r="N90" s="1866"/>
      <c r="O90" s="1866"/>
      <c r="P90" s="1696"/>
      <c r="Q90" s="1697"/>
    </row>
    <row r="91" spans="1:17" s="1601" customFormat="1" ht="14.4" thickBot="1">
      <c r="A91" s="1693"/>
      <c r="B91" s="1685"/>
      <c r="C91" s="1714">
        <v>100</v>
      </c>
      <c r="D91" s="1686">
        <f>C91-$K27</f>
        <v>100</v>
      </c>
      <c r="E91" s="1686">
        <f t="shared" ref="E91:M91" si="20">D91-$K27</f>
        <v>100</v>
      </c>
      <c r="F91" s="1686">
        <f t="shared" si="20"/>
        <v>100</v>
      </c>
      <c r="G91" s="1686">
        <f t="shared" si="20"/>
        <v>100</v>
      </c>
      <c r="H91" s="1686">
        <f t="shared" si="20"/>
        <v>100</v>
      </c>
      <c r="I91" s="1686">
        <f t="shared" si="20"/>
        <v>100</v>
      </c>
      <c r="J91" s="1686">
        <f t="shared" si="20"/>
        <v>100</v>
      </c>
      <c r="K91" s="1686">
        <f t="shared" si="20"/>
        <v>100</v>
      </c>
      <c r="L91" s="1686">
        <f t="shared" si="20"/>
        <v>100</v>
      </c>
      <c r="M91" s="1686">
        <f t="shared" si="20"/>
        <v>100</v>
      </c>
      <c r="N91" s="1866"/>
      <c r="O91" s="1866"/>
      <c r="P91" s="1696"/>
      <c r="Q91" s="1697"/>
    </row>
    <row r="92" spans="1:17" ht="14.4" thickTop="1">
      <c r="A92" s="1535"/>
      <c r="B92" s="1682" t="str">
        <f>B28</f>
        <v>楼层</v>
      </c>
      <c r="C92" s="456"/>
      <c r="D92" s="456"/>
      <c r="E92" s="456"/>
      <c r="F92" s="456"/>
      <c r="G92" s="456"/>
      <c r="H92" s="456"/>
      <c r="I92" s="456"/>
      <c r="J92" s="456"/>
      <c r="K92" s="456"/>
      <c r="L92" s="456"/>
      <c r="M92" s="1713"/>
      <c r="N92" s="2709"/>
      <c r="O92" s="2709"/>
      <c r="P92" s="1677"/>
      <c r="Q92" s="1648"/>
    </row>
    <row r="93" spans="1:17" ht="14.4" thickBot="1">
      <c r="A93" s="1535"/>
      <c r="B93" s="1685"/>
      <c r="C93" s="1679"/>
      <c r="D93" s="1679"/>
      <c r="E93" s="1679"/>
      <c r="F93" s="1679"/>
      <c r="G93" s="1679"/>
      <c r="H93" s="1679"/>
      <c r="I93" s="1679"/>
      <c r="J93" s="1679"/>
      <c r="K93" s="1679"/>
      <c r="L93" s="1679"/>
      <c r="M93" s="1680"/>
      <c r="N93" s="2248"/>
      <c r="O93" s="2248"/>
      <c r="P93" s="1677"/>
      <c r="Q93" s="1648"/>
    </row>
    <row r="94" spans="1:17" ht="14.4" thickTop="1">
      <c r="A94" s="1535"/>
      <c r="B94" s="1682">
        <f>B29</f>
        <v>111</v>
      </c>
      <c r="C94" s="456"/>
      <c r="D94" s="456"/>
      <c r="E94" s="456"/>
      <c r="F94" s="456"/>
      <c r="G94" s="1417"/>
      <c r="H94" s="1417"/>
      <c r="I94" s="1417"/>
      <c r="J94" s="1417"/>
      <c r="K94" s="461"/>
      <c r="L94" s="461"/>
      <c r="M94" s="1716"/>
      <c r="N94" s="2709"/>
      <c r="O94" s="2709"/>
      <c r="P94" s="1677"/>
      <c r="Q94" s="1648"/>
    </row>
    <row r="95" spans="1:17" ht="14.4" thickBot="1">
      <c r="A95" s="1535"/>
      <c r="B95" s="1685"/>
      <c r="C95" s="1698"/>
      <c r="D95" s="1679"/>
      <c r="E95" s="1679"/>
      <c r="F95" s="1679"/>
      <c r="G95" s="1679"/>
      <c r="H95" s="1679"/>
      <c r="I95" s="1679"/>
      <c r="J95" s="1679"/>
      <c r="K95" s="1679"/>
      <c r="L95" s="1679"/>
      <c r="M95" s="1680"/>
      <c r="N95" s="2248"/>
      <c r="O95" s="2248"/>
      <c r="P95" s="1677"/>
      <c r="Q95" s="1648"/>
    </row>
    <row r="96" spans="1:17" ht="14.4" thickTop="1">
      <c r="A96" s="1535"/>
      <c r="B96" s="1682">
        <f>B30</f>
        <v>111</v>
      </c>
      <c r="C96" s="456"/>
      <c r="D96" s="456"/>
      <c r="E96" s="456"/>
      <c r="F96" s="456"/>
      <c r="G96" s="1417"/>
      <c r="H96" s="1417"/>
      <c r="I96" s="1417"/>
      <c r="J96" s="1417"/>
      <c r="K96" s="461"/>
      <c r="L96" s="461"/>
      <c r="M96" s="1716"/>
      <c r="N96" s="2709"/>
      <c r="O96" s="2709"/>
      <c r="P96" s="1677"/>
      <c r="Q96" s="1648"/>
    </row>
    <row r="97" spans="1:17" ht="14.4" thickBot="1">
      <c r="A97" s="1535"/>
      <c r="B97" s="1685"/>
      <c r="C97" s="1698"/>
      <c r="D97" s="1679"/>
      <c r="E97" s="1679"/>
      <c r="F97" s="1679"/>
      <c r="G97" s="1679"/>
      <c r="H97" s="1679"/>
      <c r="I97" s="1679"/>
      <c r="J97" s="1679"/>
      <c r="K97" s="1679"/>
      <c r="L97" s="1679"/>
      <c r="M97" s="1680"/>
      <c r="N97" s="2248"/>
      <c r="O97" s="2248"/>
      <c r="P97" s="1677"/>
      <c r="Q97" s="1648"/>
    </row>
    <row r="98" spans="1:17" ht="14.4" thickTop="1">
      <c r="A98" s="1535"/>
      <c r="B98" s="1688">
        <f>B31</f>
        <v>111</v>
      </c>
      <c r="C98" s="456"/>
      <c r="D98" s="456"/>
      <c r="E98" s="456"/>
      <c r="F98" s="456"/>
      <c r="G98" s="1717"/>
      <c r="H98" s="1717"/>
      <c r="I98" s="1717"/>
      <c r="J98" s="1717"/>
      <c r="K98" s="465"/>
      <c r="L98" s="465"/>
      <c r="M98" s="1718"/>
      <c r="N98" s="2709"/>
      <c r="O98" s="2709"/>
      <c r="P98" s="1677"/>
      <c r="Q98" s="1648"/>
    </row>
    <row r="99" spans="1:17" ht="14.4" thickBot="1">
      <c r="A99" s="1545"/>
      <c r="B99" s="1705"/>
      <c r="C99" s="1706"/>
      <c r="D99" s="1706"/>
      <c r="E99" s="1706"/>
      <c r="F99" s="1706"/>
      <c r="G99" s="1719"/>
      <c r="H99" s="1719"/>
      <c r="I99" s="1719"/>
      <c r="J99" s="1719"/>
      <c r="K99" s="1719"/>
      <c r="L99" s="1719"/>
      <c r="M99" s="1720"/>
      <c r="N99" s="2248"/>
      <c r="O99" s="2248"/>
      <c r="P99" s="1677"/>
      <c r="Q99" s="1648"/>
    </row>
    <row r="100" spans="1:17" ht="14.4">
      <c r="A100" s="1550" t="s">
        <v>2035</v>
      </c>
      <c r="B100" s="1672" t="s">
        <v>2139</v>
      </c>
      <c r="C100" s="1674"/>
      <c r="D100" s="1674"/>
      <c r="E100" s="1674"/>
      <c r="F100" s="1674"/>
      <c r="G100" s="1674"/>
      <c r="H100" s="1674"/>
      <c r="I100" s="1674"/>
      <c r="J100" s="1674"/>
      <c r="K100" s="408"/>
      <c r="L100" s="408"/>
      <c r="M100" s="1675"/>
      <c r="N100" s="2709"/>
      <c r="O100" s="2709"/>
      <c r="P100" s="1677"/>
      <c r="Q100" s="1648"/>
    </row>
    <row r="101" spans="1:17" ht="14.4" thickBot="1">
      <c r="A101" s="1535"/>
      <c r="B101" s="1685"/>
      <c r="C101" s="1686">
        <v>100</v>
      </c>
      <c r="D101" s="1686">
        <f t="shared" ref="D101:M101" si="21">C101-$K32</f>
        <v>100</v>
      </c>
      <c r="E101" s="1686">
        <f t="shared" si="21"/>
        <v>100</v>
      </c>
      <c r="F101" s="1686">
        <f t="shared" si="21"/>
        <v>100</v>
      </c>
      <c r="G101" s="1686">
        <f t="shared" si="21"/>
        <v>100</v>
      </c>
      <c r="H101" s="1686">
        <f t="shared" si="21"/>
        <v>100</v>
      </c>
      <c r="I101" s="1686">
        <f t="shared" si="21"/>
        <v>100</v>
      </c>
      <c r="J101" s="1686">
        <f t="shared" si="21"/>
        <v>100</v>
      </c>
      <c r="K101" s="1686">
        <f t="shared" si="21"/>
        <v>100</v>
      </c>
      <c r="L101" s="1686">
        <f t="shared" si="21"/>
        <v>100</v>
      </c>
      <c r="M101" s="1687">
        <f t="shared" si="21"/>
        <v>100</v>
      </c>
      <c r="N101" s="2248"/>
      <c r="O101" s="2248"/>
      <c r="P101" s="1677"/>
      <c r="Q101" s="1648"/>
    </row>
    <row r="102" spans="1:17" ht="15" thickTop="1">
      <c r="A102" s="1535"/>
      <c r="B102" s="1682" t="s">
        <v>2085</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7" t="str">
        <f>M103&amp;"(含)"&amp;"-"&amp;P103</f>
        <v>(含)-</v>
      </c>
      <c r="N102" s="1865"/>
      <c r="O102" s="1865"/>
      <c r="P102" s="1677"/>
      <c r="Q102" s="1648"/>
    </row>
    <row r="103" spans="1:17" s="1601" customFormat="1">
      <c r="A103" s="1595"/>
      <c r="B103" s="1721"/>
      <c r="C103" s="1722"/>
      <c r="D103" s="1722"/>
      <c r="E103" s="1722"/>
      <c r="F103" s="1722"/>
      <c r="G103" s="1722"/>
      <c r="H103" s="1722"/>
      <c r="I103" s="1722"/>
      <c r="J103" s="472"/>
      <c r="K103" s="472"/>
      <c r="L103" s="472"/>
      <c r="M103" s="1723"/>
      <c r="N103" s="1866"/>
      <c r="O103" s="1866"/>
      <c r="P103" s="1696"/>
      <c r="Q103" s="1697"/>
    </row>
    <row r="104" spans="1:17" s="1601" customFormat="1" ht="14.4" thickBot="1">
      <c r="A104" s="1693"/>
      <c r="B104" s="1685"/>
      <c r="C104" s="1698"/>
      <c r="D104" s="1679"/>
      <c r="E104" s="1679"/>
      <c r="F104" s="1679"/>
      <c r="G104" s="1679"/>
      <c r="H104" s="1679"/>
      <c r="I104" s="1679"/>
      <c r="J104" s="1679"/>
      <c r="K104" s="1679"/>
      <c r="L104" s="1679"/>
      <c r="M104" s="1680"/>
      <c r="N104" s="2248"/>
      <c r="O104" s="2248"/>
      <c r="P104" s="1696"/>
      <c r="Q104" s="1697"/>
    </row>
    <row r="105" spans="1:17" ht="15" thickTop="1">
      <c r="A105" s="1602"/>
      <c r="B105" s="1682" t="s">
        <v>2086</v>
      </c>
      <c r="C105" s="456"/>
      <c r="D105" s="456"/>
      <c r="E105" s="1417"/>
      <c r="F105" s="1417"/>
      <c r="G105" s="1417"/>
      <c r="H105" s="1417"/>
      <c r="I105" s="1417"/>
      <c r="J105" s="1417"/>
      <c r="K105" s="461"/>
      <c r="L105" s="461"/>
      <c r="M105" s="1716"/>
      <c r="N105" s="2709"/>
      <c r="O105" s="2709"/>
      <c r="P105" s="1677"/>
      <c r="Q105" s="1648"/>
    </row>
    <row r="106" spans="1:17" ht="14.4" thickBot="1">
      <c r="A106" s="1535"/>
      <c r="B106" s="1685"/>
      <c r="C106" s="1686">
        <v>100</v>
      </c>
      <c r="D106" s="1686">
        <f t="shared" ref="D106:M106" si="23">C106-$K34</f>
        <v>100</v>
      </c>
      <c r="E106" s="1686">
        <f t="shared" si="23"/>
        <v>100</v>
      </c>
      <c r="F106" s="1686">
        <f t="shared" si="23"/>
        <v>100</v>
      </c>
      <c r="G106" s="1686">
        <f t="shared" si="23"/>
        <v>100</v>
      </c>
      <c r="H106" s="1686">
        <f t="shared" si="23"/>
        <v>100</v>
      </c>
      <c r="I106" s="1686">
        <f t="shared" si="23"/>
        <v>100</v>
      </c>
      <c r="J106" s="1686">
        <f t="shared" si="23"/>
        <v>100</v>
      </c>
      <c r="K106" s="1686">
        <f t="shared" si="23"/>
        <v>100</v>
      </c>
      <c r="L106" s="1686">
        <f t="shared" si="23"/>
        <v>100</v>
      </c>
      <c r="M106" s="1687">
        <f t="shared" si="23"/>
        <v>100</v>
      </c>
      <c r="N106" s="2248"/>
      <c r="O106" s="2248"/>
      <c r="P106" s="1677"/>
      <c r="Q106" s="1648"/>
    </row>
    <row r="107" spans="1:17" ht="15" thickTop="1">
      <c r="A107" s="1602"/>
      <c r="B107" s="1682" t="s">
        <v>2088</v>
      </c>
      <c r="C107" s="456"/>
      <c r="D107" s="456"/>
      <c r="E107" s="456"/>
      <c r="F107" s="1417"/>
      <c r="G107" s="1417"/>
      <c r="H107" s="1417"/>
      <c r="I107" s="1417"/>
      <c r="J107" s="1417"/>
      <c r="K107" s="461"/>
      <c r="L107" s="461"/>
      <c r="M107" s="1716"/>
      <c r="N107" s="2709"/>
      <c r="O107" s="2709"/>
      <c r="P107" s="1677"/>
      <c r="Q107" s="1648"/>
    </row>
    <row r="108" spans="1:17" ht="14.4" thickBot="1">
      <c r="A108" s="1535"/>
      <c r="B108" s="1685"/>
      <c r="C108" s="1686">
        <v>100</v>
      </c>
      <c r="D108" s="1686">
        <f t="shared" ref="D108:M108" si="24">C108-$K35</f>
        <v>100</v>
      </c>
      <c r="E108" s="1686">
        <f t="shared" si="24"/>
        <v>100</v>
      </c>
      <c r="F108" s="1686">
        <f t="shared" si="24"/>
        <v>100</v>
      </c>
      <c r="G108" s="1686">
        <f t="shared" si="24"/>
        <v>100</v>
      </c>
      <c r="H108" s="1686">
        <f t="shared" si="24"/>
        <v>100</v>
      </c>
      <c r="I108" s="1686">
        <f t="shared" si="24"/>
        <v>100</v>
      </c>
      <c r="J108" s="1686">
        <f t="shared" si="24"/>
        <v>100</v>
      </c>
      <c r="K108" s="1686">
        <f t="shared" si="24"/>
        <v>100</v>
      </c>
      <c r="L108" s="1686">
        <f t="shared" si="24"/>
        <v>100</v>
      </c>
      <c r="M108" s="1687">
        <f t="shared" si="24"/>
        <v>100</v>
      </c>
      <c r="N108" s="2248"/>
      <c r="O108" s="2248"/>
      <c r="P108" s="1677"/>
      <c r="Q108" s="1648"/>
    </row>
    <row r="109" spans="1:17" ht="15" thickTop="1">
      <c r="A109" s="1602"/>
      <c r="B109" s="1682" t="s">
        <v>2089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7"/>
      <c r="J109" s="1417"/>
      <c r="K109" s="461"/>
      <c r="L109" s="461"/>
      <c r="M109" s="1716"/>
      <c r="N109" s="2709"/>
      <c r="O109" s="2709"/>
      <c r="P109" s="1677"/>
      <c r="Q109" s="1648"/>
    </row>
    <row r="110" spans="1:17">
      <c r="A110" s="1602"/>
      <c r="B110" s="1688"/>
      <c r="C110" s="1472">
        <v>0.5</v>
      </c>
      <c r="D110" s="1472">
        <v>0.6</v>
      </c>
      <c r="E110" s="1472">
        <v>0.7</v>
      </c>
      <c r="F110" s="1472">
        <v>0.8</v>
      </c>
      <c r="G110" s="1472">
        <v>0.9</v>
      </c>
      <c r="H110" s="1472">
        <v>1</v>
      </c>
      <c r="I110" s="2227"/>
      <c r="J110" s="2227"/>
      <c r="K110" s="494"/>
      <c r="L110" s="494"/>
      <c r="M110" s="2228"/>
      <c r="N110" s="2709"/>
      <c r="O110" s="2709"/>
      <c r="P110" s="1677"/>
      <c r="Q110" s="1648"/>
    </row>
    <row r="111" spans="1:17" ht="14.4" thickBot="1">
      <c r="A111" s="1535"/>
      <c r="B111" s="1685"/>
      <c r="C111" s="1714">
        <v>100</v>
      </c>
      <c r="D111" s="1686">
        <f>C111+$K36</f>
        <v>100</v>
      </c>
      <c r="E111" s="1686">
        <f t="shared" ref="E111:M111" si="25">D111+$K36</f>
        <v>100</v>
      </c>
      <c r="F111" s="1686">
        <f t="shared" si="25"/>
        <v>100</v>
      </c>
      <c r="G111" s="1686">
        <f t="shared" si="25"/>
        <v>100</v>
      </c>
      <c r="H111" s="1686">
        <f t="shared" si="25"/>
        <v>100</v>
      </c>
      <c r="I111" s="1686">
        <f t="shared" si="25"/>
        <v>100</v>
      </c>
      <c r="J111" s="1686">
        <f t="shared" si="25"/>
        <v>100</v>
      </c>
      <c r="K111" s="1686">
        <f t="shared" si="25"/>
        <v>100</v>
      </c>
      <c r="L111" s="1686">
        <f t="shared" si="25"/>
        <v>100</v>
      </c>
      <c r="M111" s="1686">
        <f t="shared" si="25"/>
        <v>100</v>
      </c>
      <c r="N111" s="2248"/>
      <c r="O111" s="2248"/>
      <c r="P111" s="1677"/>
      <c r="Q111" s="1648"/>
    </row>
    <row r="112" spans="1:17" s="1601" customFormat="1" ht="15" thickTop="1">
      <c r="A112" s="1595"/>
      <c r="B112" s="1682" t="s">
        <v>2091</v>
      </c>
      <c r="C112" s="456"/>
      <c r="D112" s="456"/>
      <c r="E112" s="456"/>
      <c r="F112" s="456"/>
      <c r="G112" s="456"/>
      <c r="H112" s="1417"/>
      <c r="I112" s="1417"/>
      <c r="J112" s="1417"/>
      <c r="K112" s="461"/>
      <c r="L112" s="461"/>
      <c r="M112" s="1716"/>
      <c r="N112" s="1866"/>
      <c r="O112" s="1866"/>
      <c r="P112" s="1696"/>
      <c r="Q112" s="1697"/>
    </row>
    <row r="113" spans="1:17" s="1601" customFormat="1" ht="14.4" thickBot="1">
      <c r="A113" s="1693"/>
      <c r="B113" s="1685"/>
      <c r="C113" s="1686">
        <v>100</v>
      </c>
      <c r="D113" s="1686">
        <f>C113-$K37</f>
        <v>100</v>
      </c>
      <c r="E113" s="1686">
        <f t="shared" ref="E113:M113" si="26">D113-$K37</f>
        <v>100</v>
      </c>
      <c r="F113" s="1686">
        <f t="shared" si="26"/>
        <v>100</v>
      </c>
      <c r="G113" s="1686">
        <f t="shared" si="26"/>
        <v>100</v>
      </c>
      <c r="H113" s="1686">
        <f t="shared" si="26"/>
        <v>100</v>
      </c>
      <c r="I113" s="1686">
        <f t="shared" si="26"/>
        <v>100</v>
      </c>
      <c r="J113" s="1686">
        <f t="shared" si="26"/>
        <v>100</v>
      </c>
      <c r="K113" s="1686">
        <f t="shared" si="26"/>
        <v>100</v>
      </c>
      <c r="L113" s="1686">
        <f t="shared" si="26"/>
        <v>100</v>
      </c>
      <c r="M113" s="1686">
        <f t="shared" si="26"/>
        <v>100</v>
      </c>
      <c r="N113" s="1866"/>
      <c r="O113" s="1866"/>
      <c r="P113" s="1696"/>
      <c r="Q113" s="1697"/>
    </row>
    <row r="114" spans="1:17" ht="15" thickTop="1">
      <c r="A114" s="1602"/>
      <c r="B114" s="1682" t="s">
        <v>2140</v>
      </c>
      <c r="C114" s="456"/>
      <c r="D114" s="456"/>
      <c r="E114" s="1417"/>
      <c r="F114" s="1417"/>
      <c r="G114" s="1417"/>
      <c r="H114" s="1417"/>
      <c r="I114" s="1417"/>
      <c r="J114" s="1417"/>
      <c r="K114" s="461"/>
      <c r="L114" s="461"/>
      <c r="M114" s="1716"/>
      <c r="N114" s="2709"/>
      <c r="O114" s="2709"/>
      <c r="P114" s="1677"/>
      <c r="Q114" s="1648"/>
    </row>
    <row r="115" spans="1:17" ht="14.4" thickBot="1">
      <c r="A115" s="1535"/>
      <c r="B115" s="1685"/>
      <c r="C115" s="1686">
        <v>100</v>
      </c>
      <c r="D115" s="1686">
        <f t="shared" ref="D115:M115" si="27">C115-$K38</f>
        <v>100</v>
      </c>
      <c r="E115" s="1686">
        <f t="shared" si="27"/>
        <v>100</v>
      </c>
      <c r="F115" s="1686">
        <f t="shared" si="27"/>
        <v>100</v>
      </c>
      <c r="G115" s="1686">
        <f t="shared" si="27"/>
        <v>100</v>
      </c>
      <c r="H115" s="1686">
        <f t="shared" si="27"/>
        <v>100</v>
      </c>
      <c r="I115" s="1686">
        <f t="shared" si="27"/>
        <v>100</v>
      </c>
      <c r="J115" s="1686">
        <f t="shared" si="27"/>
        <v>100</v>
      </c>
      <c r="K115" s="1686">
        <f t="shared" si="27"/>
        <v>100</v>
      </c>
      <c r="L115" s="1686">
        <f t="shared" si="27"/>
        <v>100</v>
      </c>
      <c r="M115" s="1687">
        <f t="shared" si="27"/>
        <v>100</v>
      </c>
      <c r="N115" s="2248"/>
      <c r="O115" s="2248"/>
      <c r="P115" s="1677"/>
      <c r="Q115" s="1648"/>
    </row>
    <row r="116" spans="1:17" ht="15" thickTop="1">
      <c r="A116" s="1602"/>
      <c r="B116" s="1682" t="s">
        <v>2141</v>
      </c>
      <c r="C116" s="456"/>
      <c r="D116" s="456"/>
      <c r="E116" s="456"/>
      <c r="F116" s="456"/>
      <c r="G116" s="456"/>
      <c r="H116" s="1417"/>
      <c r="I116" s="1417"/>
      <c r="J116" s="1417"/>
      <c r="K116" s="461"/>
      <c r="L116" s="461"/>
      <c r="M116" s="1716"/>
      <c r="N116" s="2709"/>
      <c r="O116" s="2709"/>
      <c r="P116" s="1677"/>
      <c r="Q116" s="1648"/>
    </row>
    <row r="117" spans="1:17" ht="14.4" thickBot="1">
      <c r="A117" s="1535"/>
      <c r="B117" s="1685"/>
      <c r="C117" s="1686">
        <v>100</v>
      </c>
      <c r="D117" s="1686">
        <f>C117-$K39</f>
        <v>100</v>
      </c>
      <c r="E117" s="1686">
        <f>D117-$K39</f>
        <v>100</v>
      </c>
      <c r="F117" s="1686">
        <f>E117-$K39</f>
        <v>100</v>
      </c>
      <c r="G117" s="1686">
        <f>F117-$K39</f>
        <v>100</v>
      </c>
      <c r="H117" s="1686"/>
      <c r="I117" s="1686"/>
      <c r="J117" s="1686"/>
      <c r="K117" s="1686"/>
      <c r="L117" s="1686"/>
      <c r="M117" s="1687"/>
      <c r="N117" s="2248"/>
      <c r="O117" s="2248"/>
      <c r="P117" s="1677"/>
      <c r="Q117" s="1648"/>
    </row>
    <row r="118" spans="1:17" ht="15" thickTop="1">
      <c r="A118" s="1602"/>
      <c r="B118" s="1682" t="s">
        <v>2142</v>
      </c>
      <c r="C118" s="2229"/>
      <c r="D118" s="2229"/>
      <c r="E118" s="2229"/>
      <c r="F118" s="2229"/>
      <c r="G118" s="2229"/>
      <c r="H118" s="433"/>
      <c r="I118" s="433"/>
      <c r="J118" s="433"/>
      <c r="K118" s="433"/>
      <c r="L118" s="433"/>
      <c r="M118" s="1694"/>
      <c r="N118" s="2709"/>
      <c r="O118" s="2709"/>
      <c r="P118" s="1677"/>
      <c r="Q118" s="1648"/>
    </row>
    <row r="119" spans="1:17" ht="14.4" thickBot="1">
      <c r="A119" s="1535"/>
      <c r="B119" s="1685"/>
      <c r="C119" s="1698"/>
      <c r="D119" s="1679"/>
      <c r="E119" s="1679"/>
      <c r="F119" s="1679"/>
      <c r="G119" s="1679"/>
      <c r="H119" s="1679"/>
      <c r="I119" s="1679"/>
      <c r="J119" s="1679"/>
      <c r="K119" s="1679"/>
      <c r="L119" s="1679"/>
      <c r="M119" s="1680"/>
      <c r="N119" s="2248"/>
      <c r="O119" s="2248"/>
      <c r="P119" s="1677"/>
      <c r="Q119" s="1648"/>
    </row>
    <row r="120" spans="1:17" s="1601" customFormat="1" ht="15" thickTop="1">
      <c r="A120" s="1595"/>
      <c r="B120" s="1682" t="s">
        <v>2143</v>
      </c>
      <c r="C120" s="1417"/>
      <c r="D120" s="1417"/>
      <c r="E120" s="1417"/>
      <c r="F120" s="1417"/>
      <c r="G120" s="433"/>
      <c r="H120" s="433"/>
      <c r="I120" s="433"/>
      <c r="J120" s="433"/>
      <c r="K120" s="433"/>
      <c r="L120" s="433"/>
      <c r="M120" s="1694"/>
      <c r="N120" s="1866"/>
      <c r="O120" s="1866"/>
      <c r="P120" s="1696"/>
      <c r="Q120" s="1697"/>
    </row>
    <row r="121" spans="1:17" s="1601" customFormat="1" ht="14.4" thickBot="1">
      <c r="A121" s="1693"/>
      <c r="B121" s="1678"/>
      <c r="C121" s="1714">
        <v>100</v>
      </c>
      <c r="D121" s="1686">
        <f>C121-$K41</f>
        <v>100</v>
      </c>
      <c r="E121" s="1686">
        <f t="shared" ref="E121:M121" si="28">D121-$K41</f>
        <v>100</v>
      </c>
      <c r="F121" s="1686">
        <f t="shared" si="28"/>
        <v>100</v>
      </c>
      <c r="G121" s="1686">
        <f t="shared" si="28"/>
        <v>100</v>
      </c>
      <c r="H121" s="1686">
        <f t="shared" si="28"/>
        <v>100</v>
      </c>
      <c r="I121" s="1686">
        <f t="shared" si="28"/>
        <v>100</v>
      </c>
      <c r="J121" s="1686">
        <f t="shared" si="28"/>
        <v>100</v>
      </c>
      <c r="K121" s="1686">
        <f t="shared" si="28"/>
        <v>100</v>
      </c>
      <c r="L121" s="1686">
        <f t="shared" si="28"/>
        <v>100</v>
      </c>
      <c r="M121" s="1687">
        <f t="shared" si="28"/>
        <v>100</v>
      </c>
      <c r="N121" s="1866"/>
      <c r="O121" s="1866"/>
      <c r="P121" s="1696"/>
      <c r="Q121" s="1697"/>
    </row>
    <row r="122" spans="1:17" ht="15" thickTop="1">
      <c r="A122" s="1602"/>
      <c r="B122" s="1682" t="s">
        <v>2093</v>
      </c>
      <c r="C122" s="456"/>
      <c r="D122" s="456"/>
      <c r="E122" s="456"/>
      <c r="F122" s="1417"/>
      <c r="G122" s="1417"/>
      <c r="H122" s="1417"/>
      <c r="I122" s="1417"/>
      <c r="J122" s="1417"/>
      <c r="K122" s="461"/>
      <c r="L122" s="461"/>
      <c r="M122" s="1716"/>
      <c r="N122" s="2709"/>
      <c r="O122" s="2709"/>
      <c r="P122" s="1677"/>
      <c r="Q122" s="1648"/>
    </row>
    <row r="123" spans="1:17" ht="14.4" thickBot="1">
      <c r="A123" s="1535"/>
      <c r="B123" s="1685"/>
      <c r="C123" s="1686">
        <v>100</v>
      </c>
      <c r="D123" s="1686">
        <f t="shared" ref="D123:M123" si="29">C123-$K42</f>
        <v>100</v>
      </c>
      <c r="E123" s="1686">
        <f t="shared" si="29"/>
        <v>100</v>
      </c>
      <c r="F123" s="1686">
        <f t="shared" si="29"/>
        <v>100</v>
      </c>
      <c r="G123" s="1686">
        <f t="shared" si="29"/>
        <v>100</v>
      </c>
      <c r="H123" s="1686">
        <f t="shared" si="29"/>
        <v>100</v>
      </c>
      <c r="I123" s="1686">
        <f t="shared" si="29"/>
        <v>100</v>
      </c>
      <c r="J123" s="1686">
        <f t="shared" si="29"/>
        <v>100</v>
      </c>
      <c r="K123" s="1686">
        <f t="shared" si="29"/>
        <v>100</v>
      </c>
      <c r="L123" s="1686">
        <f t="shared" si="29"/>
        <v>100</v>
      </c>
      <c r="M123" s="1687">
        <f t="shared" si="29"/>
        <v>100</v>
      </c>
      <c r="N123" s="2248"/>
      <c r="O123" s="2248"/>
      <c r="P123" s="1677"/>
      <c r="Q123" s="1648"/>
    </row>
    <row r="124" spans="1:17" ht="29.4" thickTop="1">
      <c r="A124" s="1602"/>
      <c r="B124" s="1682" t="s">
        <v>2094</v>
      </c>
      <c r="C124" s="559" t="s">
        <v>2069</v>
      </c>
      <c r="D124" s="559" t="s">
        <v>2070</v>
      </c>
      <c r="E124" s="559" t="s">
        <v>2071</v>
      </c>
      <c r="F124" s="559" t="s">
        <v>2072</v>
      </c>
      <c r="G124" s="559" t="s">
        <v>2073</v>
      </c>
      <c r="H124" s="1683"/>
      <c r="I124" s="1683"/>
      <c r="J124" s="1683"/>
      <c r="K124" s="418"/>
      <c r="L124" s="418"/>
      <c r="M124" s="1684"/>
      <c r="N124" s="2709"/>
      <c r="O124" s="2709"/>
      <c r="P124" s="1696"/>
      <c r="Q124" s="1648"/>
    </row>
    <row r="125" spans="1:17" ht="14.4" thickBot="1">
      <c r="A125" s="1535"/>
      <c r="B125" s="1685"/>
      <c r="C125" s="1686">
        <v>100</v>
      </c>
      <c r="D125" s="1686">
        <f>C125-$K43</f>
        <v>100</v>
      </c>
      <c r="E125" s="1686">
        <f>D125-$K43</f>
        <v>100</v>
      </c>
      <c r="F125" s="1686">
        <f>E125-$K43</f>
        <v>100</v>
      </c>
      <c r="G125" s="1686">
        <f>F125-$K43</f>
        <v>100</v>
      </c>
      <c r="H125" s="1686"/>
      <c r="I125" s="1686"/>
      <c r="J125" s="1686"/>
      <c r="K125" s="1686"/>
      <c r="L125" s="1686"/>
      <c r="M125" s="1687"/>
      <c r="N125" s="2248"/>
      <c r="O125" s="2248"/>
      <c r="P125" s="1677"/>
      <c r="Q125" s="1648"/>
    </row>
    <row r="126" spans="1:17" s="1601" customFormat="1" ht="14.4" thickTop="1">
      <c r="A126" s="1595"/>
      <c r="B126" s="1682">
        <f>B44</f>
        <v>111</v>
      </c>
      <c r="C126" s="456"/>
      <c r="D126" s="456"/>
      <c r="E126" s="456"/>
      <c r="F126" s="456"/>
      <c r="G126" s="456"/>
      <c r="H126" s="433"/>
      <c r="I126" s="433"/>
      <c r="J126" s="433"/>
      <c r="K126" s="433"/>
      <c r="L126" s="433"/>
      <c r="M126" s="1694"/>
      <c r="N126" s="1866"/>
      <c r="O126" s="1866"/>
      <c r="P126" s="1696"/>
      <c r="Q126" s="1697"/>
    </row>
    <row r="127" spans="1:17" s="1601" customFormat="1" ht="14.4" thickBot="1">
      <c r="A127" s="1693"/>
      <c r="B127" s="1685"/>
      <c r="C127" s="1698"/>
      <c r="D127" s="1679"/>
      <c r="E127" s="1679"/>
      <c r="F127" s="1679"/>
      <c r="G127" s="1698"/>
      <c r="H127" s="1701"/>
      <c r="I127" s="1701"/>
      <c r="J127" s="1701"/>
      <c r="K127" s="1701"/>
      <c r="L127" s="1701"/>
      <c r="M127" s="1702"/>
      <c r="N127" s="1866"/>
      <c r="O127" s="1866"/>
      <c r="P127" s="1696"/>
      <c r="Q127" s="1697"/>
    </row>
    <row r="128" spans="1:17" ht="14.4" thickTop="1">
      <c r="A128" s="1602"/>
      <c r="B128" s="1682">
        <f>B45</f>
        <v>111</v>
      </c>
      <c r="C128" s="456"/>
      <c r="D128" s="456"/>
      <c r="E128" s="456"/>
      <c r="F128" s="456"/>
      <c r="G128" s="1417"/>
      <c r="H128" s="1417"/>
      <c r="I128" s="1417"/>
      <c r="J128" s="1417"/>
      <c r="K128" s="461"/>
      <c r="L128" s="461"/>
      <c r="M128" s="1716"/>
      <c r="N128" s="2709"/>
      <c r="O128" s="2709"/>
      <c r="P128" s="1677"/>
      <c r="Q128" s="1648"/>
    </row>
    <row r="129" spans="1:17" ht="14.4" thickBot="1">
      <c r="A129" s="1535"/>
      <c r="B129" s="1685"/>
      <c r="C129" s="1698"/>
      <c r="D129" s="1679"/>
      <c r="E129" s="1679"/>
      <c r="F129" s="1679"/>
      <c r="G129" s="1679"/>
      <c r="H129" s="1679"/>
      <c r="I129" s="1679"/>
      <c r="J129" s="1679"/>
      <c r="K129" s="1679"/>
      <c r="L129" s="1679"/>
      <c r="M129" s="1680"/>
      <c r="N129" s="2248"/>
      <c r="O129" s="2248"/>
      <c r="P129" s="1677"/>
      <c r="Q129" s="1648"/>
    </row>
    <row r="130" spans="1:17" ht="14.4" thickTop="1">
      <c r="A130" s="1602"/>
      <c r="B130" s="1688">
        <f>B46</f>
        <v>111</v>
      </c>
      <c r="C130" s="456"/>
      <c r="D130" s="456"/>
      <c r="E130" s="456"/>
      <c r="F130" s="456"/>
      <c r="G130" s="1717"/>
      <c r="H130" s="1717"/>
      <c r="I130" s="1717"/>
      <c r="J130" s="1717"/>
      <c r="K130" s="401"/>
      <c r="L130" s="401"/>
      <c r="M130" s="1718"/>
      <c r="N130" s="2709"/>
      <c r="O130" s="2709"/>
      <c r="P130" s="1677"/>
      <c r="Q130" s="1648"/>
    </row>
    <row r="131" spans="1:17" ht="14.4" thickBot="1">
      <c r="A131" s="1545"/>
      <c r="B131" s="1705"/>
      <c r="C131" s="1706"/>
      <c r="D131" s="1706"/>
      <c r="E131" s="1706"/>
      <c r="F131" s="1706"/>
      <c r="G131" s="1719"/>
      <c r="H131" s="1719"/>
      <c r="I131" s="1719"/>
      <c r="J131" s="1719"/>
      <c r="K131" s="1719"/>
      <c r="L131" s="1719"/>
      <c r="M131" s="1720"/>
      <c r="N131" s="2248"/>
      <c r="O131" s="2248"/>
      <c r="P131" s="1677"/>
      <c r="Q131" s="16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B000000}">
      <formula1>商业公共部分装修</formula1>
    </dataValidation>
    <dataValidation type="list" allowBlank="1" showInputMessage="1" showErrorMessage="1" sqref="C37 E37 G37 I37" xr:uid="{00000000-0002-0000-1600-00000C000000}">
      <formula1>商业基础设施水平</formula1>
    </dataValidation>
    <dataValidation type="list" allowBlank="1" showInputMessage="1" showErrorMessage="1" sqref="C41 E41 G41 I41" xr:uid="{00000000-0002-0000-1600-00000D000000}">
      <formula1>商业进深比</formula1>
    </dataValidation>
    <dataValidation type="list" allowBlank="1" showInputMessage="1" showErrorMessage="1" sqref="C42 E42 G42 I42" xr:uid="{00000000-0002-0000-1600-00000E000000}">
      <formula1>商业内部装修</formula1>
    </dataValidation>
    <dataValidation type="list" allowBlank="1" showInputMessage="1" showErrorMessage="1" sqref="E9 G9 I9" xr:uid="{00000000-0002-0000-1600-00000F000000}">
      <formula1>商业用途</formula1>
    </dataValidation>
    <dataValidation type="list" allowBlank="1" showInputMessage="1" showErrorMessage="1" sqref="C38 E38 G38 I38" xr:uid="{00000000-0002-0000-1600-000010000000}">
      <formula1>商业业态</formula1>
    </dataValidation>
    <dataValidation type="list" allowBlank="1" showInputMessage="1" showErrorMessage="1" sqref="C39 E39 G39 I39" xr:uid="{00000000-0002-0000-1600-000011000000}">
      <formula1>商业层高</formula1>
    </dataValidation>
    <dataValidation type="list" allowBlank="1" showInputMessage="1" showErrorMessage="1" sqref="C8 E8 G8 I8" xr:uid="{00000000-0002-0000-1600-000012000000}">
      <formula1>商业交易情况</formula1>
    </dataValidation>
    <dataValidation type="list" allowBlank="1" showInputMessage="1" showErrorMessage="1" sqref="C16 E16 G16 I16" xr:uid="{00000000-0002-0000-1600-000013000000}">
      <formula1>商业繁华度</formula1>
    </dataValidation>
    <dataValidation type="list" allowBlank="1" showInputMessage="1" showErrorMessage="1" sqref="C1" xr:uid="{00000000-0002-0000-1600-000014000000}">
      <formula1>"估价对象,仅计算典型户型"</formula1>
    </dataValidation>
    <dataValidation type="list" allowBlank="1" showInputMessage="1" showErrorMessage="1" sqref="C22 E22 G22 I22" xr:uid="{00000000-0002-0000-1600-000015000000}">
      <formula1>基础设施水平</formula1>
    </dataValidation>
    <dataValidation type="list" allowBlank="1" showInputMessage="1" showErrorMessage="1" sqref="E1" xr:uid="{00000000-0002-0000-1600-000016000000}">
      <formula1>"售价,租金"</formula1>
    </dataValidation>
    <dataValidation type="list" allowBlank="1" showInputMessage="1" showErrorMessage="1" sqref="D2" xr:uid="{00000000-0002-0000-1600-000017000000}">
      <formula1>"需扣减承租人权益,——"</formula1>
    </dataValidation>
    <dataValidation type="list" allowBlank="1" showInputMessage="1" showErrorMessage="1" sqref="G2" xr:uid="{00000000-0002-0000-1600-000018000000}">
      <formula1>估价方法</formula1>
    </dataValidation>
    <dataValidation type="list" allowBlank="1" showInputMessage="1" showErrorMessage="1" sqref="D48" xr:uid="{00000000-0002-0000-16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47" sqref="F47"/>
    </sheetView>
  </sheetViews>
  <sheetFormatPr defaultColWidth="9" defaultRowHeight="13.8"/>
  <cols>
    <col min="1" max="1" width="10.4414062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50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2144</v>
      </c>
      <c r="C1" s="1476"/>
      <c r="D1" s="1475"/>
      <c r="E1" s="1478"/>
      <c r="F1" s="1479" t="s">
        <v>2004</v>
      </c>
      <c r="G1" s="1475"/>
      <c r="H1" s="1475"/>
      <c r="I1" s="1475"/>
      <c r="J1" s="1475"/>
      <c r="K1" s="1480"/>
      <c r="L1" s="1481"/>
      <c r="M1" s="1475"/>
      <c r="N1" s="1475"/>
      <c r="O1" s="1475"/>
      <c r="P1" s="1475"/>
      <c r="Q1" s="1475"/>
      <c r="R1" s="1475"/>
      <c r="S1" s="1475"/>
      <c r="T1" s="1475"/>
      <c r="U1" s="1475"/>
      <c r="V1" s="1475"/>
      <c r="W1" s="1475"/>
      <c r="X1" s="1475"/>
      <c r="Y1" s="1475"/>
      <c r="Z1" s="1475"/>
      <c r="AA1" s="1475"/>
      <c r="AB1" s="2230"/>
      <c r="AC1" s="1484"/>
    </row>
    <row r="2" spans="1:29" s="1776" customFormat="1" ht="28.5" customHeight="1" thickTop="1">
      <c r="A2" s="1486" t="s">
        <v>1674</v>
      </c>
      <c r="B2" s="1487" t="e">
        <f ca="1">IF(D2="——",IF(C2="元",ROUND(C50*D3,0),ROUND(C50*D3/10000,0)),IF(C2="元",ROUND(C50*D3,0),ROUND(C50*D3/10000,0))-E2)</f>
        <v>#DIV/0!</v>
      </c>
      <c r="C2" s="1488" t="str">
        <f>'数据-取费表'!B3</f>
        <v>元</v>
      </c>
      <c r="D2" s="1489"/>
      <c r="E2" s="2231" t="e">
        <f ca="1">SUMIF(INDIRECT("'"&amp;G2&amp;"'"&amp;"!A:A"),"承租人权益价值",INDIRECT("'"&amp;G2&amp;"'"&amp;"!c:c"))</f>
        <v>#REF!</v>
      </c>
      <c r="F2" s="1491" t="str">
        <f>C2</f>
        <v>元</v>
      </c>
      <c r="G2" s="1492"/>
      <c r="H2" s="2706"/>
      <c r="I2" s="2706"/>
      <c r="J2" s="2706"/>
      <c r="K2" s="2706"/>
      <c r="L2" s="2708"/>
      <c r="M2" s="2706"/>
      <c r="N2" s="2706"/>
      <c r="O2" s="2706"/>
      <c r="P2" s="1771"/>
      <c r="Q2" s="1771"/>
      <c r="R2" s="1771"/>
      <c r="S2" s="1771"/>
      <c r="T2" s="1771"/>
      <c r="U2" s="1771"/>
      <c r="V2" s="1771"/>
      <c r="W2" s="1771"/>
      <c r="X2" s="1771"/>
      <c r="Y2" s="1771"/>
      <c r="Z2" s="1771"/>
      <c r="AA2" s="1771"/>
      <c r="AB2" s="2232"/>
      <c r="AC2" s="1775"/>
    </row>
    <row r="3" spans="1:29" s="1776" customFormat="1" ht="28.5" customHeight="1" thickBot="1">
      <c r="A3" s="1496" t="s">
        <v>1675</v>
      </c>
      <c r="B3" s="1779" t="e">
        <f ca="1">ROUND(IF(D2="——",C50,IF(C2="万元",B2*10000/D3,B2/D3)),0)</f>
        <v>#DIV/0!</v>
      </c>
      <c r="C3" s="1497" t="s">
        <v>2005</v>
      </c>
      <c r="D3" s="1497">
        <f>IF(C1="仅计算典型户型",'数据-取费表'!E5,'数据-取费表'!B5)</f>
        <v>165.59</v>
      </c>
      <c r="F3" s="2705"/>
      <c r="G3" s="2706"/>
      <c r="H3" s="2706"/>
      <c r="I3" s="2706"/>
      <c r="J3" s="2706"/>
      <c r="K3" s="2707"/>
      <c r="L3" s="2708"/>
      <c r="M3" s="2706"/>
      <c r="N3" s="2706"/>
      <c r="O3" s="2706"/>
      <c r="P3" s="2710"/>
      <c r="Q3" s="1770"/>
      <c r="R3" s="1770"/>
      <c r="S3" s="1770"/>
      <c r="T3" s="1770"/>
      <c r="U3" s="1770"/>
      <c r="V3" s="1770"/>
      <c r="W3" s="1770"/>
      <c r="X3" s="1771"/>
      <c r="Y3" s="1770"/>
      <c r="Z3" s="1770"/>
      <c r="AA3" s="1770"/>
      <c r="AB3" s="2233"/>
      <c r="AC3" s="1775"/>
    </row>
    <row r="4" spans="1:29" ht="14.4">
      <c r="A4" s="1499" t="s">
        <v>2006</v>
      </c>
      <c r="B4" s="1500"/>
      <c r="C4" s="3351" t="s">
        <v>2007</v>
      </c>
      <c r="D4" s="3352"/>
      <c r="E4" s="3353" t="s">
        <v>2008</v>
      </c>
      <c r="F4" s="3354"/>
      <c r="G4" s="3351" t="s">
        <v>2009</v>
      </c>
      <c r="H4" s="3352"/>
      <c r="I4" s="3351" t="s">
        <v>2010</v>
      </c>
      <c r="J4" s="3352"/>
      <c r="K4" s="1781" t="s">
        <v>2011</v>
      </c>
      <c r="L4" s="2694"/>
      <c r="P4" s="3355" t="s">
        <v>2012</v>
      </c>
      <c r="Q4" s="3356"/>
      <c r="R4" s="3340" t="s">
        <v>2008</v>
      </c>
      <c r="S4" s="3341"/>
      <c r="T4" s="3340" t="s">
        <v>2009</v>
      </c>
      <c r="U4" s="3341"/>
      <c r="V4" s="3320" t="s">
        <v>2010</v>
      </c>
      <c r="W4" s="3320"/>
      <c r="X4" s="1502"/>
      <c r="Y4" s="3340" t="s">
        <v>2012</v>
      </c>
      <c r="Z4" s="3341"/>
      <c r="AA4" s="3348" t="s">
        <v>2008</v>
      </c>
      <c r="AB4" s="3348" t="s">
        <v>2009</v>
      </c>
      <c r="AC4" s="3348" t="s">
        <v>2010</v>
      </c>
    </row>
    <row r="5" spans="1:29">
      <c r="A5" s="1504"/>
      <c r="B5" s="1505"/>
      <c r="C5" s="3336" t="s">
        <v>2013</v>
      </c>
      <c r="D5" s="3337"/>
      <c r="E5" s="3361" t="s">
        <v>2014</v>
      </c>
      <c r="F5" s="3362"/>
      <c r="G5" s="3336" t="s">
        <v>2015</v>
      </c>
      <c r="H5" s="3337"/>
      <c r="I5" s="3336" t="s">
        <v>2016</v>
      </c>
      <c r="J5" s="3337"/>
      <c r="K5" s="1781"/>
      <c r="L5" s="2694"/>
      <c r="P5" s="3357"/>
      <c r="Q5" s="3358"/>
      <c r="R5" s="3342"/>
      <c r="S5" s="3343"/>
      <c r="T5" s="3342"/>
      <c r="U5" s="3343"/>
      <c r="V5" s="3320"/>
      <c r="W5" s="3320"/>
      <c r="X5" s="1502"/>
      <c r="Y5" s="3342"/>
      <c r="Z5" s="3343"/>
      <c r="AA5" s="3349"/>
      <c r="AB5" s="3349"/>
      <c r="AC5" s="3349"/>
    </row>
    <row r="6" spans="1:29" ht="15" thickBot="1">
      <c r="A6" s="1507"/>
      <c r="B6" s="1508"/>
      <c r="C6" s="3334" t="s">
        <v>2017</v>
      </c>
      <c r="D6" s="3335"/>
      <c r="E6" s="3363" t="s">
        <v>2017</v>
      </c>
      <c r="F6" s="3364"/>
      <c r="G6" s="3334" t="s">
        <v>2017</v>
      </c>
      <c r="H6" s="3335"/>
      <c r="I6" s="3334" t="s">
        <v>2017</v>
      </c>
      <c r="J6" s="3335"/>
      <c r="K6" s="1781" t="s">
        <v>2018</v>
      </c>
      <c r="L6" s="2694"/>
      <c r="P6" s="3359"/>
      <c r="Q6" s="3360"/>
      <c r="R6" s="3342"/>
      <c r="S6" s="3343"/>
      <c r="T6" s="3344"/>
      <c r="U6" s="3345"/>
      <c r="V6" s="3320"/>
      <c r="W6" s="3320"/>
      <c r="X6" s="1502"/>
      <c r="Y6" s="3344"/>
      <c r="Z6" s="3345"/>
      <c r="AA6" s="3350"/>
      <c r="AB6" s="3350"/>
      <c r="AC6" s="3350"/>
    </row>
    <row r="7" spans="1:29" s="1520" customFormat="1" ht="15" thickBot="1">
      <c r="A7" s="1509" t="s">
        <v>2019</v>
      </c>
      <c r="B7" s="1510"/>
      <c r="C7" s="1511">
        <f>'数据-取费表'!B2</f>
        <v>44901</v>
      </c>
      <c r="D7" s="1512">
        <v>100</v>
      </c>
      <c r="E7" s="1513"/>
      <c r="F7" s="1514">
        <f>SUMIF(59:59,YEAR(E7)&amp;"-"&amp;MONTH(E7),60:60)</f>
        <v>0</v>
      </c>
      <c r="G7" s="1782"/>
      <c r="H7" s="1512">
        <f>SUMIF(59:59,YEAR(G7)&amp;"-"&amp;MONTH(G7),60:60)</f>
        <v>0</v>
      </c>
      <c r="I7" s="1782"/>
      <c r="J7" s="1512">
        <f>SUMIF(59:59,YEAR(I7)&amp;"-"&amp;MONTH(I7),60:60)</f>
        <v>0</v>
      </c>
      <c r="K7" s="1783"/>
      <c r="L7" s="2694"/>
      <c r="P7" s="3338" t="s">
        <v>2020</v>
      </c>
      <c r="Q7" s="3346"/>
      <c r="R7" s="1516" t="s">
        <v>25</v>
      </c>
      <c r="S7" s="1517">
        <f t="shared" ref="S7:S15" si="0">F7</f>
        <v>0</v>
      </c>
      <c r="T7" s="1516" t="s">
        <v>25</v>
      </c>
      <c r="U7" s="1517">
        <f t="shared" ref="U7:U15" si="1">H7</f>
        <v>0</v>
      </c>
      <c r="V7" s="1516" t="s">
        <v>25</v>
      </c>
      <c r="W7" s="1517">
        <f t="shared" ref="W7:W15" si="2">J7</f>
        <v>0</v>
      </c>
      <c r="X7" s="1518"/>
      <c r="Y7" s="3338" t="s">
        <v>2020</v>
      </c>
      <c r="Z7" s="3339"/>
      <c r="AA7" s="1519" t="e">
        <f>D7/F7</f>
        <v>#DIV/0!</v>
      </c>
      <c r="AB7" s="1519" t="e">
        <f>D7/H7</f>
        <v>#DIV/0!</v>
      </c>
      <c r="AC7" s="1519" t="e">
        <f>D7/J7</f>
        <v>#DIV/0!</v>
      </c>
    </row>
    <row r="8" spans="1:29" s="1520" customFormat="1" ht="15" thickBot="1">
      <c r="A8" s="1509" t="s">
        <v>2021</v>
      </c>
      <c r="B8" s="1510"/>
      <c r="C8" s="1521" t="s">
        <v>2022</v>
      </c>
      <c r="D8" s="1512">
        <v>100</v>
      </c>
      <c r="E8" s="1521"/>
      <c r="F8" s="1514">
        <f>SUMIF(62:62,E8,63:63)-SUMIF(62:62,C8,63:63)+100</f>
        <v>0</v>
      </c>
      <c r="G8" s="1521"/>
      <c r="H8" s="1512">
        <f>SUMIF(62:62,G8,63:63)-SUMIF(62:62,C8,63:63)+100</f>
        <v>0</v>
      </c>
      <c r="I8" s="1521"/>
      <c r="J8" s="1512">
        <f>SUMIF(62:62,I8,63:63)-SUMIF(62:62,C8,63:63)+100</f>
        <v>0</v>
      </c>
      <c r="K8" s="1783"/>
      <c r="L8" s="2694"/>
      <c r="P8" s="3338" t="s">
        <v>2023</v>
      </c>
      <c r="Q8" s="3339"/>
      <c r="R8" s="1516" t="s">
        <v>25</v>
      </c>
      <c r="S8" s="1517">
        <f t="shared" si="0"/>
        <v>0</v>
      </c>
      <c r="T8" s="1516" t="s">
        <v>25</v>
      </c>
      <c r="U8" s="1517">
        <f t="shared" si="1"/>
        <v>0</v>
      </c>
      <c r="V8" s="1516" t="s">
        <v>25</v>
      </c>
      <c r="W8" s="1517">
        <f t="shared" si="2"/>
        <v>0</v>
      </c>
      <c r="X8" s="1518"/>
      <c r="Y8" s="3338" t="s">
        <v>2023</v>
      </c>
      <c r="Z8" s="3339"/>
      <c r="AA8" s="1519" t="e">
        <f t="shared" ref="AA8:AA47" si="3">D8/F8</f>
        <v>#DIV/0!</v>
      </c>
      <c r="AB8" s="1519" t="e">
        <f t="shared" ref="AB8:AB47" si="4">D8/H8</f>
        <v>#DIV/0!</v>
      </c>
      <c r="AC8" s="1519" t="e">
        <f t="shared" ref="AC8:AC47" si="5">D8/J8</f>
        <v>#DIV/0!</v>
      </c>
    </row>
    <row r="9" spans="1:29" s="1520" customFormat="1" ht="14.4">
      <c r="A9" s="1473" t="s">
        <v>2024</v>
      </c>
      <c r="B9" s="1523" t="s">
        <v>2025</v>
      </c>
      <c r="C9" s="1524"/>
      <c r="D9" s="1525">
        <v>100</v>
      </c>
      <c r="E9" s="1527"/>
      <c r="F9" s="1525">
        <f>SUMIF(64:64,E9,65:65)-SUMIF(64:64,C9,65:65)+100</f>
        <v>100</v>
      </c>
      <c r="G9" s="1526"/>
      <c r="H9" s="1525">
        <f>SUMIF(64:64,G9,65:65)-SUMIF(64:64,C9,65:65)+100</f>
        <v>100</v>
      </c>
      <c r="I9" s="1526"/>
      <c r="J9" s="1525">
        <f>SUMIF(64:64,I9,65:65)-SUMIF(64:64,C9,65:65)+100</f>
        <v>100</v>
      </c>
      <c r="K9" s="1783"/>
      <c r="L9" s="2694"/>
      <c r="P9" s="3324" t="s">
        <v>2026</v>
      </c>
      <c r="Q9" s="1472" t="str">
        <f t="shared" ref="Q9:Q15" si="6">B9</f>
        <v>用途</v>
      </c>
      <c r="R9" s="1516" t="s">
        <v>25</v>
      </c>
      <c r="S9" s="1517">
        <f t="shared" si="0"/>
        <v>100</v>
      </c>
      <c r="T9" s="1516" t="s">
        <v>25</v>
      </c>
      <c r="U9" s="1517">
        <f t="shared" si="1"/>
        <v>100</v>
      </c>
      <c r="V9" s="1516" t="s">
        <v>25</v>
      </c>
      <c r="W9" s="1517">
        <f t="shared" si="2"/>
        <v>100</v>
      </c>
      <c r="X9" s="1518"/>
      <c r="Y9" s="3184"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0"/>
      <c r="F10" s="1531">
        <f>SUMIF(66:66,E10,67:67)-SUMIF(66:66,C10,67:67)+100</f>
        <v>100</v>
      </c>
      <c r="G10" s="1532"/>
      <c r="H10" s="1531">
        <f>SUMIF(66:66,G10,67:67)-SUMIF(66:66,C10,67:67)+100</f>
        <v>100</v>
      </c>
      <c r="I10" s="1530"/>
      <c r="J10" s="1531">
        <f>SUMIF(66:66,I10,67:67)-SUMIF(66:66,C10,67:67)+100</f>
        <v>100</v>
      </c>
      <c r="K10" s="1807"/>
      <c r="L10" s="2695"/>
      <c r="P10" s="3324"/>
      <c r="Q10" s="1472" t="str">
        <f t="shared" si="6"/>
        <v>土地使用年限（年）</v>
      </c>
      <c r="R10" s="1516" t="s">
        <v>25</v>
      </c>
      <c r="S10" s="1517">
        <f t="shared" si="0"/>
        <v>100</v>
      </c>
      <c r="T10" s="1516" t="s">
        <v>25</v>
      </c>
      <c r="U10" s="1517">
        <f t="shared" si="1"/>
        <v>100</v>
      </c>
      <c r="V10" s="1516" t="s">
        <v>25</v>
      </c>
      <c r="W10" s="1517">
        <f t="shared" si="2"/>
        <v>100</v>
      </c>
      <c r="X10" s="1518"/>
      <c r="Y10" s="3184"/>
      <c r="Z10" s="1519" t="str">
        <f t="shared" si="7"/>
        <v>土地使用年限（年）</v>
      </c>
      <c r="AA10" s="1519">
        <f t="shared" si="3"/>
        <v>1</v>
      </c>
      <c r="AB10" s="1519">
        <f t="shared" si="4"/>
        <v>1</v>
      </c>
      <c r="AC10" s="1519">
        <f t="shared" si="5"/>
        <v>1</v>
      </c>
    </row>
    <row r="11" spans="1:29" ht="15">
      <c r="A11" s="1535"/>
      <c r="B11" s="1529" t="s">
        <v>2029</v>
      </c>
      <c r="C11" s="1536"/>
      <c r="D11" s="1531">
        <v>100</v>
      </c>
      <c r="E11" s="1536"/>
      <c r="F11" s="1531" t="e">
        <f>LOOKUP(E11,69:69,70:70)-LOOKUP(C11,69:69,70:70)+100</f>
        <v>#N/A</v>
      </c>
      <c r="G11" s="1537"/>
      <c r="H11" s="1531" t="e">
        <f>LOOKUP(G11,69:69,70:70)-LOOKUP(C11,69:69,70:70)+100</f>
        <v>#N/A</v>
      </c>
      <c r="I11" s="1536"/>
      <c r="J11" s="1531" t="e">
        <f>LOOKUP(I11,69:69,70:70)-LOOKUP(C11,69:69,70:70)+100</f>
        <v>#N/A</v>
      </c>
      <c r="K11" s="1807"/>
      <c r="L11" s="2696"/>
      <c r="P11" s="3324"/>
      <c r="Q11" s="1472" t="str">
        <f t="shared" si="6"/>
        <v>容积率</v>
      </c>
      <c r="R11" s="1516" t="s">
        <v>25</v>
      </c>
      <c r="S11" s="1517" t="e">
        <f t="shared" si="0"/>
        <v>#N/A</v>
      </c>
      <c r="T11" s="1516" t="s">
        <v>25</v>
      </c>
      <c r="U11" s="1517" t="e">
        <f t="shared" si="1"/>
        <v>#N/A</v>
      </c>
      <c r="V11" s="1516" t="s">
        <v>25</v>
      </c>
      <c r="W11" s="1517" t="e">
        <f t="shared" si="2"/>
        <v>#N/A</v>
      </c>
      <c r="X11" s="1518"/>
      <c r="Y11" s="3184"/>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0"/>
      <c r="F12" s="1531">
        <f>SUMIF(71:71,E12,72:72)-SUMIF(71:71,C12,72:72)+100</f>
        <v>100</v>
      </c>
      <c r="G12" s="2234"/>
      <c r="H12" s="1531">
        <f>SUMIF(71:71,G12,72:72)-SUMIF(71:71,C12,72:72)+100</f>
        <v>100</v>
      </c>
      <c r="I12" s="1540"/>
      <c r="J12" s="1531">
        <f>SUMIF(71:71,I12,72:72)-SUMIF(71:71,C12,72:72)+100</f>
        <v>100</v>
      </c>
      <c r="K12" s="1804"/>
      <c r="L12" s="2694"/>
      <c r="P12" s="3324"/>
      <c r="Q12" s="1472">
        <f t="shared" si="6"/>
        <v>111</v>
      </c>
      <c r="R12" s="1516" t="s">
        <v>25</v>
      </c>
      <c r="S12" s="1517">
        <f t="shared" si="0"/>
        <v>100</v>
      </c>
      <c r="T12" s="1516" t="s">
        <v>25</v>
      </c>
      <c r="U12" s="1517">
        <f t="shared" si="1"/>
        <v>100</v>
      </c>
      <c r="V12" s="1516" t="s">
        <v>25</v>
      </c>
      <c r="W12" s="1517">
        <f t="shared" si="2"/>
        <v>100</v>
      </c>
      <c r="X12" s="1518"/>
      <c r="Y12" s="3184"/>
      <c r="Z12" s="1519">
        <f t="shared" si="7"/>
        <v>111</v>
      </c>
      <c r="AA12" s="1519">
        <f>D12/F12</f>
        <v>1</v>
      </c>
      <c r="AB12" s="1519">
        <f>D12/H12</f>
        <v>1</v>
      </c>
      <c r="AC12" s="1519">
        <f>D12/J12</f>
        <v>1</v>
      </c>
    </row>
    <row r="13" spans="1:29" ht="15">
      <c r="A13" s="1535"/>
      <c r="B13" s="1539">
        <v>111</v>
      </c>
      <c r="C13" s="1543"/>
      <c r="D13" s="1544">
        <v>100</v>
      </c>
      <c r="E13" s="1540"/>
      <c r="F13" s="1531">
        <f>SUMIF(73:73,E13,74:74)-SUMIF(73:73,C13,74:74)+100</f>
        <v>100</v>
      </c>
      <c r="G13" s="2234"/>
      <c r="H13" s="1544">
        <f>SUMIF(73:73,G13,74:74)-SUMIF(73:73,C13,74:74)+100</f>
        <v>100</v>
      </c>
      <c r="I13" s="1540"/>
      <c r="J13" s="1544">
        <f>SUMIF(73:73,I13,74:74)-SUMIF(73:73,C13,74:74)+100</f>
        <v>100</v>
      </c>
      <c r="K13" s="1804"/>
      <c r="L13" s="2697"/>
      <c r="P13" s="3324"/>
      <c r="Q13" s="1472">
        <f t="shared" si="6"/>
        <v>111</v>
      </c>
      <c r="R13" s="1516" t="s">
        <v>25</v>
      </c>
      <c r="S13" s="1517">
        <f t="shared" si="0"/>
        <v>100</v>
      </c>
      <c r="T13" s="1516" t="s">
        <v>25</v>
      </c>
      <c r="U13" s="1517">
        <f t="shared" si="1"/>
        <v>100</v>
      </c>
      <c r="V13" s="1516" t="s">
        <v>25</v>
      </c>
      <c r="W13" s="1517">
        <f t="shared" si="2"/>
        <v>100</v>
      </c>
      <c r="X13" s="1518"/>
      <c r="Y13" s="3184"/>
      <c r="Z13" s="1519">
        <f t="shared" si="7"/>
        <v>111</v>
      </c>
      <c r="AA13" s="1519">
        <f t="shared" si="3"/>
        <v>1</v>
      </c>
      <c r="AB13" s="1519">
        <f t="shared" si="4"/>
        <v>1</v>
      </c>
      <c r="AC13" s="1519">
        <f t="shared" si="5"/>
        <v>1</v>
      </c>
    </row>
    <row r="14" spans="1:29" ht="15.6" thickBot="1">
      <c r="A14" s="1545"/>
      <c r="B14" s="1546">
        <v>111</v>
      </c>
      <c r="C14" s="1547"/>
      <c r="D14" s="1548">
        <v>100</v>
      </c>
      <c r="E14" s="2235"/>
      <c r="F14" s="1548">
        <f>SUMIF(75:75,E14,76:76)-SUMIF(75:75,C14,76:76)+100</f>
        <v>100</v>
      </c>
      <c r="G14" s="2234"/>
      <c r="H14" s="1548">
        <f>SUMIF(75:75,G14,76:76)-SUMIF(75:75,C14,76:76)+100</f>
        <v>100</v>
      </c>
      <c r="I14" s="1540"/>
      <c r="J14" s="1548">
        <f>SUMIF(75:75,I14,76:76)-SUMIF(75:75,C14,76:76)+100</f>
        <v>100</v>
      </c>
      <c r="K14" s="1804"/>
      <c r="L14" s="2697"/>
      <c r="P14" s="3324"/>
      <c r="Q14" s="1472">
        <f t="shared" si="6"/>
        <v>111</v>
      </c>
      <c r="R14" s="1516" t="s">
        <v>25</v>
      </c>
      <c r="S14" s="1517">
        <f t="shared" si="0"/>
        <v>100</v>
      </c>
      <c r="T14" s="1516" t="s">
        <v>25</v>
      </c>
      <c r="U14" s="1517">
        <f t="shared" si="1"/>
        <v>100</v>
      </c>
      <c r="V14" s="1516" t="s">
        <v>25</v>
      </c>
      <c r="W14" s="1517">
        <f t="shared" si="2"/>
        <v>100</v>
      </c>
      <c r="X14" s="1518"/>
      <c r="Y14" s="3184"/>
      <c r="Z14" s="1519">
        <f t="shared" si="7"/>
        <v>111</v>
      </c>
      <c r="AA14" s="1519">
        <f t="shared" si="3"/>
        <v>1</v>
      </c>
      <c r="AB14" s="1519">
        <f t="shared" si="4"/>
        <v>1</v>
      </c>
      <c r="AC14" s="1519">
        <f t="shared" si="5"/>
        <v>1</v>
      </c>
    </row>
    <row r="15" spans="1:29" ht="82.8">
      <c r="A15" s="1550" t="s">
        <v>2030</v>
      </c>
      <c r="B15" s="2236" t="s">
        <v>2145</v>
      </c>
      <c r="C15" s="1789" t="str">
        <f>估价对象房地状况!C5</f>
        <v>估价对象位于XX商圈，周边办公楼项目较多，入驻率高，办公集聚程度较好</v>
      </c>
      <c r="D15" s="1553">
        <v>100</v>
      </c>
      <c r="E15" s="1556"/>
      <c r="F15" s="1553">
        <f>SUMIF(77:77,E16,78:78)-SUMIF(77:77,C16,78:78)+100</f>
        <v>100</v>
      </c>
      <c r="G15" s="1554"/>
      <c r="H15" s="1553">
        <f>SUMIF(77:77,G16,78:78)-SUMIF(77:77,C16,78:78)+100</f>
        <v>100</v>
      </c>
      <c r="I15" s="1554"/>
      <c r="J15" s="1553">
        <f>SUMIF(77:77,I16,78:78)-SUMIF(77:77,C16,78:78)+100</f>
        <v>100</v>
      </c>
      <c r="K15" s="2216"/>
      <c r="L15" s="2697"/>
      <c r="P15" s="3327" t="s">
        <v>2031</v>
      </c>
      <c r="Q15" s="1454" t="str">
        <f t="shared" si="6"/>
        <v>办公集聚程度</v>
      </c>
      <c r="R15" s="1558" t="s">
        <v>25</v>
      </c>
      <c r="S15" s="1559">
        <f t="shared" si="0"/>
        <v>100</v>
      </c>
      <c r="T15" s="1558" t="s">
        <v>25</v>
      </c>
      <c r="U15" s="1559">
        <f t="shared" si="1"/>
        <v>100</v>
      </c>
      <c r="V15" s="1558" t="s">
        <v>25</v>
      </c>
      <c r="W15" s="1559">
        <f t="shared" si="2"/>
        <v>100</v>
      </c>
      <c r="X15" s="1502"/>
      <c r="Y15" s="3327" t="s">
        <v>2031</v>
      </c>
      <c r="Z15" s="1560" t="str">
        <f t="shared" si="7"/>
        <v>办公集聚程度</v>
      </c>
      <c r="AA15" s="1560">
        <f t="shared" si="3"/>
        <v>1</v>
      </c>
      <c r="AB15" s="1560">
        <f t="shared" si="4"/>
        <v>1</v>
      </c>
      <c r="AC15" s="1560">
        <f t="shared" si="5"/>
        <v>1</v>
      </c>
    </row>
    <row r="16" spans="1:29" ht="15">
      <c r="A16" s="1535"/>
      <c r="B16" s="2237"/>
      <c r="C16" s="1791"/>
      <c r="D16" s="1563"/>
      <c r="E16" s="1562"/>
      <c r="F16" s="1563"/>
      <c r="G16" s="1791"/>
      <c r="H16" s="1567"/>
      <c r="I16" s="1562"/>
      <c r="J16" s="1563"/>
      <c r="K16" s="2217"/>
      <c r="L16" s="2697"/>
      <c r="P16" s="3328"/>
      <c r="Q16" s="1454"/>
      <c r="R16" s="1558"/>
      <c r="S16" s="1559"/>
      <c r="T16" s="1558"/>
      <c r="U16" s="1559"/>
      <c r="V16" s="1558"/>
      <c r="W16" s="1559"/>
      <c r="X16" s="1502"/>
      <c r="Y16" s="3328"/>
      <c r="Z16" s="1560"/>
      <c r="AA16" s="1560">
        <v>1</v>
      </c>
      <c r="AB16" s="1560">
        <v>1</v>
      </c>
      <c r="AC16" s="1560">
        <v>1</v>
      </c>
    </row>
    <row r="17" spans="1:29" ht="96.6">
      <c r="A17" s="1535"/>
      <c r="B17" s="2238" t="s">
        <v>1466</v>
      </c>
      <c r="C17" s="1796" t="str">
        <f>估价对象房地状况!C6</f>
        <v>估价对象周边道路状况、公共交通通达情况、停车便捷程度，综合评价交通便捷度较好</v>
      </c>
      <c r="D17" s="1567">
        <v>100</v>
      </c>
      <c r="E17" s="1573"/>
      <c r="F17" s="1567">
        <f>SUMIF(79:79,E18,80:80)-SUMIF(79:79,C18,80:80)+100</f>
        <v>100</v>
      </c>
      <c r="G17" s="1571"/>
      <c r="H17" s="1574">
        <f>SUMIF(79:79,G18,80:80)-SUMIF(79:79,C18,80:80)+100</f>
        <v>100</v>
      </c>
      <c r="I17" s="1571"/>
      <c r="J17" s="1574">
        <f>SUMIF(79:79,I18,80:80)-SUMIF(79:79,C18,80:80)+100</f>
        <v>100</v>
      </c>
      <c r="K17" s="2216"/>
      <c r="L17" s="2697"/>
      <c r="P17" s="3328"/>
      <c r="Q17" s="1454" t="str">
        <f>B17</f>
        <v>交通便捷度</v>
      </c>
      <c r="R17" s="1558" t="s">
        <v>25</v>
      </c>
      <c r="S17" s="1559">
        <f>F17</f>
        <v>100</v>
      </c>
      <c r="T17" s="1558" t="s">
        <v>25</v>
      </c>
      <c r="U17" s="1559">
        <f>H17</f>
        <v>100</v>
      </c>
      <c r="V17" s="1558" t="s">
        <v>25</v>
      </c>
      <c r="W17" s="1559">
        <f>J17</f>
        <v>100</v>
      </c>
      <c r="X17" s="1502"/>
      <c r="Y17" s="3328"/>
      <c r="Z17" s="1560" t="str">
        <f>Q17</f>
        <v>交通便捷度</v>
      </c>
      <c r="AA17" s="1560">
        <f t="shared" si="3"/>
        <v>1</v>
      </c>
      <c r="AB17" s="1560">
        <f t="shared" si="4"/>
        <v>1</v>
      </c>
      <c r="AC17" s="1560">
        <f t="shared" si="5"/>
        <v>1</v>
      </c>
    </row>
    <row r="18" spans="1:29" ht="15">
      <c r="A18" s="1535"/>
      <c r="B18" s="1588"/>
      <c r="C18" s="1795"/>
      <c r="D18" s="1567"/>
      <c r="E18" s="1578"/>
      <c r="F18" s="1567"/>
      <c r="G18" s="1577"/>
      <c r="H18" s="1563"/>
      <c r="I18" s="1577"/>
      <c r="J18" s="1563"/>
      <c r="K18" s="2217"/>
      <c r="L18" s="2697"/>
      <c r="P18" s="3328"/>
      <c r="Q18" s="1454"/>
      <c r="R18" s="1558"/>
      <c r="S18" s="1559"/>
      <c r="T18" s="1558"/>
      <c r="U18" s="1559"/>
      <c r="V18" s="1558"/>
      <c r="W18" s="1559"/>
      <c r="X18" s="1502"/>
      <c r="Y18" s="3328"/>
      <c r="Z18" s="1560"/>
      <c r="AA18" s="1560">
        <v>1</v>
      </c>
      <c r="AB18" s="1560">
        <v>1</v>
      </c>
      <c r="AC18" s="1560">
        <v>1</v>
      </c>
    </row>
    <row r="19" spans="1:29" ht="41.4">
      <c r="A19" s="1535"/>
      <c r="B19" s="2238" t="s">
        <v>2146</v>
      </c>
      <c r="C19" s="1796" t="str">
        <f>估价对象房地状况!C7</f>
        <v>估价对象所在区域公共配套设施齐备情况</v>
      </c>
      <c r="D19" s="1574">
        <v>100</v>
      </c>
      <c r="E19" s="1581"/>
      <c r="F19" s="1574">
        <f>SUMIF(81:81,E20,82:82)-SUMIF(81:81,C20,82:82)+100</f>
        <v>100</v>
      </c>
      <c r="G19" s="1579"/>
      <c r="H19" s="1567">
        <f>SUMIF(81:81,G20,82:82)-SUMIF(81:81,C20,82:82)+100</f>
        <v>100</v>
      </c>
      <c r="I19" s="1579"/>
      <c r="J19" s="1567">
        <f>SUMIF(81:81,I20,82:82)-SUMIF(81:81,C20,82:82)+100</f>
        <v>100</v>
      </c>
      <c r="K19" s="2216"/>
      <c r="L19" s="2697"/>
      <c r="P19" s="3328"/>
      <c r="Q19" s="1454" t="str">
        <f>B19</f>
        <v>公共配套设施</v>
      </c>
      <c r="R19" s="1558" t="s">
        <v>25</v>
      </c>
      <c r="S19" s="1559">
        <f>F19</f>
        <v>100</v>
      </c>
      <c r="T19" s="1558" t="s">
        <v>25</v>
      </c>
      <c r="U19" s="1559">
        <f>H19</f>
        <v>100</v>
      </c>
      <c r="V19" s="1558" t="s">
        <v>25</v>
      </c>
      <c r="W19" s="1559">
        <f>J19</f>
        <v>100</v>
      </c>
      <c r="X19" s="1502"/>
      <c r="Y19" s="3328"/>
      <c r="Z19" s="1560" t="str">
        <f>Q19</f>
        <v>公共配套设施</v>
      </c>
      <c r="AA19" s="1560">
        <f t="shared" si="3"/>
        <v>1</v>
      </c>
      <c r="AB19" s="1560">
        <f t="shared" si="4"/>
        <v>1</v>
      </c>
      <c r="AC19" s="1560">
        <f t="shared" si="5"/>
        <v>1</v>
      </c>
    </row>
    <row r="20" spans="1:29" ht="15">
      <c r="A20" s="1535"/>
      <c r="B20" s="1588"/>
      <c r="C20" s="1791"/>
      <c r="D20" s="1563"/>
      <c r="E20" s="1566"/>
      <c r="F20" s="1563"/>
      <c r="G20" s="1564"/>
      <c r="H20" s="1563"/>
      <c r="I20" s="1564"/>
      <c r="J20" s="1563"/>
      <c r="K20" s="2217"/>
      <c r="L20" s="2697"/>
      <c r="P20" s="3328"/>
      <c r="Q20" s="1454"/>
      <c r="R20" s="1558"/>
      <c r="S20" s="1559"/>
      <c r="T20" s="1558"/>
      <c r="U20" s="1559"/>
      <c r="V20" s="1558"/>
      <c r="W20" s="1559"/>
      <c r="X20" s="1502"/>
      <c r="Y20" s="3328"/>
      <c r="Z20" s="1560"/>
      <c r="AA20" s="1560">
        <v>1</v>
      </c>
      <c r="AB20" s="1560">
        <v>1</v>
      </c>
      <c r="AC20" s="1560">
        <v>1</v>
      </c>
    </row>
    <row r="21" spans="1:29" ht="41.4">
      <c r="A21" s="1535"/>
      <c r="B21" s="2239" t="s">
        <v>2147</v>
      </c>
      <c r="C21" s="1796" t="str">
        <f>估价对象房地状况!C8</f>
        <v>估价对象所在区域基础设施水平</v>
      </c>
      <c r="D21" s="1574">
        <v>100</v>
      </c>
      <c r="E21" s="1581"/>
      <c r="F21" s="1574">
        <f>SUMIF(83:83,E22,84:84)-SUMIF(83:83,C22,84:84)+100</f>
        <v>100</v>
      </c>
      <c r="G21" s="1579"/>
      <c r="H21" s="1567">
        <f>SUMIF(83:83,G22,84:84)-SUMIF(83:83,C22,84:84)+100</f>
        <v>100</v>
      </c>
      <c r="I21" s="1579"/>
      <c r="J21" s="1567">
        <f>SUMIF(83:83,I22,84:84)-SUMIF(83:83,C22,84:84)+100</f>
        <v>100</v>
      </c>
      <c r="K21" s="2216"/>
      <c r="L21" s="2697"/>
      <c r="P21" s="3328"/>
      <c r="Q21" s="1454" t="str">
        <f>B21</f>
        <v>基础设施水平</v>
      </c>
      <c r="R21" s="1558" t="s">
        <v>25</v>
      </c>
      <c r="S21" s="1559">
        <f>F21</f>
        <v>100</v>
      </c>
      <c r="T21" s="1558" t="s">
        <v>25</v>
      </c>
      <c r="U21" s="1559">
        <f>H21</f>
        <v>100</v>
      </c>
      <c r="V21" s="1558" t="s">
        <v>25</v>
      </c>
      <c r="W21" s="1559">
        <f>J21</f>
        <v>100</v>
      </c>
      <c r="X21" s="1502"/>
      <c r="Y21" s="3328"/>
      <c r="Z21" s="1560" t="str">
        <f>Q21</f>
        <v>基础设施水平</v>
      </c>
      <c r="AA21" s="1560">
        <f t="shared" ref="AA21" si="8">D21/F21</f>
        <v>1</v>
      </c>
      <c r="AB21" s="1560">
        <f t="shared" ref="AB21" si="9">D21/H21</f>
        <v>1</v>
      </c>
      <c r="AC21" s="1560">
        <f t="shared" ref="AC21" si="10">D21/J21</f>
        <v>1</v>
      </c>
    </row>
    <row r="22" spans="1:29" ht="15">
      <c r="A22" s="1535"/>
      <c r="B22" s="2239"/>
      <c r="C22" s="1795"/>
      <c r="D22" s="1563"/>
      <c r="E22" s="1562"/>
      <c r="F22" s="1563"/>
      <c r="G22" s="1791"/>
      <c r="H22" s="1563"/>
      <c r="I22" s="1791"/>
      <c r="J22" s="1563"/>
      <c r="K22" s="2218"/>
      <c r="L22" s="2697"/>
      <c r="P22" s="3328"/>
      <c r="Q22" s="1454"/>
      <c r="R22" s="1558"/>
      <c r="S22" s="1559"/>
      <c r="T22" s="1558"/>
      <c r="U22" s="1559"/>
      <c r="V22" s="1558"/>
      <c r="W22" s="1559"/>
      <c r="X22" s="1502"/>
      <c r="Y22" s="3328"/>
      <c r="Z22" s="1560"/>
      <c r="AA22" s="1560">
        <v>1</v>
      </c>
      <c r="AB22" s="1560">
        <v>1</v>
      </c>
      <c r="AC22" s="1560">
        <v>1</v>
      </c>
    </row>
    <row r="23" spans="1:29" ht="55.2">
      <c r="A23" s="1535"/>
      <c r="B23" s="2238" t="s">
        <v>2148</v>
      </c>
      <c r="C23" s="1796" t="str">
        <f>估价对象房地状况!C9</f>
        <v>区域自然环境：；人文环境；综合评价环境状况一般</v>
      </c>
      <c r="D23" s="1567">
        <v>100</v>
      </c>
      <c r="E23" s="1573"/>
      <c r="F23" s="1567">
        <f>SUMIF(85:85,E24,86:86)-SUMIF(85:85,C24,86:86)+100</f>
        <v>100</v>
      </c>
      <c r="G23" s="1571"/>
      <c r="H23" s="1567">
        <f>SUMIF(85:85,G24,86:86)-SUMIF(85:85,C24,86:86)+100</f>
        <v>100</v>
      </c>
      <c r="I23" s="1571"/>
      <c r="J23" s="1567">
        <f>SUMIF(85:85,I24,86:86)-SUMIF(85:85,C24,86:86)+100</f>
        <v>100</v>
      </c>
      <c r="K23" s="2216"/>
      <c r="L23" s="2697"/>
      <c r="P23" s="3328"/>
      <c r="Q23" s="1454" t="str">
        <f>B23</f>
        <v>环境质量</v>
      </c>
      <c r="R23" s="1558" t="s">
        <v>25</v>
      </c>
      <c r="S23" s="1559">
        <f>F23</f>
        <v>100</v>
      </c>
      <c r="T23" s="1558" t="s">
        <v>25</v>
      </c>
      <c r="U23" s="1559">
        <f>H23</f>
        <v>100</v>
      </c>
      <c r="V23" s="1558" t="s">
        <v>25</v>
      </c>
      <c r="W23" s="1559">
        <f>J23</f>
        <v>100</v>
      </c>
      <c r="X23" s="1502"/>
      <c r="Y23" s="3328"/>
      <c r="Z23" s="1560" t="str">
        <f>Q23</f>
        <v>环境质量</v>
      </c>
      <c r="AA23" s="1560">
        <f t="shared" si="3"/>
        <v>1</v>
      </c>
      <c r="AB23" s="1560">
        <f t="shared" si="4"/>
        <v>1</v>
      </c>
      <c r="AC23" s="1560">
        <f t="shared" si="5"/>
        <v>1</v>
      </c>
    </row>
    <row r="24" spans="1:29" ht="15">
      <c r="A24" s="1535"/>
      <c r="B24" s="2239"/>
      <c r="C24" s="1791"/>
      <c r="D24" s="1563"/>
      <c r="E24" s="1566"/>
      <c r="F24" s="1563"/>
      <c r="G24" s="1564"/>
      <c r="H24" s="1563"/>
      <c r="I24" s="1564"/>
      <c r="J24" s="1563"/>
      <c r="K24" s="2217"/>
      <c r="L24" s="2697"/>
      <c r="P24" s="3328"/>
      <c r="Q24" s="1454"/>
      <c r="R24" s="1558"/>
      <c r="S24" s="1559"/>
      <c r="T24" s="1558"/>
      <c r="U24" s="1559"/>
      <c r="V24" s="1558"/>
      <c r="W24" s="1559"/>
      <c r="X24" s="1502"/>
      <c r="Y24" s="3328"/>
      <c r="Z24" s="1560"/>
      <c r="AA24" s="1560">
        <v>1</v>
      </c>
      <c r="AB24" s="1560">
        <v>1</v>
      </c>
      <c r="AC24" s="1560">
        <v>1</v>
      </c>
    </row>
    <row r="25" spans="1:29" ht="28.8">
      <c r="A25" s="1504"/>
      <c r="B25" s="2238" t="s">
        <v>2149</v>
      </c>
      <c r="C25" s="2240"/>
      <c r="D25" s="1544">
        <v>100</v>
      </c>
      <c r="E25" s="1543"/>
      <c r="F25" s="1544">
        <f>SUMIF(87:87,E26,88:88)-SUMIF(87:87,C26,88:88)+100</f>
        <v>100</v>
      </c>
      <c r="G25" s="2240"/>
      <c r="H25" s="1544">
        <f>SUMIF(87:87,G26,88:88)-SUMIF(87:87,C26,88:88)+100</f>
        <v>100</v>
      </c>
      <c r="I25" s="1543"/>
      <c r="J25" s="1544">
        <f>SUMIF(87:87,I26,88:88)-SUMIF(87:87,C26,88:88)+100</f>
        <v>100</v>
      </c>
      <c r="K25" s="2216"/>
      <c r="L25" s="2697"/>
      <c r="P25" s="3328"/>
      <c r="Q25" s="1454" t="str">
        <f>B25</f>
        <v>毗邻道路的类型与等级</v>
      </c>
      <c r="R25" s="1558" t="s">
        <v>25</v>
      </c>
      <c r="S25" s="1559">
        <f>F25</f>
        <v>100</v>
      </c>
      <c r="T25" s="1558" t="s">
        <v>25</v>
      </c>
      <c r="U25" s="1559">
        <f>H25</f>
        <v>100</v>
      </c>
      <c r="V25" s="1558" t="s">
        <v>25</v>
      </c>
      <c r="W25" s="1559">
        <f>J25</f>
        <v>100</v>
      </c>
      <c r="X25" s="1502"/>
      <c r="Y25" s="3328"/>
      <c r="Z25" s="1560" t="str">
        <f>Q25</f>
        <v>毗邻道路的类型与等级</v>
      </c>
      <c r="AA25" s="1560">
        <f t="shared" si="3"/>
        <v>1</v>
      </c>
      <c r="AB25" s="1560">
        <f t="shared" si="4"/>
        <v>1</v>
      </c>
      <c r="AC25" s="1560">
        <f t="shared" si="5"/>
        <v>1</v>
      </c>
    </row>
    <row r="26" spans="1:29" ht="15">
      <c r="A26" s="1504"/>
      <c r="B26" s="1588"/>
      <c r="C26" s="1799"/>
      <c r="D26" s="1544"/>
      <c r="E26" s="1806"/>
      <c r="F26" s="1544"/>
      <c r="G26" s="1799"/>
      <c r="H26" s="1544"/>
      <c r="I26" s="1806"/>
      <c r="J26" s="1544"/>
      <c r="K26" s="2217"/>
      <c r="L26" s="2697"/>
      <c r="P26" s="3328"/>
      <c r="Q26" s="1454"/>
      <c r="R26" s="1558"/>
      <c r="S26" s="1559"/>
      <c r="T26" s="1558"/>
      <c r="U26" s="1559"/>
      <c r="V26" s="1558"/>
      <c r="W26" s="1559"/>
      <c r="X26" s="1502"/>
      <c r="Y26" s="3328"/>
      <c r="Z26" s="1560"/>
      <c r="AA26" s="1560">
        <v>1</v>
      </c>
      <c r="AB26" s="1560">
        <v>1</v>
      </c>
      <c r="AC26" s="1560">
        <v>1</v>
      </c>
    </row>
    <row r="27" spans="1:29" ht="15">
      <c r="A27" s="1535"/>
      <c r="B27" s="1588" t="s">
        <v>2122</v>
      </c>
      <c r="C27" s="1799"/>
      <c r="D27" s="1544">
        <v>100</v>
      </c>
      <c r="E27" s="1806"/>
      <c r="F27" s="1544">
        <f>SUMIF(89:89,E27,90:90)-SUMIF(89:89,C27,90:90)+100</f>
        <v>100</v>
      </c>
      <c r="G27" s="1799"/>
      <c r="H27" s="1544">
        <f>SUMIF(89:89,G27,90:90)-SUMIF(89:89,C27,90:90)+100</f>
        <v>100</v>
      </c>
      <c r="I27" s="1806"/>
      <c r="J27" s="1544">
        <f>SUMIF(89:89,I27,90:90)-SUMIF(89:89,C27,90:90)+100</f>
        <v>100</v>
      </c>
      <c r="K27" s="1807"/>
      <c r="L27" s="2697"/>
      <c r="P27" s="3328"/>
      <c r="Q27" s="1454" t="str">
        <f t="shared" ref="Q27:Q47" si="11">B27</f>
        <v>楼层</v>
      </c>
      <c r="R27" s="1558" t="s">
        <v>25</v>
      </c>
      <c r="S27" s="1559">
        <f>F27</f>
        <v>100</v>
      </c>
      <c r="T27" s="1558" t="s">
        <v>25</v>
      </c>
      <c r="U27" s="1559">
        <f>H27</f>
        <v>100</v>
      </c>
      <c r="V27" s="1558" t="s">
        <v>25</v>
      </c>
      <c r="W27" s="1559">
        <f>J27</f>
        <v>100</v>
      </c>
      <c r="X27" s="1502"/>
      <c r="Y27" s="3328"/>
      <c r="Z27" s="1560" t="str">
        <f>Q27</f>
        <v>楼层</v>
      </c>
      <c r="AA27" s="1560">
        <f t="shared" si="3"/>
        <v>1</v>
      </c>
      <c r="AB27" s="1560">
        <f t="shared" si="4"/>
        <v>1</v>
      </c>
      <c r="AC27" s="1560">
        <f t="shared" si="5"/>
        <v>1</v>
      </c>
    </row>
    <row r="28" spans="1:29" s="1520" customFormat="1" ht="15">
      <c r="A28" s="1538"/>
      <c r="B28" s="2238" t="s">
        <v>2150</v>
      </c>
      <c r="C28" s="2241"/>
      <c r="D28" s="1588">
        <v>100</v>
      </c>
      <c r="E28" s="2220"/>
      <c r="F28" s="1588">
        <f>SUMIF(91:91,E28,92:92)-SUMIF(91:91,C28,92:92)+100</f>
        <v>100</v>
      </c>
      <c r="G28" s="2241"/>
      <c r="H28" s="1588">
        <f>SUMIF(91:91,G28,92:92)-SUMIF(91:91,C28,92:92)+100</f>
        <v>100</v>
      </c>
      <c r="I28" s="2220"/>
      <c r="J28" s="1588">
        <f>SUMIF(91:91,I28,92:92)-SUMIF(91:91,C28,92:92)+100</f>
        <v>100</v>
      </c>
      <c r="K28" s="1807"/>
      <c r="L28" s="2694"/>
      <c r="P28" s="3328"/>
      <c r="Q28" s="1472" t="str">
        <f t="shared" si="11"/>
        <v>朝向</v>
      </c>
      <c r="R28" s="1516" t="s">
        <v>25</v>
      </c>
      <c r="S28" s="1517">
        <f>F28</f>
        <v>100</v>
      </c>
      <c r="T28" s="1516" t="s">
        <v>25</v>
      </c>
      <c r="U28" s="1517">
        <f>H28</f>
        <v>100</v>
      </c>
      <c r="V28" s="1516" t="s">
        <v>25</v>
      </c>
      <c r="W28" s="1517">
        <f>J28</f>
        <v>100</v>
      </c>
      <c r="X28" s="1518"/>
      <c r="Y28" s="3328"/>
      <c r="Z28" s="1519" t="str">
        <f>Q28</f>
        <v>朝向</v>
      </c>
      <c r="AA28" s="1560">
        <f>D28/F28</f>
        <v>1</v>
      </c>
      <c r="AB28" s="1560">
        <f>D28/H28</f>
        <v>1</v>
      </c>
      <c r="AC28" s="1560">
        <f>D28/J28</f>
        <v>1</v>
      </c>
    </row>
    <row r="29" spans="1:29" ht="15">
      <c r="A29" s="1535"/>
      <c r="B29" s="2242">
        <v>111</v>
      </c>
      <c r="C29" s="2240"/>
      <c r="D29" s="1544">
        <v>100</v>
      </c>
      <c r="E29" s="1540"/>
      <c r="F29" s="1544">
        <f>SUMIF(93:93,E29,94:94)-SUMIF(93:93,C29,94:94)+100</f>
        <v>100</v>
      </c>
      <c r="G29" s="2234"/>
      <c r="H29" s="1544">
        <f>SUMIF(93:93,G29,94:94)-SUMIF(93:93,C29,94:94)+100</f>
        <v>100</v>
      </c>
      <c r="I29" s="1540"/>
      <c r="J29" s="1544">
        <f>SUMIF(93:93,I29,94:94)-SUMIF(93:93,C29,94:94)+100</f>
        <v>100</v>
      </c>
      <c r="K29" s="1804"/>
      <c r="L29" s="2697"/>
      <c r="P29" s="3328"/>
      <c r="Q29" s="1454">
        <f t="shared" si="11"/>
        <v>111</v>
      </c>
      <c r="R29" s="1558" t="s">
        <v>25</v>
      </c>
      <c r="S29" s="1559">
        <f t="shared" ref="S29:S47" si="12">F29</f>
        <v>100</v>
      </c>
      <c r="T29" s="1558" t="s">
        <v>25</v>
      </c>
      <c r="U29" s="1559">
        <f t="shared" ref="U29:U47" si="13">H29</f>
        <v>100</v>
      </c>
      <c r="V29" s="1558" t="s">
        <v>25</v>
      </c>
      <c r="W29" s="1559">
        <f t="shared" ref="W29:W47" si="14">J29</f>
        <v>100</v>
      </c>
      <c r="X29" s="1502"/>
      <c r="Y29" s="3328"/>
      <c r="Z29" s="1560">
        <f t="shared" ref="Z29:Z47" si="15">Q29</f>
        <v>111</v>
      </c>
      <c r="AA29" s="1560">
        <f t="shared" si="3"/>
        <v>1</v>
      </c>
      <c r="AB29" s="1560">
        <f t="shared" si="4"/>
        <v>1</v>
      </c>
      <c r="AC29" s="1560">
        <f t="shared" si="5"/>
        <v>1</v>
      </c>
    </row>
    <row r="30" spans="1:29" ht="15">
      <c r="A30" s="1535"/>
      <c r="B30" s="2242">
        <v>111</v>
      </c>
      <c r="C30" s="2240"/>
      <c r="D30" s="1544">
        <v>100</v>
      </c>
      <c r="E30" s="1540"/>
      <c r="F30" s="1544">
        <f>SUMIF(95:95,E30,96:96)-SUMIF(95:95,C30,96:96)+100</f>
        <v>100</v>
      </c>
      <c r="G30" s="2234"/>
      <c r="H30" s="1544">
        <f>SUMIF(95:95,G30,96:96)-SUMIF(95:95,C30,96:96)+100</f>
        <v>100</v>
      </c>
      <c r="I30" s="1540"/>
      <c r="J30" s="1544">
        <f>SUMIF(95:95,I30,96:96)-SUMIF(95:95,C30,96:96)+100</f>
        <v>100</v>
      </c>
      <c r="K30" s="1804"/>
      <c r="L30" s="2697"/>
      <c r="P30" s="3328"/>
      <c r="Q30" s="1454">
        <f t="shared" si="11"/>
        <v>111</v>
      </c>
      <c r="R30" s="1558" t="s">
        <v>25</v>
      </c>
      <c r="S30" s="1559">
        <f t="shared" si="12"/>
        <v>100</v>
      </c>
      <c r="T30" s="1558" t="s">
        <v>25</v>
      </c>
      <c r="U30" s="1559">
        <f t="shared" si="13"/>
        <v>100</v>
      </c>
      <c r="V30" s="1558" t="s">
        <v>25</v>
      </c>
      <c r="W30" s="1559">
        <f t="shared" si="14"/>
        <v>100</v>
      </c>
      <c r="X30" s="1502"/>
      <c r="Y30" s="3328"/>
      <c r="Z30" s="1560">
        <f t="shared" si="15"/>
        <v>111</v>
      </c>
      <c r="AA30" s="1560">
        <f t="shared" si="3"/>
        <v>1</v>
      </c>
      <c r="AB30" s="1560">
        <f t="shared" si="4"/>
        <v>1</v>
      </c>
      <c r="AC30" s="1560">
        <f t="shared" si="5"/>
        <v>1</v>
      </c>
    </row>
    <row r="31" spans="1:29" ht="15">
      <c r="A31" s="1535"/>
      <c r="B31" s="2242">
        <v>111</v>
      </c>
      <c r="C31" s="2240"/>
      <c r="D31" s="1544">
        <v>100</v>
      </c>
      <c r="E31" s="1540"/>
      <c r="F31" s="1544">
        <f>SUMIF(97:97,E31,98:98)-SUMIF(97:97,C31,98:98)+100</f>
        <v>100</v>
      </c>
      <c r="G31" s="2234"/>
      <c r="H31" s="1544">
        <f>SUMIF(97:97,G31,98:98)-SUMIF(97:97,C31,98:98)+100</f>
        <v>100</v>
      </c>
      <c r="I31" s="1540"/>
      <c r="J31" s="1544">
        <f>SUMIF(97:97,I31,98:98)-SUMIF(97:97,C31,98:98)+100</f>
        <v>100</v>
      </c>
      <c r="K31" s="1804"/>
      <c r="L31" s="2697"/>
      <c r="P31" s="3328"/>
      <c r="Q31" s="1454">
        <f t="shared" si="11"/>
        <v>111</v>
      </c>
      <c r="R31" s="1558" t="s">
        <v>25</v>
      </c>
      <c r="S31" s="1559">
        <f t="shared" si="12"/>
        <v>100</v>
      </c>
      <c r="T31" s="1558" t="s">
        <v>25</v>
      </c>
      <c r="U31" s="1559">
        <f t="shared" si="13"/>
        <v>100</v>
      </c>
      <c r="V31" s="1558" t="s">
        <v>25</v>
      </c>
      <c r="W31" s="1559">
        <f t="shared" si="14"/>
        <v>100</v>
      </c>
      <c r="X31" s="1502"/>
      <c r="Y31" s="3328"/>
      <c r="Z31" s="1560">
        <f t="shared" si="15"/>
        <v>111</v>
      </c>
      <c r="AA31" s="1560">
        <f t="shared" si="3"/>
        <v>1</v>
      </c>
      <c r="AB31" s="1560">
        <f t="shared" si="4"/>
        <v>1</v>
      </c>
      <c r="AC31" s="1560">
        <f t="shared" si="5"/>
        <v>1</v>
      </c>
    </row>
    <row r="32" spans="1:29" ht="15.6" thickBot="1">
      <c r="A32" s="1545"/>
      <c r="B32" s="2243">
        <v>111</v>
      </c>
      <c r="C32" s="2244"/>
      <c r="D32" s="1548">
        <v>100</v>
      </c>
      <c r="E32" s="2235"/>
      <c r="F32" s="1548">
        <f>SUMIF(99:99,E32,100:100)-SUMIF(99:99,C32,100:100)+100</f>
        <v>100</v>
      </c>
      <c r="G32" s="2234"/>
      <c r="H32" s="1548">
        <f>SUMIF(99:99,G32,100:100)-SUMIF(99:99,C32,100:100)+100</f>
        <v>100</v>
      </c>
      <c r="I32" s="1540"/>
      <c r="J32" s="1548">
        <f>SUMIF(99:99,I32,100:100)-SUMIF(99:99,C32,100:100)+100</f>
        <v>100</v>
      </c>
      <c r="K32" s="1804"/>
      <c r="L32" s="2697"/>
      <c r="P32" s="3328"/>
      <c r="Q32" s="1454">
        <f t="shared" si="11"/>
        <v>111</v>
      </c>
      <c r="R32" s="1558" t="s">
        <v>25</v>
      </c>
      <c r="S32" s="1559">
        <f t="shared" si="12"/>
        <v>100</v>
      </c>
      <c r="T32" s="1558" t="s">
        <v>25</v>
      </c>
      <c r="U32" s="1559">
        <f t="shared" si="13"/>
        <v>100</v>
      </c>
      <c r="V32" s="1558" t="s">
        <v>25</v>
      </c>
      <c r="W32" s="1559">
        <f t="shared" si="14"/>
        <v>100</v>
      </c>
      <c r="X32" s="1502"/>
      <c r="Y32" s="3328"/>
      <c r="Z32" s="1560">
        <f t="shared" si="15"/>
        <v>111</v>
      </c>
      <c r="AA32" s="1560">
        <f t="shared" si="3"/>
        <v>1</v>
      </c>
      <c r="AB32" s="1560">
        <f t="shared" si="4"/>
        <v>1</v>
      </c>
      <c r="AC32" s="1560">
        <f t="shared" si="5"/>
        <v>1</v>
      </c>
    </row>
    <row r="33" spans="1:29" ht="15">
      <c r="A33" s="1550" t="s">
        <v>2035</v>
      </c>
      <c r="B33" s="1523" t="s">
        <v>2151</v>
      </c>
      <c r="C33" s="1592"/>
      <c r="D33" s="1593">
        <v>100</v>
      </c>
      <c r="E33" s="1592"/>
      <c r="F33" s="1586">
        <f>SUMIF(101:101,E33,102:102)-SUMIF(101:101,C33,102:102)+100</f>
        <v>100</v>
      </c>
      <c r="G33" s="1592"/>
      <c r="H33" s="1544">
        <f>SUMIF(101:101,G33,102:102)-SUMIF(101:101,C33,102:102)+100</f>
        <v>100</v>
      </c>
      <c r="I33" s="1592"/>
      <c r="J33" s="1593">
        <f>SUMIF(101:101,I33,102:102)-SUMIF(101:101,C33,102:102)+100</f>
        <v>100</v>
      </c>
      <c r="K33" s="1807"/>
      <c r="L33" s="2697"/>
      <c r="P33" s="3365" t="s">
        <v>2037</v>
      </c>
      <c r="Q33" s="1454" t="str">
        <f t="shared" si="11"/>
        <v>建筑类型</v>
      </c>
      <c r="R33" s="1558" t="s">
        <v>25</v>
      </c>
      <c r="S33" s="1559">
        <f t="shared" si="12"/>
        <v>100</v>
      </c>
      <c r="T33" s="1558" t="s">
        <v>25</v>
      </c>
      <c r="U33" s="1559">
        <f t="shared" si="13"/>
        <v>100</v>
      </c>
      <c r="V33" s="1558" t="s">
        <v>25</v>
      </c>
      <c r="W33" s="1559">
        <f t="shared" si="14"/>
        <v>100</v>
      </c>
      <c r="X33" s="1502"/>
      <c r="Y33" s="3332" t="s">
        <v>2037</v>
      </c>
      <c r="Z33" s="1560" t="str">
        <f t="shared" si="15"/>
        <v>建筑类型</v>
      </c>
      <c r="AA33" s="1560">
        <f t="shared" si="3"/>
        <v>1</v>
      </c>
      <c r="AB33" s="1560">
        <f t="shared" si="4"/>
        <v>1</v>
      </c>
      <c r="AC33" s="1560">
        <f t="shared" si="5"/>
        <v>1</v>
      </c>
    </row>
    <row r="34" spans="1:29" s="1601" customFormat="1" ht="15">
      <c r="A34" s="1595"/>
      <c r="B34" s="1529" t="s">
        <v>2038</v>
      </c>
      <c r="C34" s="1596"/>
      <c r="D34" s="1531">
        <v>100</v>
      </c>
      <c r="E34" s="1537"/>
      <c r="F34" s="1529" t="e">
        <f>LOOKUP(E34,104:104,105:105)-LOOKUP(C34,104:104,105:105)+100</f>
        <v>#N/A</v>
      </c>
      <c r="G34" s="1536"/>
      <c r="H34" s="1531" t="e">
        <f>LOOKUP(G34,104:104,105:105)-LOOKUP(C34,104:104,105:105)+100</f>
        <v>#N/A</v>
      </c>
      <c r="I34" s="1536"/>
      <c r="J34" s="1531" t="e">
        <f>LOOKUP(I34,104:104,105:105)-LOOKUP(C34,104:104,105:105)+100</f>
        <v>#N/A</v>
      </c>
      <c r="K34" s="1804"/>
      <c r="L34" s="2696"/>
      <c r="P34" s="3332"/>
      <c r="Q34" s="478" t="str">
        <f t="shared" si="11"/>
        <v>项目建筑规模</v>
      </c>
      <c r="R34" s="1597" t="s">
        <v>25</v>
      </c>
      <c r="S34" s="1598" t="e">
        <f t="shared" si="12"/>
        <v>#N/A</v>
      </c>
      <c r="T34" s="1597" t="s">
        <v>25</v>
      </c>
      <c r="U34" s="1598" t="e">
        <f t="shared" si="13"/>
        <v>#N/A</v>
      </c>
      <c r="V34" s="1597" t="s">
        <v>25</v>
      </c>
      <c r="W34" s="1598" t="e">
        <f t="shared" si="14"/>
        <v>#N/A</v>
      </c>
      <c r="X34" s="1599"/>
      <c r="Y34" s="3332"/>
      <c r="Z34" s="1600" t="str">
        <f t="shared" si="15"/>
        <v>项目建筑规模</v>
      </c>
      <c r="AA34" s="1560" t="e">
        <f t="shared" si="3"/>
        <v>#N/A</v>
      </c>
      <c r="AB34" s="1560" t="e">
        <f t="shared" si="4"/>
        <v>#N/A</v>
      </c>
      <c r="AC34" s="1560" t="e">
        <f t="shared" si="5"/>
        <v>#N/A</v>
      </c>
    </row>
    <row r="35" spans="1:29" ht="15">
      <c r="A35" s="1602"/>
      <c r="B35" s="1529" t="s">
        <v>2039</v>
      </c>
      <c r="C35" s="1584"/>
      <c r="D35" s="1544">
        <v>100</v>
      </c>
      <c r="E35" s="1584"/>
      <c r="F35" s="1586">
        <f>SUMIF(106:106,E35,107:107)-SUMIF(106:106,C35,107:107)+100</f>
        <v>100</v>
      </c>
      <c r="G35" s="1584"/>
      <c r="H35" s="1544">
        <f>SUMIF(106:106,G35,107:107)-SUMIF(106:106,C35,107:107)+100</f>
        <v>100</v>
      </c>
      <c r="I35" s="1584"/>
      <c r="J35" s="1544">
        <f>SUMIF(106:106,I35,107:107)-SUMIF(106:106,C35,107:107)+100</f>
        <v>100</v>
      </c>
      <c r="K35" s="1807"/>
      <c r="L35" s="2697"/>
      <c r="P35" s="3332"/>
      <c r="Q35" s="1454" t="str">
        <f t="shared" si="11"/>
        <v>建筑结构</v>
      </c>
      <c r="R35" s="1558" t="s">
        <v>25</v>
      </c>
      <c r="S35" s="1559">
        <f t="shared" si="12"/>
        <v>100</v>
      </c>
      <c r="T35" s="1558" t="s">
        <v>25</v>
      </c>
      <c r="U35" s="1559">
        <f t="shared" si="13"/>
        <v>100</v>
      </c>
      <c r="V35" s="1558" t="s">
        <v>25</v>
      </c>
      <c r="W35" s="1559">
        <f t="shared" si="14"/>
        <v>100</v>
      </c>
      <c r="X35" s="1502"/>
      <c r="Y35" s="3332"/>
      <c r="Z35" s="1560" t="str">
        <f t="shared" si="15"/>
        <v>建筑结构</v>
      </c>
      <c r="AA35" s="1560">
        <f t="shared" si="3"/>
        <v>1</v>
      </c>
      <c r="AB35" s="1560">
        <f t="shared" si="4"/>
        <v>1</v>
      </c>
      <c r="AC35" s="1560">
        <f t="shared" si="5"/>
        <v>1</v>
      </c>
    </row>
    <row r="36" spans="1:29" ht="15">
      <c r="A36" s="1602"/>
      <c r="B36" s="1529" t="s">
        <v>2124</v>
      </c>
      <c r="C36" s="1584"/>
      <c r="D36" s="1544">
        <v>100</v>
      </c>
      <c r="E36" s="1584"/>
      <c r="F36" s="1586">
        <f>SUMIF(108:108,E36,109:109)-SUMIF(108:108,C36,109:109)+100</f>
        <v>100</v>
      </c>
      <c r="G36" s="1584"/>
      <c r="H36" s="1544">
        <f>SUMIF(108:108,G36,109:109)-SUMIF(108:108,C36,109:109)+100</f>
        <v>100</v>
      </c>
      <c r="I36" s="1584"/>
      <c r="J36" s="1544">
        <f>SUMIF(108:108,I36,109:109)-SUMIF(108:108,C36,109:109)+100</f>
        <v>100</v>
      </c>
      <c r="K36" s="1807"/>
      <c r="L36" s="2697"/>
      <c r="P36" s="3332"/>
      <c r="Q36" s="1454" t="str">
        <f t="shared" si="11"/>
        <v>公共部分装修</v>
      </c>
      <c r="R36" s="1558" t="s">
        <v>25</v>
      </c>
      <c r="S36" s="1559">
        <f t="shared" si="12"/>
        <v>100</v>
      </c>
      <c r="T36" s="1558" t="s">
        <v>25</v>
      </c>
      <c r="U36" s="1559">
        <f t="shared" si="13"/>
        <v>100</v>
      </c>
      <c r="V36" s="1558" t="s">
        <v>25</v>
      </c>
      <c r="W36" s="1559">
        <f t="shared" si="14"/>
        <v>100</v>
      </c>
      <c r="X36" s="1502"/>
      <c r="Y36" s="3332"/>
      <c r="Z36" s="1560" t="str">
        <f t="shared" si="15"/>
        <v>公共部分装修</v>
      </c>
      <c r="AA36" s="1560">
        <f t="shared" si="3"/>
        <v>1</v>
      </c>
      <c r="AB36" s="1560">
        <f t="shared" si="4"/>
        <v>1</v>
      </c>
      <c r="AC36" s="1560">
        <f t="shared" si="5"/>
        <v>1</v>
      </c>
    </row>
    <row r="37" spans="1:29" ht="15">
      <c r="A37" s="1602"/>
      <c r="B37" s="1529" t="s">
        <v>2125</v>
      </c>
      <c r="C37" s="1605"/>
      <c r="D37" s="1544">
        <v>100</v>
      </c>
      <c r="E37" s="1605"/>
      <c r="F37" s="1586" t="e">
        <f>LOOKUP(E37,111:111,112:112)-LOOKUP(C37,111:111,112:112)+100</f>
        <v>#N/A</v>
      </c>
      <c r="G37" s="1605"/>
      <c r="H37" s="1586" t="e">
        <f>LOOKUP(G37,111:111,112:112)-LOOKUP(C37,111:111,112:112)+100</f>
        <v>#N/A</v>
      </c>
      <c r="I37" s="1605"/>
      <c r="J37" s="1544" t="e">
        <f>LOOKUP(I37,111:111,112:112)-LOOKUP(C37,111:111,112:112)+100</f>
        <v>#N/A</v>
      </c>
      <c r="K37" s="1807"/>
      <c r="L37" s="2697"/>
      <c r="P37" s="3332"/>
      <c r="Q37" s="1454" t="str">
        <f t="shared" si="11"/>
        <v>成新度</v>
      </c>
      <c r="R37" s="1558" t="s">
        <v>25</v>
      </c>
      <c r="S37" s="1559" t="e">
        <f t="shared" si="12"/>
        <v>#N/A</v>
      </c>
      <c r="T37" s="1558" t="s">
        <v>25</v>
      </c>
      <c r="U37" s="1559" t="e">
        <f t="shared" si="13"/>
        <v>#N/A</v>
      </c>
      <c r="V37" s="1558" t="s">
        <v>25</v>
      </c>
      <c r="W37" s="1559" t="e">
        <f t="shared" si="14"/>
        <v>#N/A</v>
      </c>
      <c r="X37" s="1502"/>
      <c r="Y37" s="3332"/>
      <c r="Z37" s="1560" t="str">
        <f t="shared" si="15"/>
        <v>成新度</v>
      </c>
      <c r="AA37" s="1560" t="e">
        <f t="shared" si="3"/>
        <v>#N/A</v>
      </c>
      <c r="AB37" s="1560" t="e">
        <f t="shared" si="4"/>
        <v>#N/A</v>
      </c>
      <c r="AC37" s="1560" t="e">
        <f t="shared" si="5"/>
        <v>#N/A</v>
      </c>
    </row>
    <row r="38" spans="1:29" s="1520" customFormat="1" ht="15">
      <c r="A38" s="1604"/>
      <c r="B38" s="1529" t="s">
        <v>2152</v>
      </c>
      <c r="C38" s="1584"/>
      <c r="D38" s="1531">
        <v>100</v>
      </c>
      <c r="E38" s="1584"/>
      <c r="F38" s="1586">
        <f>SUMIF(113:113,E38,114:114)-SUMIF(113:113,C38,114:114)+100</f>
        <v>100</v>
      </c>
      <c r="G38" s="1584"/>
      <c r="H38" s="1544">
        <f>SUMIF(113:113,G38,114:114)-SUMIF(113:113,C38,114:114)+100</f>
        <v>100</v>
      </c>
      <c r="I38" s="1584"/>
      <c r="J38" s="1544">
        <f>SUMIF(113:113,I38,114:114)-SUMIF(113:113,C38,114:114)+100</f>
        <v>100</v>
      </c>
      <c r="K38" s="1807"/>
      <c r="L38" s="2694"/>
      <c r="P38" s="3332"/>
      <c r="Q38" s="1472" t="str">
        <f t="shared" si="11"/>
        <v>写字楼等级</v>
      </c>
      <c r="R38" s="1516" t="s">
        <v>25</v>
      </c>
      <c r="S38" s="1517">
        <f t="shared" si="12"/>
        <v>100</v>
      </c>
      <c r="T38" s="1516" t="s">
        <v>25</v>
      </c>
      <c r="U38" s="1517">
        <f t="shared" si="13"/>
        <v>100</v>
      </c>
      <c r="V38" s="1516" t="s">
        <v>25</v>
      </c>
      <c r="W38" s="1517">
        <f t="shared" si="14"/>
        <v>100</v>
      </c>
      <c r="X38" s="1518"/>
      <c r="Y38" s="3332"/>
      <c r="Z38" s="1519" t="str">
        <f t="shared" si="15"/>
        <v>写字楼等级</v>
      </c>
      <c r="AA38" s="1519">
        <f t="shared" si="3"/>
        <v>1</v>
      </c>
      <c r="AB38" s="1519">
        <f t="shared" si="4"/>
        <v>1</v>
      </c>
      <c r="AC38" s="1519">
        <f t="shared" si="5"/>
        <v>1</v>
      </c>
    </row>
    <row r="39" spans="1:29" ht="15">
      <c r="A39" s="1602"/>
      <c r="B39" s="1529" t="s">
        <v>2153</v>
      </c>
      <c r="C39" s="1584"/>
      <c r="D39" s="1544">
        <v>100</v>
      </c>
      <c r="E39" s="1584"/>
      <c r="F39" s="1586">
        <f>SUMIF(115:115,E39,116:116)-SUMIF(115:115,C39,116:116)+100</f>
        <v>100</v>
      </c>
      <c r="G39" s="1584"/>
      <c r="H39" s="1544">
        <f>SUMIF(115:115,G39,116:116)-SUMIF(115:115,C39,116:116)+100</f>
        <v>100</v>
      </c>
      <c r="I39" s="1584"/>
      <c r="J39" s="1544">
        <f>SUMIF(115:115,I39,116:116)-SUMIF(115:115,C39,116:116)+100</f>
        <v>100</v>
      </c>
      <c r="K39" s="1807"/>
      <c r="L39" s="2697"/>
      <c r="P39" s="3332" t="s">
        <v>2037</v>
      </c>
      <c r="Q39" s="1454" t="str">
        <f t="shared" si="11"/>
        <v>物业管理</v>
      </c>
      <c r="R39" s="1558" t="s">
        <v>25</v>
      </c>
      <c r="S39" s="1559">
        <f t="shared" si="12"/>
        <v>100</v>
      </c>
      <c r="T39" s="1558" t="s">
        <v>25</v>
      </c>
      <c r="U39" s="1559">
        <f t="shared" si="13"/>
        <v>100</v>
      </c>
      <c r="V39" s="1558" t="s">
        <v>25</v>
      </c>
      <c r="W39" s="1559">
        <f t="shared" si="14"/>
        <v>100</v>
      </c>
      <c r="X39" s="1502"/>
      <c r="Y39" s="3332" t="s">
        <v>2037</v>
      </c>
      <c r="Z39" s="1560" t="str">
        <f t="shared" si="15"/>
        <v>物业管理</v>
      </c>
      <c r="AA39" s="1560">
        <f t="shared" si="3"/>
        <v>1</v>
      </c>
      <c r="AB39" s="1560">
        <f t="shared" si="4"/>
        <v>1</v>
      </c>
      <c r="AC39" s="1560">
        <f t="shared" si="5"/>
        <v>1</v>
      </c>
    </row>
    <row r="40" spans="1:29" ht="15">
      <c r="A40" s="1602"/>
      <c r="B40" s="1529" t="s">
        <v>2126</v>
      </c>
      <c r="C40" s="1584"/>
      <c r="D40" s="1544">
        <v>100</v>
      </c>
      <c r="E40" s="1584"/>
      <c r="F40" s="1586">
        <f>SUMIF(117:117,E40,118:118)-SUMIF(117:117,C40,118:118)+100</f>
        <v>100</v>
      </c>
      <c r="G40" s="1584"/>
      <c r="H40" s="1544">
        <f>SUMIF(117:117,G40,118:118)-SUMIF(117:117,C40,118:118)+100</f>
        <v>100</v>
      </c>
      <c r="I40" s="1584"/>
      <c r="J40" s="1544">
        <f>SUMIF(117:117,I40,118:118)-SUMIF(117:117,C40,118:118)+100</f>
        <v>100</v>
      </c>
      <c r="K40" s="1807"/>
      <c r="L40" s="2697"/>
      <c r="P40" s="3332"/>
      <c r="Q40" s="1454" t="str">
        <f t="shared" si="11"/>
        <v>市政基础设施</v>
      </c>
      <c r="R40" s="1558" t="s">
        <v>25</v>
      </c>
      <c r="S40" s="1559">
        <f t="shared" si="12"/>
        <v>100</v>
      </c>
      <c r="T40" s="1558" t="s">
        <v>25</v>
      </c>
      <c r="U40" s="1559">
        <f t="shared" si="13"/>
        <v>100</v>
      </c>
      <c r="V40" s="1558" t="s">
        <v>25</v>
      </c>
      <c r="W40" s="1559">
        <f t="shared" si="14"/>
        <v>100</v>
      </c>
      <c r="X40" s="1502"/>
      <c r="Y40" s="3332"/>
      <c r="Z40" s="1560" t="str">
        <f t="shared" si="15"/>
        <v>市政基础设施</v>
      </c>
      <c r="AA40" s="1560">
        <f t="shared" si="3"/>
        <v>1</v>
      </c>
      <c r="AB40" s="1560">
        <f t="shared" si="4"/>
        <v>1</v>
      </c>
      <c r="AC40" s="1560">
        <f t="shared" si="5"/>
        <v>1</v>
      </c>
    </row>
    <row r="41" spans="1:29" ht="15">
      <c r="A41" s="1602"/>
      <c r="B41" s="1529" t="s">
        <v>2128</v>
      </c>
      <c r="C41" s="1806"/>
      <c r="D41" s="1544">
        <v>100</v>
      </c>
      <c r="E41" s="1806"/>
      <c r="F41" s="1586">
        <f>SUMIF(119:119,E41,120:120)-SUMIF(119:119,C41,120:120)+100</f>
        <v>100</v>
      </c>
      <c r="G41" s="1806"/>
      <c r="H41" s="1544">
        <f>SUMIF(119:119,G41,120:120)-SUMIF(119:119,C41,120:120)+100</f>
        <v>100</v>
      </c>
      <c r="I41" s="1806"/>
      <c r="J41" s="1544">
        <f>SUMIF(119:119,I41,120:120)-SUMIF(119:119,C41,120:120)+100</f>
        <v>100</v>
      </c>
      <c r="K41" s="1807"/>
      <c r="L41" s="2697"/>
      <c r="P41" s="3332"/>
      <c r="Q41" s="1454" t="str">
        <f t="shared" si="11"/>
        <v>层高</v>
      </c>
      <c r="R41" s="1558" t="s">
        <v>25</v>
      </c>
      <c r="S41" s="1559">
        <f t="shared" si="12"/>
        <v>100</v>
      </c>
      <c r="T41" s="1558" t="s">
        <v>25</v>
      </c>
      <c r="U41" s="1559">
        <f t="shared" si="13"/>
        <v>100</v>
      </c>
      <c r="V41" s="1558" t="s">
        <v>25</v>
      </c>
      <c r="W41" s="1559">
        <f t="shared" si="14"/>
        <v>100</v>
      </c>
      <c r="X41" s="1502"/>
      <c r="Y41" s="3332"/>
      <c r="Z41" s="1560" t="str">
        <f t="shared" si="15"/>
        <v>层高</v>
      </c>
      <c r="AA41" s="1560">
        <f t="shared" si="3"/>
        <v>1</v>
      </c>
      <c r="AB41" s="1560">
        <f t="shared" si="4"/>
        <v>1</v>
      </c>
      <c r="AC41" s="1560">
        <f t="shared" si="5"/>
        <v>1</v>
      </c>
    </row>
    <row r="42" spans="1:29" s="1601" customFormat="1" ht="15">
      <c r="A42" s="1595"/>
      <c r="B42" s="1586" t="s">
        <v>2154</v>
      </c>
      <c r="C42" s="1543"/>
      <c r="D42" s="1544">
        <v>100</v>
      </c>
      <c r="E42" s="1543"/>
      <c r="F42" s="1586">
        <f>SUMIF(121:121,E42,122:122)-SUMIF(121:121,C42,122:122)+100</f>
        <v>100</v>
      </c>
      <c r="G42" s="1543"/>
      <c r="H42" s="1544">
        <f>SUMIF(121:121,G42,122:122)-SUMIF(121:121,C42,122:122)+100</f>
        <v>100</v>
      </c>
      <c r="I42" s="1543"/>
      <c r="J42" s="1544">
        <f>SUMIF(121:121,I42,122:122)-SUMIF(121:121,C42,122:122)+100</f>
        <v>100</v>
      </c>
      <c r="K42" s="1804"/>
      <c r="L42" s="2696"/>
      <c r="P42" s="3332"/>
      <c r="Q42" s="478" t="str">
        <f t="shared" si="11"/>
        <v>单套建筑面积</v>
      </c>
      <c r="R42" s="1597" t="s">
        <v>25</v>
      </c>
      <c r="S42" s="1598">
        <f t="shared" si="12"/>
        <v>100</v>
      </c>
      <c r="T42" s="1597" t="s">
        <v>25</v>
      </c>
      <c r="U42" s="1598">
        <f t="shared" si="13"/>
        <v>100</v>
      </c>
      <c r="V42" s="1597" t="s">
        <v>25</v>
      </c>
      <c r="W42" s="1598">
        <f t="shared" si="14"/>
        <v>100</v>
      </c>
      <c r="X42" s="1599"/>
      <c r="Y42" s="3332"/>
      <c r="Z42" s="1600" t="str">
        <f t="shared" si="15"/>
        <v>单套建筑面积</v>
      </c>
      <c r="AA42" s="1560">
        <f t="shared" si="3"/>
        <v>1</v>
      </c>
      <c r="AB42" s="1560">
        <f t="shared" si="4"/>
        <v>1</v>
      </c>
      <c r="AC42" s="1560">
        <f t="shared" si="5"/>
        <v>1</v>
      </c>
    </row>
    <row r="43" spans="1:29" ht="15">
      <c r="A43" s="1602"/>
      <c r="B43" s="1529" t="s">
        <v>2131</v>
      </c>
      <c r="C43" s="1584"/>
      <c r="D43" s="1544">
        <v>100</v>
      </c>
      <c r="E43" s="1584"/>
      <c r="F43" s="1586">
        <f>SUMIF(123:123,E43,124:124)-SUMIF(123:123,C43,124:124)+100</f>
        <v>100</v>
      </c>
      <c r="G43" s="1584"/>
      <c r="H43" s="1544">
        <f>SUMIF(123:123,G43,124:124)-SUMIF(123:123,C43,124:124)+100</f>
        <v>100</v>
      </c>
      <c r="I43" s="1584"/>
      <c r="J43" s="1544">
        <f>SUMIF(123:123,I43,124:124)-SUMIF(123:123,C43,124:124)+100</f>
        <v>100</v>
      </c>
      <c r="K43" s="1807"/>
      <c r="L43" s="2697"/>
      <c r="P43" s="3332"/>
      <c r="Q43" s="1454" t="str">
        <f t="shared" si="11"/>
        <v>内部装修</v>
      </c>
      <c r="R43" s="1558" t="s">
        <v>25</v>
      </c>
      <c r="S43" s="1559">
        <f t="shared" si="12"/>
        <v>100</v>
      </c>
      <c r="T43" s="1558" t="s">
        <v>25</v>
      </c>
      <c r="U43" s="1559">
        <f t="shared" si="13"/>
        <v>100</v>
      </c>
      <c r="V43" s="1558" t="s">
        <v>25</v>
      </c>
      <c r="W43" s="1559">
        <f t="shared" si="14"/>
        <v>100</v>
      </c>
      <c r="X43" s="1502"/>
      <c r="Y43" s="3332"/>
      <c r="Z43" s="1560" t="str">
        <f t="shared" si="15"/>
        <v>内部装修</v>
      </c>
      <c r="AA43" s="1560">
        <f t="shared" si="3"/>
        <v>1</v>
      </c>
      <c r="AB43" s="1560">
        <f t="shared" si="4"/>
        <v>1</v>
      </c>
      <c r="AC43" s="1560">
        <f t="shared" si="5"/>
        <v>1</v>
      </c>
    </row>
    <row r="44" spans="1:29" ht="28.8">
      <c r="A44" s="1602"/>
      <c r="B44" s="1529" t="s">
        <v>2048</v>
      </c>
      <c r="C44" s="1584"/>
      <c r="D44" s="1544">
        <v>100</v>
      </c>
      <c r="E44" s="1587"/>
      <c r="F44" s="1586">
        <f>SUMIF(125:125,E44,126:126)-SUMIF(125:125,C44,126:126)+100</f>
        <v>100</v>
      </c>
      <c r="G44" s="1587"/>
      <c r="H44" s="1544">
        <f>SUMIF(125:125,G44,126:126)-SUMIF(125:125,C44,126:126)+100</f>
        <v>100</v>
      </c>
      <c r="I44" s="1587"/>
      <c r="J44" s="1544">
        <f>SUMIF(125:125,I44,126:126)-SUMIF(125:125,C44,126:126)+100</f>
        <v>100</v>
      </c>
      <c r="K44" s="1807"/>
      <c r="L44" s="2697"/>
      <c r="P44" s="3332"/>
      <c r="Q44" s="1454" t="str">
        <f t="shared" si="11"/>
        <v>内部装修维护情况</v>
      </c>
      <c r="R44" s="1558" t="s">
        <v>25</v>
      </c>
      <c r="S44" s="1559">
        <f t="shared" si="12"/>
        <v>100</v>
      </c>
      <c r="T44" s="1558" t="s">
        <v>25</v>
      </c>
      <c r="U44" s="1559">
        <f t="shared" si="13"/>
        <v>100</v>
      </c>
      <c r="V44" s="1558" t="s">
        <v>25</v>
      </c>
      <c r="W44" s="1559">
        <f t="shared" si="14"/>
        <v>100</v>
      </c>
      <c r="X44" s="1502"/>
      <c r="Y44" s="3332"/>
      <c r="Z44" s="1560" t="str">
        <f t="shared" si="15"/>
        <v>内部装修维护情况</v>
      </c>
      <c r="AA44" s="1560">
        <f t="shared" si="3"/>
        <v>1</v>
      </c>
      <c r="AB44" s="1560">
        <f t="shared" si="4"/>
        <v>1</v>
      </c>
      <c r="AC44" s="1560">
        <f t="shared" si="5"/>
        <v>1</v>
      </c>
    </row>
    <row r="45" spans="1:29" s="1520" customFormat="1" ht="15">
      <c r="A45" s="1604"/>
      <c r="B45" s="1591">
        <v>111</v>
      </c>
      <c r="C45" s="1596"/>
      <c r="D45" s="1531">
        <v>100</v>
      </c>
      <c r="E45" s="1540"/>
      <c r="F45" s="1529">
        <f>SUMIF(127:127,E45,128:128)-SUMIF(127:127,C45,128:128)+100</f>
        <v>100</v>
      </c>
      <c r="G45" s="1540"/>
      <c r="H45" s="1531">
        <f>SUMIF(127:127,G45,128:128)-SUMIF(127:127,C45,128:128)+100</f>
        <v>100</v>
      </c>
      <c r="I45" s="1540"/>
      <c r="J45" s="1531">
        <f>SUMIF(127:127,I45,128:128)-SUMIF(127:127,C45,128:128)+100</f>
        <v>100</v>
      </c>
      <c r="K45" s="1804"/>
      <c r="L45" s="2694"/>
      <c r="P45" s="3332"/>
      <c r="Q45" s="1472">
        <f t="shared" si="11"/>
        <v>111</v>
      </c>
      <c r="R45" s="1516" t="s">
        <v>25</v>
      </c>
      <c r="S45" s="1517">
        <f t="shared" si="12"/>
        <v>100</v>
      </c>
      <c r="T45" s="1516" t="s">
        <v>25</v>
      </c>
      <c r="U45" s="1517">
        <f t="shared" si="13"/>
        <v>100</v>
      </c>
      <c r="V45" s="1516" t="s">
        <v>25</v>
      </c>
      <c r="W45" s="1517">
        <f t="shared" si="14"/>
        <v>100</v>
      </c>
      <c r="X45" s="1518"/>
      <c r="Y45" s="3332"/>
      <c r="Z45" s="1519">
        <f t="shared" si="15"/>
        <v>111</v>
      </c>
      <c r="AA45" s="1519">
        <f t="shared" si="3"/>
        <v>1</v>
      </c>
      <c r="AB45" s="1519">
        <f t="shared" si="4"/>
        <v>1</v>
      </c>
      <c r="AC45" s="1519">
        <f t="shared" si="5"/>
        <v>1</v>
      </c>
    </row>
    <row r="46" spans="1:29" ht="15">
      <c r="A46" s="1602"/>
      <c r="B46" s="1591">
        <v>111</v>
      </c>
      <c r="C46" s="1543"/>
      <c r="D46" s="1544">
        <v>100</v>
      </c>
      <c r="E46" s="1540"/>
      <c r="F46" s="1586">
        <f>SUMIF(129:129,E46,130:130)-SUMIF(129:129,C46,130:130)+100</f>
        <v>100</v>
      </c>
      <c r="G46" s="1540"/>
      <c r="H46" s="1544">
        <f>SUMIF(129:129,G46,130:130)-SUMIF(129:129,C46,130:130)+100</f>
        <v>100</v>
      </c>
      <c r="I46" s="1540"/>
      <c r="J46" s="1544">
        <f>SUMIF(129:129,I46,130:130)-SUMIF(129:129,C46,130:130)+100</f>
        <v>100</v>
      </c>
      <c r="K46" s="1804"/>
      <c r="L46" s="2697"/>
      <c r="P46" s="3332"/>
      <c r="Q46" s="1454">
        <f t="shared" si="11"/>
        <v>111</v>
      </c>
      <c r="R46" s="1558" t="s">
        <v>25</v>
      </c>
      <c r="S46" s="1559">
        <f t="shared" si="12"/>
        <v>100</v>
      </c>
      <c r="T46" s="1558" t="s">
        <v>25</v>
      </c>
      <c r="U46" s="1559">
        <f t="shared" si="13"/>
        <v>100</v>
      </c>
      <c r="V46" s="1558" t="s">
        <v>25</v>
      </c>
      <c r="W46" s="1559">
        <f t="shared" si="14"/>
        <v>100</v>
      </c>
      <c r="X46" s="1502"/>
      <c r="Y46" s="3332"/>
      <c r="Z46" s="1560">
        <f t="shared" si="15"/>
        <v>111</v>
      </c>
      <c r="AA46" s="1560">
        <f t="shared" si="3"/>
        <v>1</v>
      </c>
      <c r="AB46" s="1560">
        <f t="shared" si="4"/>
        <v>1</v>
      </c>
      <c r="AC46" s="1560">
        <f t="shared" si="5"/>
        <v>1</v>
      </c>
    </row>
    <row r="47" spans="1:29" ht="15.6" thickBot="1">
      <c r="A47" s="1609"/>
      <c r="B47" s="1546">
        <v>111</v>
      </c>
      <c r="C47" s="1547"/>
      <c r="D47" s="1548">
        <v>100</v>
      </c>
      <c r="E47" s="1540"/>
      <c r="F47" s="1549">
        <f>SUMIF(131:131,E47,132:132)-SUMIF(131:131,C47,132:132)+100</f>
        <v>100</v>
      </c>
      <c r="G47" s="1540"/>
      <c r="H47" s="1548">
        <f>SUMIF(131:131,G47,132:132)-SUMIF(131:131,C47,132:132)+100</f>
        <v>100</v>
      </c>
      <c r="I47" s="1540"/>
      <c r="J47" s="1548">
        <f>SUMIF(131:131,I47,132:132)-SUMIF(131:131,C47,132:132)+100</f>
        <v>100</v>
      </c>
      <c r="K47" s="1804"/>
      <c r="L47" s="2697"/>
      <c r="P47" s="3333"/>
      <c r="Q47" s="1454">
        <f t="shared" si="11"/>
        <v>111</v>
      </c>
      <c r="R47" s="1558" t="s">
        <v>25</v>
      </c>
      <c r="S47" s="1559">
        <f t="shared" si="12"/>
        <v>100</v>
      </c>
      <c r="T47" s="1558" t="s">
        <v>25</v>
      </c>
      <c r="U47" s="1559">
        <f t="shared" si="13"/>
        <v>100</v>
      </c>
      <c r="V47" s="1558" t="s">
        <v>25</v>
      </c>
      <c r="W47" s="1559">
        <f t="shared" si="14"/>
        <v>100</v>
      </c>
      <c r="X47" s="1502"/>
      <c r="Y47" s="3333"/>
      <c r="Z47" s="1560">
        <f t="shared" si="15"/>
        <v>111</v>
      </c>
      <c r="AA47" s="1560">
        <f t="shared" si="3"/>
        <v>1</v>
      </c>
      <c r="AB47" s="1560">
        <f t="shared" si="4"/>
        <v>1</v>
      </c>
      <c r="AC47" s="1560">
        <f t="shared" si="5"/>
        <v>1</v>
      </c>
    </row>
    <row r="48" spans="1:29" ht="14.4">
      <c r="A48" s="1610" t="s">
        <v>2049</v>
      </c>
      <c r="B48" s="1611"/>
      <c r="C48" s="1612" t="s">
        <v>1</v>
      </c>
      <c r="D48" s="1613"/>
      <c r="E48" s="1614"/>
      <c r="F48" s="1615"/>
      <c r="G48" s="1616"/>
      <c r="H48" s="1617"/>
      <c r="I48" s="1614"/>
      <c r="J48" s="1617"/>
      <c r="K48" s="1823"/>
      <c r="L48" s="2698"/>
      <c r="P48" s="3324" t="str">
        <f>A48</f>
        <v>成交单价（元/平方米）</v>
      </c>
      <c r="Q48" s="3324"/>
      <c r="R48" s="3320">
        <f>E48</f>
        <v>0</v>
      </c>
      <c r="S48" s="3320"/>
      <c r="T48" s="3320">
        <f>G48</f>
        <v>0</v>
      </c>
      <c r="U48" s="3320"/>
      <c r="V48" s="3320">
        <f>I48</f>
        <v>0</v>
      </c>
      <c r="W48" s="3320"/>
      <c r="X48" s="1561"/>
      <c r="Y48" s="1620"/>
      <c r="Z48" s="1561"/>
      <c r="AA48" s="1561"/>
      <c r="AB48" s="1561"/>
      <c r="AC48" s="1561"/>
    </row>
    <row r="49" spans="1:29" ht="15" thickBot="1">
      <c r="A49" s="1621" t="s">
        <v>2132</v>
      </c>
      <c r="B49" s="1622"/>
      <c r="C49" s="1623" t="e">
        <f>R50</f>
        <v>#DIV/0!</v>
      </c>
      <c r="D49" s="1624" t="s">
        <v>2503</v>
      </c>
      <c r="E49" s="1625" t="e">
        <f>R49</f>
        <v>#DIV/0!</v>
      </c>
      <c r="F49" s="1626"/>
      <c r="G49" s="1623" t="e">
        <f>T49</f>
        <v>#DIV/0!</v>
      </c>
      <c r="H49" s="1626"/>
      <c r="I49" s="1625" t="e">
        <f>V49</f>
        <v>#DIV/0!</v>
      </c>
      <c r="J49" s="1626"/>
      <c r="K49" s="2251">
        <f>F49+H49+J49</f>
        <v>0</v>
      </c>
      <c r="L49" s="2698"/>
      <c r="P49" s="3324" t="str">
        <f>A49</f>
        <v>比较价值（元/平方米）</v>
      </c>
      <c r="Q49" s="3324"/>
      <c r="R49" s="3320" t="e">
        <f>IF(E1="售价",ROUND(PRODUCT(R48,AA7:AA47),0),ROUND(PRODUCT(R48,AA7:AA47),1))</f>
        <v>#DIV/0!</v>
      </c>
      <c r="S49" s="3320"/>
      <c r="T49" s="3320" t="e">
        <f>IF(E1="售价",ROUND(PRODUCT(T48,AB7:AB47),0),ROUND(PRODUCT(T48,AB7:AB47),1))</f>
        <v>#DIV/0!</v>
      </c>
      <c r="U49" s="3320"/>
      <c r="V49" s="3320" t="e">
        <f>IF(E1="售价",ROUND(PRODUCT(V48,AC7:AC47),0),ROUND(PRODUCT(V48,AC7:AC47),1))</f>
        <v>#DIV/0!</v>
      </c>
      <c r="W49" s="3320"/>
      <c r="X49" s="1561"/>
      <c r="Y49" s="1561"/>
      <c r="Z49" s="1561"/>
      <c r="AA49" s="1561"/>
      <c r="AB49" s="1561"/>
      <c r="AC49" s="1561"/>
    </row>
    <row r="50" spans="1:29" ht="15" thickBot="1">
      <c r="A50" s="1627" t="s">
        <v>2155</v>
      </c>
      <c r="B50" s="1628"/>
      <c r="C50" s="1508" t="e">
        <f>R50</f>
        <v>#DIV/0!</v>
      </c>
      <c r="D50" s="1508"/>
      <c r="E50" s="1508"/>
      <c r="F50" s="1508"/>
      <c r="G50" s="1508"/>
      <c r="H50" s="1508"/>
      <c r="I50" s="1508"/>
      <c r="J50" s="1508"/>
      <c r="K50" s="1828"/>
      <c r="L50" s="2698"/>
      <c r="P50" s="3321" t="str">
        <f>A50</f>
        <v>估价对象XX用房的比较价值（楼面单价，元/平方米）</v>
      </c>
      <c r="Q50" s="3322"/>
      <c r="R50" s="3323" t="e">
        <f>IF(E1="售价",ROUND(IF(D49="简单平均",AVERAGE(R49:V49),R49*F49+T49*H49+V49*J49),0),ROUND(IF(D49="简单平均",AVERAGE(R49:V49),R49*F49+T49*H49+V49*J49),1))</f>
        <v>#DIV/0!</v>
      </c>
      <c r="S50" s="3323"/>
      <c r="T50" s="3323"/>
      <c r="U50" s="3323"/>
      <c r="V50" s="3323"/>
      <c r="W50" s="3323"/>
      <c r="X50" s="1561"/>
      <c r="Y50" s="1561"/>
      <c r="Z50" s="1561"/>
      <c r="AA50" s="1561"/>
      <c r="AB50" s="1561"/>
      <c r="AC50" s="1561"/>
    </row>
    <row r="51" spans="1:29">
      <c r="G51" s="2701"/>
    </row>
    <row r="53" spans="1:29" ht="13.5" customHeight="1">
      <c r="C53" s="376" t="s">
        <v>2134</v>
      </c>
      <c r="D53" s="1634"/>
      <c r="E53" s="1635" t="e">
        <f>IF(E48&lt;E49,E49/E48-1,E48/E49-1)</f>
        <v>#DIV/0!</v>
      </c>
      <c r="F53" s="1636" t="e">
        <f>IF(OR(E53&gt;=0.3,E53&lt;=-0.3),"超过30%","")</f>
        <v>#DIV/0!</v>
      </c>
      <c r="G53" s="1635" t="e">
        <f>IF(G48&lt;G49,G49/G48-1,G48/G49-1)</f>
        <v>#DIV/0!</v>
      </c>
      <c r="H53" s="1636" t="e">
        <f>IF(OR(G53&gt;=0.3,G53&lt;=-0.3),"超过30%","")</f>
        <v>#DIV/0!</v>
      </c>
      <c r="I53" s="1635" t="e">
        <f>IF(I48&lt;I49,I49/I48-1,I48/I49-1)</f>
        <v>#DIV/0!</v>
      </c>
      <c r="J53" s="1636" t="e">
        <f>IF(OR(I53&gt;=0.3,I53&lt;=-0.3),"超过30%","")</f>
        <v>#DIV/0!</v>
      </c>
    </row>
    <row r="54" spans="1:29" ht="13.5" customHeight="1">
      <c r="C54" s="376" t="s">
        <v>2135</v>
      </c>
      <c r="D54" s="1637"/>
      <c r="E54" s="1635" t="e">
        <f>IF(E49&lt;G49,G49/E49-1,E49/G49-1)</f>
        <v>#DIV/0!</v>
      </c>
      <c r="F54" s="1636" t="e">
        <f>IF(OR(E54&gt;=0.2,E54&lt;=-0.2),"超过20%","")</f>
        <v>#DIV/0!</v>
      </c>
      <c r="G54" s="1635" t="e">
        <f>IF(G49&lt;I49,I49/G49-1,G49/I49-1)</f>
        <v>#DIV/0!</v>
      </c>
      <c r="H54" s="1636" t="e">
        <f>IF(OR(G54&gt;=0.2,G54&lt;=-0.2),"超过20%","")</f>
        <v>#DIV/0!</v>
      </c>
      <c r="I54" s="1635" t="e">
        <f>IF(I49&lt;E49,E49/I49-1,I49/E49-1)</f>
        <v>#DIV/0!</v>
      </c>
      <c r="J54" s="1636" t="e">
        <f>IF(OR(I54&gt;=0.2,I54&lt;=-0.2),"超过20%","")</f>
        <v>#DIV/0!</v>
      </c>
    </row>
    <row r="55" spans="1:29" s="1640" customFormat="1" ht="13.5" customHeight="1">
      <c r="C55" s="376" t="s">
        <v>2136</v>
      </c>
      <c r="D55" s="1637"/>
      <c r="E55" s="1635" t="e">
        <f>IF(E48&lt;G48,G48/E48-1,E48/G48-1)</f>
        <v>#DIV/0!</v>
      </c>
      <c r="F55" s="1636" t="e">
        <f>IF(OR(E55&gt;=0.3,E55&lt;=-0.3),"超过30%","")</f>
        <v>#DIV/0!</v>
      </c>
      <c r="G55" s="1635" t="e">
        <f>IF(G48&lt;I48,I48/G48-1,G48/I48-1)</f>
        <v>#DIV/0!</v>
      </c>
      <c r="H55" s="1636" t="e">
        <f>IF(OR(G55&gt;=0.3,G55&lt;=-0.3),"超过30%","")</f>
        <v>#DIV/0!</v>
      </c>
      <c r="I55" s="1635" t="e">
        <f>IF(I48&lt;E48,E48/I48-1,I48/E48-1)</f>
        <v>#DIV/0!</v>
      </c>
      <c r="J55" s="1636" t="e">
        <f>IF(OR(I55&gt;=0.3,I55&lt;=-0.3),"超过30%","")</f>
        <v>#DIV/0!</v>
      </c>
      <c r="K55" s="2704"/>
      <c r="L55" s="2699"/>
    </row>
    <row r="56" spans="1:29" s="1640" customFormat="1">
      <c r="B56" s="2702"/>
      <c r="C56" s="2703"/>
      <c r="K56" s="2704"/>
      <c r="L56" s="2699"/>
    </row>
    <row r="57" spans="1:29">
      <c r="B57" s="2702"/>
      <c r="C57" s="2703"/>
    </row>
    <row r="58" spans="1:29" ht="22.2" thickBot="1">
      <c r="A58" s="1643" t="s">
        <v>2137</v>
      </c>
      <c r="B58" s="1561"/>
      <c r="C58" s="1644"/>
      <c r="D58" s="1644"/>
      <c r="E58" s="1644"/>
      <c r="F58" s="1644"/>
      <c r="G58" s="1644"/>
      <c r="H58" s="1644"/>
      <c r="I58" s="1644"/>
      <c r="J58" s="1644"/>
      <c r="K58" s="1645"/>
      <c r="L58" s="1646"/>
      <c r="M58" s="1644"/>
      <c r="N58" s="1855"/>
      <c r="O58" s="1855"/>
      <c r="P58" s="1855"/>
      <c r="Q58" s="1648"/>
    </row>
    <row r="59" spans="1:29" s="1654" customFormat="1" ht="14.4">
      <c r="A59" s="1649" t="s">
        <v>2019</v>
      </c>
      <c r="B59" s="1650"/>
      <c r="C59" s="1651" t="str">
        <f>YEAR(C7)&amp;"-"&amp;MONTH(C7)</f>
        <v>2022-12</v>
      </c>
      <c r="D59" s="1652">
        <f>EDATE(C59,-1)</f>
        <v>44866</v>
      </c>
      <c r="E59" s="1652">
        <f t="shared" ref="E59:O59" si="16">EDATE(D59,-1)</f>
        <v>44835</v>
      </c>
      <c r="F59" s="1652">
        <f t="shared" si="16"/>
        <v>44805</v>
      </c>
      <c r="G59" s="1652">
        <f t="shared" si="16"/>
        <v>44774</v>
      </c>
      <c r="H59" s="1652">
        <f t="shared" si="16"/>
        <v>44743</v>
      </c>
      <c r="I59" s="1652">
        <f t="shared" si="16"/>
        <v>44713</v>
      </c>
      <c r="J59" s="1652">
        <f t="shared" si="16"/>
        <v>44682</v>
      </c>
      <c r="K59" s="1652">
        <f t="shared" si="16"/>
        <v>44652</v>
      </c>
      <c r="L59" s="1652">
        <f t="shared" si="16"/>
        <v>44621</v>
      </c>
      <c r="M59" s="1652">
        <f t="shared" si="16"/>
        <v>44593</v>
      </c>
      <c r="N59" s="1652">
        <f t="shared" si="16"/>
        <v>44562</v>
      </c>
      <c r="O59" s="1652">
        <f t="shared" si="16"/>
        <v>44531</v>
      </c>
    </row>
    <row r="60" spans="1:29" s="1520" customFormat="1">
      <c r="A60" s="1655"/>
      <c r="B60" s="1656"/>
      <c r="C60" s="1657">
        <v>100</v>
      </c>
      <c r="D60" s="1658"/>
      <c r="E60" s="1658"/>
      <c r="F60" s="1658"/>
      <c r="G60" s="1658"/>
      <c r="H60" s="1658"/>
      <c r="I60" s="1658"/>
      <c r="J60" s="1658"/>
      <c r="K60" s="1658"/>
      <c r="L60" s="1658"/>
      <c r="M60" s="1539"/>
      <c r="N60" s="1658"/>
      <c r="O60" s="1671"/>
      <c r="P60" s="1648"/>
    </row>
    <row r="61" spans="1:29" s="1520" customFormat="1" ht="15" thickBot="1">
      <c r="A61" s="1660" t="s">
        <v>2057</v>
      </c>
      <c r="B61" s="1661"/>
      <c r="C61" s="1662"/>
      <c r="D61" s="1663"/>
      <c r="E61" s="1663"/>
      <c r="F61" s="1663"/>
      <c r="G61" s="1663"/>
      <c r="H61" s="1663"/>
      <c r="I61" s="1663"/>
      <c r="J61" s="1663"/>
      <c r="K61" s="1663"/>
      <c r="L61" s="1663"/>
      <c r="M61" s="1664"/>
      <c r="N61" s="1663"/>
      <c r="O61" s="2245"/>
      <c r="P61" s="1648"/>
      <c r="Q61" s="1648"/>
    </row>
    <row r="62" spans="1:29" s="1520" customFormat="1" ht="14.4">
      <c r="A62" s="1665" t="s">
        <v>2021</v>
      </c>
      <c r="B62" s="1656"/>
      <c r="C62" s="1666" t="s">
        <v>2022</v>
      </c>
      <c r="D62" s="401"/>
      <c r="E62" s="401"/>
      <c r="F62" s="401"/>
      <c r="G62" s="401"/>
      <c r="H62" s="401"/>
      <c r="I62" s="401"/>
      <c r="J62" s="401"/>
      <c r="K62" s="401"/>
      <c r="L62" s="401"/>
      <c r="M62" s="1667"/>
      <c r="N62" s="1865"/>
      <c r="O62" s="1865"/>
      <c r="P62" s="1864"/>
      <c r="Q62" s="1648"/>
    </row>
    <row r="63" spans="1:29" s="1520" customFormat="1" ht="14.4" thickBot="1">
      <c r="A63" s="1665"/>
      <c r="B63" s="1656"/>
      <c r="C63" s="1670">
        <v>100</v>
      </c>
      <c r="D63" s="1658"/>
      <c r="E63" s="1658"/>
      <c r="F63" s="1658"/>
      <c r="G63" s="1658"/>
      <c r="H63" s="1658"/>
      <c r="I63" s="1658"/>
      <c r="J63" s="1658"/>
      <c r="K63" s="1658"/>
      <c r="L63" s="1658"/>
      <c r="M63" s="1671"/>
      <c r="N63" s="1865"/>
      <c r="O63" s="1865"/>
      <c r="P63" s="1648"/>
      <c r="Q63" s="1648"/>
    </row>
    <row r="64" spans="1:29" ht="14.4">
      <c r="A64" s="1550" t="s">
        <v>2060</v>
      </c>
      <c r="B64" s="1672" t="s">
        <v>2025</v>
      </c>
      <c r="C64" s="1673">
        <f>C9</f>
        <v>0</v>
      </c>
      <c r="D64" s="1674"/>
      <c r="E64" s="1674"/>
      <c r="F64" s="1674"/>
      <c r="G64" s="1674"/>
      <c r="H64" s="1674"/>
      <c r="I64" s="1674"/>
      <c r="J64" s="1674"/>
      <c r="K64" s="408"/>
      <c r="L64" s="408"/>
      <c r="M64" s="1675"/>
      <c r="N64" s="2709"/>
      <c r="O64" s="2709"/>
      <c r="P64" s="1865"/>
      <c r="Q64" s="1648"/>
    </row>
    <row r="65" spans="1:17" ht="14.4" thickBot="1">
      <c r="A65" s="1535"/>
      <c r="B65" s="1678"/>
      <c r="C65" s="1679">
        <v>100</v>
      </c>
      <c r="D65" s="1679"/>
      <c r="E65" s="1679"/>
      <c r="F65" s="1679"/>
      <c r="G65" s="1679"/>
      <c r="H65" s="1679"/>
      <c r="I65" s="1679"/>
      <c r="J65" s="1679"/>
      <c r="K65" s="1679"/>
      <c r="L65" s="1679"/>
      <c r="M65" s="1680"/>
      <c r="N65" s="2248"/>
      <c r="O65" s="2248"/>
      <c r="P65" s="1865"/>
      <c r="Q65" s="1648"/>
    </row>
    <row r="66" spans="1:17" ht="29.4" thickTop="1">
      <c r="A66" s="1535"/>
      <c r="B66" s="1682" t="s">
        <v>2028</v>
      </c>
      <c r="C66" s="1683" t="s">
        <v>2061</v>
      </c>
      <c r="D66" s="1683" t="s">
        <v>2062</v>
      </c>
      <c r="E66" s="1683" t="s">
        <v>2063</v>
      </c>
      <c r="F66" s="1683" t="s">
        <v>2064</v>
      </c>
      <c r="G66" s="1683" t="s">
        <v>2065</v>
      </c>
      <c r="H66" s="1683" t="s">
        <v>2066</v>
      </c>
      <c r="I66" s="1683" t="s">
        <v>2067</v>
      </c>
      <c r="J66" s="1683"/>
      <c r="K66" s="418"/>
      <c r="L66" s="418"/>
      <c r="M66" s="1684"/>
      <c r="N66" s="2709"/>
      <c r="O66" s="2709"/>
      <c r="P66" s="1865"/>
      <c r="Q66" s="1648"/>
    </row>
    <row r="67" spans="1:17" ht="14.4" thickBot="1">
      <c r="A67" s="1535"/>
      <c r="B67" s="1685"/>
      <c r="C67" s="1686" t="s">
        <v>36</v>
      </c>
      <c r="D67" s="1686" t="s">
        <v>37</v>
      </c>
      <c r="E67" s="1686">
        <v>100</v>
      </c>
      <c r="F67" s="1686">
        <f>E67-$K10</f>
        <v>100</v>
      </c>
      <c r="G67" s="1686">
        <f>F67-$K10</f>
        <v>100</v>
      </c>
      <c r="H67" s="1686">
        <f>G67-$K10</f>
        <v>100</v>
      </c>
      <c r="I67" s="1686">
        <f>H67-$K10</f>
        <v>100</v>
      </c>
      <c r="J67" s="1686"/>
      <c r="K67" s="1686"/>
      <c r="L67" s="1686"/>
      <c r="M67" s="1687"/>
      <c r="N67" s="2248"/>
      <c r="O67" s="2248"/>
      <c r="P67" s="1865"/>
      <c r="Q67" s="1648"/>
    </row>
    <row r="68" spans="1:17" ht="15" thickTop="1">
      <c r="A68" s="1535"/>
      <c r="B68" s="1688" t="s">
        <v>2029</v>
      </c>
      <c r="C68" s="1689" t="str">
        <f>C69&amp;"（含）"&amp;"-"&amp;D69</f>
        <v>（含）-</v>
      </c>
      <c r="D68" s="1689" t="str">
        <f t="shared" ref="D68:L68" si="17">D69&amp;"（含）"&amp;"-"&amp;E69</f>
        <v>（含）-</v>
      </c>
      <c r="E68" s="1689" t="str">
        <f t="shared" si="17"/>
        <v>（含）-</v>
      </c>
      <c r="F68" s="1689" t="str">
        <f t="shared" si="17"/>
        <v>（含）-</v>
      </c>
      <c r="G68" s="1689" t="str">
        <f t="shared" si="17"/>
        <v>（含）-</v>
      </c>
      <c r="H68" s="1689" t="str">
        <f t="shared" si="17"/>
        <v>（含）-</v>
      </c>
      <c r="I68" s="1689" t="str">
        <f t="shared" si="17"/>
        <v>（含）-</v>
      </c>
      <c r="J68" s="1689" t="str">
        <f t="shared" si="17"/>
        <v>（含）-</v>
      </c>
      <c r="K68" s="1689" t="str">
        <f t="shared" si="17"/>
        <v>（含）-</v>
      </c>
      <c r="L68" s="1689" t="str">
        <f t="shared" si="17"/>
        <v>（含）-</v>
      </c>
      <c r="M68" s="1563" t="str">
        <f>M69&amp;"（含）"&amp;"-"&amp;P69</f>
        <v>（含）-</v>
      </c>
      <c r="N68" s="2248"/>
      <c r="O68" s="2248"/>
      <c r="P68" s="1865"/>
      <c r="Q68" s="1648"/>
    </row>
    <row r="69" spans="1:17">
      <c r="A69" s="1535"/>
      <c r="B69" s="1690"/>
      <c r="C69" s="1691"/>
      <c r="D69" s="1691"/>
      <c r="E69" s="1691"/>
      <c r="F69" s="1691"/>
      <c r="G69" s="1691"/>
      <c r="H69" s="1691"/>
      <c r="I69" s="1691"/>
      <c r="J69" s="1691"/>
      <c r="K69" s="428"/>
      <c r="L69" s="428"/>
      <c r="M69" s="1692"/>
      <c r="N69" s="2709"/>
      <c r="O69" s="2709"/>
      <c r="P69" s="1865"/>
      <c r="Q69" s="1648"/>
    </row>
    <row r="70" spans="1:17" ht="14.4" thickBot="1">
      <c r="A70" s="1535"/>
      <c r="B70" s="1678"/>
      <c r="C70" s="1686">
        <v>100</v>
      </c>
      <c r="D70" s="1686">
        <f t="shared" ref="D70:M70" si="18">C70-$K11</f>
        <v>100</v>
      </c>
      <c r="E70" s="1686">
        <f t="shared" si="18"/>
        <v>100</v>
      </c>
      <c r="F70" s="1686">
        <f t="shared" si="18"/>
        <v>100</v>
      </c>
      <c r="G70" s="1686">
        <f t="shared" si="18"/>
        <v>100</v>
      </c>
      <c r="H70" s="1686">
        <f t="shared" si="18"/>
        <v>100</v>
      </c>
      <c r="I70" s="1686">
        <f t="shared" si="18"/>
        <v>100</v>
      </c>
      <c r="J70" s="1686">
        <f t="shared" si="18"/>
        <v>100</v>
      </c>
      <c r="K70" s="1686">
        <f t="shared" si="18"/>
        <v>100</v>
      </c>
      <c r="L70" s="1686">
        <f t="shared" si="18"/>
        <v>100</v>
      </c>
      <c r="M70" s="1687">
        <f t="shared" si="18"/>
        <v>100</v>
      </c>
      <c r="N70" s="2248"/>
      <c r="O70" s="2248"/>
      <c r="P70" s="1865"/>
      <c r="Q70" s="1648"/>
    </row>
    <row r="71" spans="1:17" s="1601" customFormat="1" ht="14.4" thickTop="1">
      <c r="A71" s="1693"/>
      <c r="B71" s="1682">
        <f>B12</f>
        <v>111</v>
      </c>
      <c r="C71" s="456"/>
      <c r="D71" s="456"/>
      <c r="E71" s="456"/>
      <c r="F71" s="456"/>
      <c r="G71" s="456"/>
      <c r="H71" s="433"/>
      <c r="I71" s="433"/>
      <c r="J71" s="433"/>
      <c r="K71" s="433"/>
      <c r="L71" s="433"/>
      <c r="M71" s="1694"/>
      <c r="N71" s="1866"/>
      <c r="O71" s="1866"/>
      <c r="P71" s="1866"/>
      <c r="Q71" s="1697"/>
    </row>
    <row r="72" spans="1:17" s="1601" customFormat="1" ht="14.4" thickBot="1">
      <c r="A72" s="1693"/>
      <c r="B72" s="1685"/>
      <c r="C72" s="1698"/>
      <c r="D72" s="1679"/>
      <c r="E72" s="1679"/>
      <c r="F72" s="1679"/>
      <c r="G72" s="1679"/>
      <c r="H72" s="1679"/>
      <c r="I72" s="1679"/>
      <c r="J72" s="1679"/>
      <c r="K72" s="1679"/>
      <c r="L72" s="1679"/>
      <c r="M72" s="1680"/>
      <c r="N72" s="2248"/>
      <c r="O72" s="2248"/>
      <c r="P72" s="1866"/>
      <c r="Q72" s="1697"/>
    </row>
    <row r="73" spans="1:17" s="1601" customFormat="1" ht="14.4" thickTop="1">
      <c r="A73" s="1693"/>
      <c r="B73" s="1682">
        <f>B13</f>
        <v>111</v>
      </c>
      <c r="C73" s="456"/>
      <c r="D73" s="456"/>
      <c r="E73" s="456"/>
      <c r="F73" s="456"/>
      <c r="G73" s="456"/>
      <c r="H73" s="433"/>
      <c r="I73" s="433"/>
      <c r="J73" s="433"/>
      <c r="K73" s="433"/>
      <c r="L73" s="433"/>
      <c r="M73" s="1694"/>
      <c r="N73" s="1866"/>
      <c r="O73" s="1866"/>
      <c r="Q73" s="1700"/>
    </row>
    <row r="74" spans="1:17" s="1601" customFormat="1" ht="14.4" thickBot="1">
      <c r="A74" s="1693"/>
      <c r="B74" s="1685"/>
      <c r="C74" s="1698"/>
      <c r="D74" s="1698"/>
      <c r="E74" s="1698"/>
      <c r="F74" s="1698"/>
      <c r="G74" s="1698"/>
      <c r="H74" s="1701"/>
      <c r="I74" s="1701"/>
      <c r="J74" s="1701"/>
      <c r="K74" s="1701"/>
      <c r="L74" s="1701"/>
      <c r="M74" s="1702"/>
      <c r="N74" s="1866"/>
      <c r="O74" s="1866"/>
      <c r="P74" s="1866"/>
      <c r="Q74" s="1697"/>
    </row>
    <row r="75" spans="1:17" s="1601" customFormat="1" ht="14.4" thickTop="1">
      <c r="A75" s="1693"/>
      <c r="B75" s="1688">
        <f>B14</f>
        <v>111</v>
      </c>
      <c r="C75" s="401"/>
      <c r="D75" s="401"/>
      <c r="E75" s="401"/>
      <c r="F75" s="401"/>
      <c r="G75" s="401"/>
      <c r="H75" s="442"/>
      <c r="I75" s="442"/>
      <c r="J75" s="442"/>
      <c r="K75" s="442"/>
      <c r="L75" s="442"/>
      <c r="M75" s="1703"/>
      <c r="N75" s="1866"/>
      <c r="O75" s="1866"/>
      <c r="P75" s="1866"/>
      <c r="Q75" s="1697"/>
    </row>
    <row r="76" spans="1:17" s="1601" customFormat="1" ht="14.4" thickBot="1">
      <c r="A76" s="1704"/>
      <c r="B76" s="1705"/>
      <c r="C76" s="1706"/>
      <c r="D76" s="1706"/>
      <c r="E76" s="1706"/>
      <c r="F76" s="1706"/>
      <c r="G76" s="1706"/>
      <c r="H76" s="1707"/>
      <c r="I76" s="1707"/>
      <c r="J76" s="1707"/>
      <c r="K76" s="1707"/>
      <c r="L76" s="1707"/>
      <c r="M76" s="1708"/>
      <c r="N76" s="1866"/>
      <c r="O76" s="1866"/>
      <c r="P76" s="1866"/>
      <c r="Q76" s="1697"/>
    </row>
    <row r="77" spans="1:17" ht="14.4">
      <c r="A77" s="1550" t="s">
        <v>2030</v>
      </c>
      <c r="B77" s="1672" t="s">
        <v>2156</v>
      </c>
      <c r="C77" s="1709" t="s">
        <v>2069</v>
      </c>
      <c r="D77" s="1709" t="s">
        <v>2070</v>
      </c>
      <c r="E77" s="1709" t="s">
        <v>2071</v>
      </c>
      <c r="F77" s="1709" t="s">
        <v>2072</v>
      </c>
      <c r="G77" s="1709" t="s">
        <v>2073</v>
      </c>
      <c r="H77" s="1673"/>
      <c r="I77" s="1673"/>
      <c r="J77" s="1673"/>
      <c r="K77" s="452"/>
      <c r="L77" s="452"/>
      <c r="M77" s="1710"/>
      <c r="N77" s="2709"/>
      <c r="O77" s="2709"/>
      <c r="P77" s="1865"/>
      <c r="Q77" s="1648"/>
    </row>
    <row r="78" spans="1:17" ht="14.4" thickBot="1">
      <c r="A78" s="1535"/>
      <c r="B78" s="1685"/>
      <c r="C78" s="1686">
        <v>100</v>
      </c>
      <c r="D78" s="1686">
        <f>C78-$K15</f>
        <v>100</v>
      </c>
      <c r="E78" s="1686">
        <f>D78-$K15</f>
        <v>100</v>
      </c>
      <c r="F78" s="1686">
        <f>E78-$K15</f>
        <v>100</v>
      </c>
      <c r="G78" s="1686">
        <f>F78-$K15</f>
        <v>100</v>
      </c>
      <c r="H78" s="1686"/>
      <c r="I78" s="1686"/>
      <c r="J78" s="1686"/>
      <c r="K78" s="1686"/>
      <c r="L78" s="1686"/>
      <c r="M78" s="1687"/>
      <c r="N78" s="2248"/>
      <c r="O78" s="2248"/>
      <c r="P78" s="1865"/>
      <c r="Q78" s="1648"/>
    </row>
    <row r="79" spans="1:17" ht="15" thickTop="1">
      <c r="A79" s="1535"/>
      <c r="B79" s="1682" t="s">
        <v>2074</v>
      </c>
      <c r="C79" s="559" t="s">
        <v>2069</v>
      </c>
      <c r="D79" s="559" t="s">
        <v>2070</v>
      </c>
      <c r="E79" s="559" t="s">
        <v>2071</v>
      </c>
      <c r="F79" s="559" t="s">
        <v>2072</v>
      </c>
      <c r="G79" s="559" t="s">
        <v>2073</v>
      </c>
      <c r="H79" s="1683"/>
      <c r="I79" s="1683"/>
      <c r="J79" s="1683"/>
      <c r="K79" s="418"/>
      <c r="L79" s="418"/>
      <c r="M79" s="1684"/>
      <c r="N79" s="2709"/>
      <c r="O79" s="2709"/>
      <c r="P79" s="1865"/>
      <c r="Q79" s="1648"/>
    </row>
    <row r="80" spans="1:17" ht="14.4" thickBot="1">
      <c r="A80" s="1535"/>
      <c r="B80" s="1685"/>
      <c r="C80" s="1686">
        <v>100</v>
      </c>
      <c r="D80" s="1686">
        <f>C80-$K17</f>
        <v>100</v>
      </c>
      <c r="E80" s="1686">
        <f>D80-$K17</f>
        <v>100</v>
      </c>
      <c r="F80" s="1686">
        <f>E80-$K17</f>
        <v>100</v>
      </c>
      <c r="G80" s="1686">
        <f>F80-$K17</f>
        <v>100</v>
      </c>
      <c r="H80" s="1686"/>
      <c r="I80" s="1686"/>
      <c r="J80" s="1686"/>
      <c r="K80" s="1686"/>
      <c r="L80" s="1686"/>
      <c r="M80" s="1687"/>
      <c r="N80" s="2248"/>
      <c r="O80" s="2248"/>
      <c r="P80" s="1865"/>
      <c r="Q80" s="1648"/>
    </row>
    <row r="81" spans="1:17" ht="15" thickTop="1">
      <c r="A81" s="1535"/>
      <c r="B81" s="1682" t="s">
        <v>2075</v>
      </c>
      <c r="C81" s="559" t="s">
        <v>2069</v>
      </c>
      <c r="D81" s="559" t="s">
        <v>2070</v>
      </c>
      <c r="E81" s="559" t="s">
        <v>2071</v>
      </c>
      <c r="F81" s="559" t="s">
        <v>2072</v>
      </c>
      <c r="G81" s="559" t="s">
        <v>2073</v>
      </c>
      <c r="H81" s="1683"/>
      <c r="I81" s="1683"/>
      <c r="J81" s="1683"/>
      <c r="K81" s="418"/>
      <c r="L81" s="418"/>
      <c r="M81" s="1684"/>
      <c r="N81" s="2709"/>
      <c r="O81" s="2709"/>
      <c r="P81" s="1865"/>
      <c r="Q81" s="1648"/>
    </row>
    <row r="82" spans="1:17" ht="14.4" thickBot="1">
      <c r="A82" s="1535"/>
      <c r="B82" s="1685"/>
      <c r="C82" s="1686">
        <v>100</v>
      </c>
      <c r="D82" s="1686">
        <f>C82-$K19</f>
        <v>100</v>
      </c>
      <c r="E82" s="1686">
        <f>D82-$K19</f>
        <v>100</v>
      </c>
      <c r="F82" s="1686">
        <f>E82-$K19</f>
        <v>100</v>
      </c>
      <c r="G82" s="1686">
        <f>F82-$K19</f>
        <v>100</v>
      </c>
      <c r="H82" s="1686"/>
      <c r="I82" s="1686"/>
      <c r="J82" s="1686"/>
      <c r="K82" s="1686"/>
      <c r="L82" s="1686"/>
      <c r="M82" s="1687"/>
      <c r="N82" s="2248"/>
      <c r="O82" s="2248"/>
      <c r="P82" s="1865"/>
      <c r="Q82" s="1648"/>
    </row>
    <row r="83" spans="1:17" ht="15" thickTop="1">
      <c r="A83" s="1535"/>
      <c r="B83" s="1688" t="s">
        <v>2118</v>
      </c>
      <c r="C83" s="1683" t="s">
        <v>2076</v>
      </c>
      <c r="D83" s="1683" t="s">
        <v>2077</v>
      </c>
      <c r="E83" s="1683" t="s">
        <v>2078</v>
      </c>
      <c r="F83" s="1683" t="s">
        <v>2079</v>
      </c>
      <c r="G83" s="1683" t="s">
        <v>2080</v>
      </c>
      <c r="H83" s="1683"/>
      <c r="I83" s="1683"/>
      <c r="J83" s="1683"/>
      <c r="K83" s="1683"/>
      <c r="L83" s="1683"/>
      <c r="M83" s="1711"/>
      <c r="N83" s="2248"/>
      <c r="O83" s="2248"/>
      <c r="P83" s="1865"/>
      <c r="Q83" s="1648"/>
    </row>
    <row r="84" spans="1:17" ht="14.4" thickBot="1">
      <c r="A84" s="1535"/>
      <c r="B84" s="1688"/>
      <c r="C84" s="1686">
        <v>100</v>
      </c>
      <c r="D84" s="1686">
        <f>C84-$K21</f>
        <v>100</v>
      </c>
      <c r="E84" s="1686">
        <f>D84-$K21</f>
        <v>100</v>
      </c>
      <c r="F84" s="1686">
        <f>E84-$K21</f>
        <v>100</v>
      </c>
      <c r="G84" s="1686">
        <f>F84-$K21</f>
        <v>100</v>
      </c>
      <c r="H84" s="1712"/>
      <c r="I84" s="1712"/>
      <c r="J84" s="1712"/>
      <c r="K84" s="1712"/>
      <c r="L84" s="1712"/>
      <c r="M84" s="1567"/>
      <c r="N84" s="2248"/>
      <c r="O84" s="2248"/>
      <c r="P84" s="1865"/>
      <c r="Q84" s="1648"/>
    </row>
    <row r="85" spans="1:17" ht="15" thickTop="1">
      <c r="A85" s="1535"/>
      <c r="B85" s="1682" t="s">
        <v>2157</v>
      </c>
      <c r="C85" s="559" t="s">
        <v>2069</v>
      </c>
      <c r="D85" s="559" t="s">
        <v>2070</v>
      </c>
      <c r="E85" s="559" t="s">
        <v>2071</v>
      </c>
      <c r="F85" s="559" t="s">
        <v>2072</v>
      </c>
      <c r="G85" s="559" t="s">
        <v>2073</v>
      </c>
      <c r="H85" s="1683"/>
      <c r="I85" s="1683"/>
      <c r="J85" s="1683"/>
      <c r="K85" s="418"/>
      <c r="L85" s="418"/>
      <c r="M85" s="1684"/>
      <c r="N85" s="2709"/>
      <c r="O85" s="2709"/>
      <c r="P85" s="1865"/>
      <c r="Q85" s="1648"/>
    </row>
    <row r="86" spans="1:17" ht="14.4" thickBot="1">
      <c r="A86" s="1535"/>
      <c r="B86" s="1685"/>
      <c r="C86" s="1686">
        <v>100</v>
      </c>
      <c r="D86" s="1686">
        <f>C86-$K23</f>
        <v>100</v>
      </c>
      <c r="E86" s="1686">
        <f>D86-$K23</f>
        <v>100</v>
      </c>
      <c r="F86" s="1686">
        <f>E86-$K23</f>
        <v>100</v>
      </c>
      <c r="G86" s="1686">
        <f>F86-$K23</f>
        <v>100</v>
      </c>
      <c r="H86" s="1686"/>
      <c r="I86" s="1686"/>
      <c r="J86" s="1686"/>
      <c r="K86" s="1686"/>
      <c r="L86" s="1686"/>
      <c r="M86" s="1687"/>
      <c r="N86" s="2248"/>
      <c r="O86" s="2248"/>
      <c r="P86" s="1865"/>
      <c r="Q86" s="1648"/>
    </row>
    <row r="87" spans="1:17" s="1520" customFormat="1" ht="29.4" thickTop="1">
      <c r="A87" s="1538"/>
      <c r="B87" s="1682" t="s">
        <v>2158</v>
      </c>
      <c r="C87" s="456"/>
      <c r="D87" s="456"/>
      <c r="E87" s="456"/>
      <c r="F87" s="456"/>
      <c r="G87" s="456"/>
      <c r="H87" s="456"/>
      <c r="I87" s="456"/>
      <c r="J87" s="456"/>
      <c r="K87" s="456"/>
      <c r="L87" s="456"/>
      <c r="M87" s="1713"/>
      <c r="N87" s="1865"/>
      <c r="O87" s="1865"/>
      <c r="P87" s="1865"/>
      <c r="Q87" s="1648"/>
    </row>
    <row r="88" spans="1:17" s="1520" customFormat="1" ht="14.4" thickBot="1">
      <c r="A88" s="1538"/>
      <c r="B88" s="1685"/>
      <c r="C88" s="1714">
        <v>100</v>
      </c>
      <c r="D88" s="1686">
        <f t="shared" ref="D88:M88" si="19">C88-$K25</f>
        <v>100</v>
      </c>
      <c r="E88" s="1686">
        <f t="shared" si="19"/>
        <v>100</v>
      </c>
      <c r="F88" s="1686">
        <f t="shared" si="19"/>
        <v>100</v>
      </c>
      <c r="G88" s="1686">
        <f t="shared" si="19"/>
        <v>100</v>
      </c>
      <c r="H88" s="1686">
        <f t="shared" si="19"/>
        <v>100</v>
      </c>
      <c r="I88" s="1686">
        <f t="shared" si="19"/>
        <v>100</v>
      </c>
      <c r="J88" s="1686">
        <f t="shared" si="19"/>
        <v>100</v>
      </c>
      <c r="K88" s="1686">
        <f t="shared" si="19"/>
        <v>100</v>
      </c>
      <c r="L88" s="1686">
        <f t="shared" si="19"/>
        <v>100</v>
      </c>
      <c r="M88" s="1686">
        <f t="shared" si="19"/>
        <v>100</v>
      </c>
      <c r="N88" s="2248"/>
      <c r="O88" s="2248"/>
      <c r="P88" s="1865"/>
      <c r="Q88" s="1648"/>
    </row>
    <row r="89" spans="1:17" s="1520" customFormat="1" ht="14.4" thickTop="1">
      <c r="A89" s="1538"/>
      <c r="B89" s="1682" t="str">
        <f>B27</f>
        <v>楼层</v>
      </c>
      <c r="C89" s="456"/>
      <c r="D89" s="456"/>
      <c r="E89" s="456"/>
      <c r="F89" s="1715"/>
      <c r="G89" s="456"/>
      <c r="H89" s="456"/>
      <c r="I89" s="456"/>
      <c r="J89" s="456"/>
      <c r="K89" s="456"/>
      <c r="L89" s="456"/>
      <c r="M89" s="1713"/>
      <c r="N89" s="1865"/>
      <c r="O89" s="1865"/>
      <c r="P89" s="1865"/>
      <c r="Q89" s="1648"/>
    </row>
    <row r="90" spans="1:17" s="1520" customFormat="1" ht="14.4" thickBot="1">
      <c r="A90" s="1538"/>
      <c r="B90" s="1685"/>
      <c r="C90" s="1714">
        <v>100</v>
      </c>
      <c r="D90" s="1686">
        <f>C90-$K27</f>
        <v>100</v>
      </c>
      <c r="E90" s="1686">
        <f t="shared" ref="E90:M90" si="20">D90-$K27</f>
        <v>100</v>
      </c>
      <c r="F90" s="1686">
        <f t="shared" si="20"/>
        <v>100</v>
      </c>
      <c r="G90" s="1686">
        <f t="shared" si="20"/>
        <v>100</v>
      </c>
      <c r="H90" s="1686">
        <f t="shared" si="20"/>
        <v>100</v>
      </c>
      <c r="I90" s="1686">
        <f t="shared" si="20"/>
        <v>100</v>
      </c>
      <c r="J90" s="1686">
        <f t="shared" si="20"/>
        <v>100</v>
      </c>
      <c r="K90" s="1686">
        <f t="shared" si="20"/>
        <v>100</v>
      </c>
      <c r="L90" s="1686">
        <f t="shared" si="20"/>
        <v>100</v>
      </c>
      <c r="M90" s="1686">
        <f t="shared" si="20"/>
        <v>100</v>
      </c>
      <c r="N90" s="2248"/>
      <c r="O90" s="2248"/>
      <c r="P90" s="1865"/>
      <c r="Q90" s="1648"/>
    </row>
    <row r="91" spans="1:17" s="1601" customFormat="1" ht="14.4" thickTop="1">
      <c r="A91" s="1693"/>
      <c r="B91" s="1682" t="str">
        <f>B28</f>
        <v>朝向</v>
      </c>
      <c r="C91" s="456"/>
      <c r="D91" s="456"/>
      <c r="E91" s="456"/>
      <c r="F91" s="456"/>
      <c r="G91" s="456"/>
      <c r="H91" s="433"/>
      <c r="I91" s="433"/>
      <c r="J91" s="433"/>
      <c r="K91" s="433"/>
      <c r="L91" s="433"/>
      <c r="M91" s="1694"/>
      <c r="N91" s="1866"/>
      <c r="O91" s="1866"/>
      <c r="P91" s="1866"/>
      <c r="Q91" s="1697"/>
    </row>
    <row r="92" spans="1:17" s="1601" customFormat="1" ht="14.4" thickBot="1">
      <c r="A92" s="1693"/>
      <c r="B92" s="1685"/>
      <c r="C92" s="1714">
        <v>100</v>
      </c>
      <c r="D92" s="1686">
        <f t="shared" ref="D92:M92" si="21">C92-$K28</f>
        <v>100</v>
      </c>
      <c r="E92" s="1686">
        <f t="shared" si="21"/>
        <v>100</v>
      </c>
      <c r="F92" s="1686">
        <f t="shared" si="21"/>
        <v>100</v>
      </c>
      <c r="G92" s="1686">
        <f t="shared" si="21"/>
        <v>100</v>
      </c>
      <c r="H92" s="1686">
        <f t="shared" si="21"/>
        <v>100</v>
      </c>
      <c r="I92" s="1686">
        <f t="shared" si="21"/>
        <v>100</v>
      </c>
      <c r="J92" s="1686">
        <f t="shared" si="21"/>
        <v>100</v>
      </c>
      <c r="K92" s="1686">
        <f t="shared" si="21"/>
        <v>100</v>
      </c>
      <c r="L92" s="1686">
        <f t="shared" si="21"/>
        <v>100</v>
      </c>
      <c r="M92" s="1686">
        <f t="shared" si="21"/>
        <v>100</v>
      </c>
      <c r="N92" s="1866"/>
      <c r="O92" s="1866"/>
      <c r="P92" s="1866"/>
      <c r="Q92" s="1697"/>
    </row>
    <row r="93" spans="1:17" ht="14.4" thickTop="1">
      <c r="A93" s="1535"/>
      <c r="B93" s="1682">
        <f>B29</f>
        <v>111</v>
      </c>
      <c r="C93" s="456"/>
      <c r="D93" s="456"/>
      <c r="E93" s="456"/>
      <c r="F93" s="456"/>
      <c r="G93" s="456"/>
      <c r="H93" s="456"/>
      <c r="I93" s="456"/>
      <c r="J93" s="456"/>
      <c r="K93" s="456"/>
      <c r="L93" s="456"/>
      <c r="M93" s="1713"/>
      <c r="N93" s="2709"/>
      <c r="O93" s="2709"/>
      <c r="P93" s="1865"/>
      <c r="Q93" s="1648"/>
    </row>
    <row r="94" spans="1:17" ht="14.4" thickBot="1">
      <c r="A94" s="1535"/>
      <c r="B94" s="1685"/>
      <c r="C94" s="1698"/>
      <c r="D94" s="1679"/>
      <c r="E94" s="1679"/>
      <c r="F94" s="1679"/>
      <c r="G94" s="1679"/>
      <c r="H94" s="1679"/>
      <c r="I94" s="1679"/>
      <c r="J94" s="1679"/>
      <c r="K94" s="1679"/>
      <c r="L94" s="1679"/>
      <c r="M94" s="1680"/>
      <c r="N94" s="2248"/>
      <c r="O94" s="2248"/>
      <c r="P94" s="1865"/>
      <c r="Q94" s="1648"/>
    </row>
    <row r="95" spans="1:17" ht="14.4" thickTop="1">
      <c r="A95" s="1535"/>
      <c r="B95" s="1682">
        <f>B30</f>
        <v>111</v>
      </c>
      <c r="C95" s="456"/>
      <c r="D95" s="456"/>
      <c r="E95" s="456"/>
      <c r="F95" s="456"/>
      <c r="G95" s="1417"/>
      <c r="H95" s="1417"/>
      <c r="I95" s="1417"/>
      <c r="J95" s="1417"/>
      <c r="K95" s="461"/>
      <c r="L95" s="461"/>
      <c r="M95" s="1716"/>
      <c r="N95" s="2709"/>
      <c r="O95" s="2709"/>
      <c r="P95" s="1865"/>
      <c r="Q95" s="1648"/>
    </row>
    <row r="96" spans="1:17" ht="14.4" thickBot="1">
      <c r="A96" s="1535"/>
      <c r="B96" s="1685"/>
      <c r="C96" s="1698"/>
      <c r="D96" s="1698"/>
      <c r="E96" s="1698"/>
      <c r="F96" s="1698"/>
      <c r="G96" s="1679"/>
      <c r="H96" s="1679"/>
      <c r="I96" s="1679"/>
      <c r="J96" s="1679"/>
      <c r="K96" s="1679"/>
      <c r="L96" s="1679"/>
      <c r="M96" s="1680"/>
      <c r="N96" s="2248"/>
      <c r="O96" s="2248"/>
      <c r="P96" s="1865"/>
      <c r="Q96" s="1648"/>
    </row>
    <row r="97" spans="1:17" ht="14.4" thickTop="1">
      <c r="A97" s="1535"/>
      <c r="B97" s="1682">
        <f>B31</f>
        <v>111</v>
      </c>
      <c r="C97" s="456"/>
      <c r="D97" s="456"/>
      <c r="E97" s="456"/>
      <c r="F97" s="456"/>
      <c r="G97" s="1417"/>
      <c r="H97" s="1417"/>
      <c r="I97" s="1417"/>
      <c r="J97" s="1417"/>
      <c r="K97" s="461"/>
      <c r="L97" s="461"/>
      <c r="M97" s="1716"/>
      <c r="N97" s="2709"/>
      <c r="O97" s="2709"/>
      <c r="P97" s="1865"/>
      <c r="Q97" s="1648"/>
    </row>
    <row r="98" spans="1:17" ht="14.4" thickBot="1">
      <c r="A98" s="1535"/>
      <c r="B98" s="1685"/>
      <c r="C98" s="1698"/>
      <c r="D98" s="1679"/>
      <c r="E98" s="1679"/>
      <c r="F98" s="1679"/>
      <c r="G98" s="1679"/>
      <c r="H98" s="1679"/>
      <c r="I98" s="1679"/>
      <c r="J98" s="1679"/>
      <c r="K98" s="1679"/>
      <c r="L98" s="1679"/>
      <c r="M98" s="1680"/>
      <c r="N98" s="2248"/>
      <c r="O98" s="2248"/>
      <c r="P98" s="1865"/>
      <c r="Q98" s="1648"/>
    </row>
    <row r="99" spans="1:17" ht="14.4" thickTop="1">
      <c r="A99" s="1535"/>
      <c r="B99" s="1688">
        <f>B32</f>
        <v>111</v>
      </c>
      <c r="C99" s="401"/>
      <c r="D99" s="401"/>
      <c r="E99" s="401"/>
      <c r="F99" s="401"/>
      <c r="G99" s="1717"/>
      <c r="H99" s="1717"/>
      <c r="I99" s="1717"/>
      <c r="J99" s="1717"/>
      <c r="K99" s="465"/>
      <c r="L99" s="465"/>
      <c r="M99" s="1718"/>
      <c r="N99" s="2709"/>
      <c r="O99" s="2709"/>
      <c r="P99" s="1865"/>
      <c r="Q99" s="1648"/>
    </row>
    <row r="100" spans="1:17" ht="14.4" thickBot="1">
      <c r="A100" s="1545"/>
      <c r="B100" s="1705"/>
      <c r="C100" s="1706"/>
      <c r="D100" s="1706"/>
      <c r="E100" s="1706"/>
      <c r="F100" s="1706"/>
      <c r="G100" s="1719"/>
      <c r="H100" s="1719"/>
      <c r="I100" s="1719"/>
      <c r="J100" s="1719"/>
      <c r="K100" s="1719"/>
      <c r="L100" s="1719"/>
      <c r="M100" s="1720"/>
      <c r="N100" s="2248"/>
      <c r="O100" s="2248"/>
      <c r="P100" s="1865"/>
      <c r="Q100" s="1648"/>
    </row>
    <row r="101" spans="1:17" ht="14.4">
      <c r="A101" s="1550" t="s">
        <v>2035</v>
      </c>
      <c r="B101" s="1672" t="s">
        <v>2084</v>
      </c>
      <c r="C101" s="1674"/>
      <c r="D101" s="1674"/>
      <c r="E101" s="1674"/>
      <c r="F101" s="1674"/>
      <c r="G101" s="1674"/>
      <c r="H101" s="1674"/>
      <c r="I101" s="1674"/>
      <c r="J101" s="1674"/>
      <c r="K101" s="408"/>
      <c r="L101" s="408"/>
      <c r="M101" s="1675"/>
      <c r="N101" s="2709"/>
      <c r="O101" s="2709"/>
      <c r="P101" s="1865"/>
      <c r="Q101" s="1648"/>
    </row>
    <row r="102" spans="1:17" ht="14.4" thickBot="1">
      <c r="A102" s="1535"/>
      <c r="B102" s="1685"/>
      <c r="C102" s="1686">
        <v>100</v>
      </c>
      <c r="D102" s="1686">
        <f t="shared" ref="D102:M102" si="22">C102-$K33</f>
        <v>100</v>
      </c>
      <c r="E102" s="1686">
        <f t="shared" si="22"/>
        <v>100</v>
      </c>
      <c r="F102" s="1686">
        <f t="shared" si="22"/>
        <v>100</v>
      </c>
      <c r="G102" s="1686">
        <f t="shared" si="22"/>
        <v>100</v>
      </c>
      <c r="H102" s="1686">
        <f t="shared" si="22"/>
        <v>100</v>
      </c>
      <c r="I102" s="1686">
        <f t="shared" si="22"/>
        <v>100</v>
      </c>
      <c r="J102" s="1686">
        <f t="shared" si="22"/>
        <v>100</v>
      </c>
      <c r="K102" s="1686">
        <f t="shared" si="22"/>
        <v>100</v>
      </c>
      <c r="L102" s="1686">
        <f t="shared" si="22"/>
        <v>100</v>
      </c>
      <c r="M102" s="1687">
        <f t="shared" si="22"/>
        <v>100</v>
      </c>
      <c r="N102" s="2248"/>
      <c r="O102" s="2248"/>
      <c r="P102" s="1865"/>
      <c r="Q102" s="1648"/>
    </row>
    <row r="103" spans="1:17" ht="15" thickTop="1">
      <c r="A103" s="1535"/>
      <c r="B103" s="1682" t="s">
        <v>2085</v>
      </c>
      <c r="C103" s="559" t="str">
        <f>C104&amp;"(含)"&amp;"-"&amp;D104</f>
        <v>(含)-</v>
      </c>
      <c r="D103" s="559" t="str">
        <f t="shared" ref="D103:L103" si="23">D104&amp;"(含)"&amp;"-"&amp;E104</f>
        <v>(含)-</v>
      </c>
      <c r="E103" s="559" t="str">
        <f t="shared" si="23"/>
        <v>(含)-</v>
      </c>
      <c r="F103" s="559" t="str">
        <f t="shared" si="23"/>
        <v>(含)-</v>
      </c>
      <c r="G103" s="559" t="str">
        <f t="shared" si="23"/>
        <v>(含)-</v>
      </c>
      <c r="H103" s="559" t="str">
        <f t="shared" si="23"/>
        <v>(含)-</v>
      </c>
      <c r="I103" s="559" t="str">
        <f t="shared" si="23"/>
        <v>(含)-</v>
      </c>
      <c r="J103" s="559" t="str">
        <f t="shared" si="23"/>
        <v>(含)-</v>
      </c>
      <c r="K103" s="559" t="str">
        <f t="shared" si="23"/>
        <v>(含)-</v>
      </c>
      <c r="L103" s="559" t="str">
        <f t="shared" si="23"/>
        <v>(含)-</v>
      </c>
      <c r="M103" s="1867" t="str">
        <f>M104&amp;"(含)"&amp;"-"&amp;P104</f>
        <v>(含)-</v>
      </c>
      <c r="N103" s="1865"/>
      <c r="O103" s="1865"/>
      <c r="P103" s="1865"/>
      <c r="Q103" s="1648"/>
    </row>
    <row r="104" spans="1:17" s="1601" customFormat="1">
      <c r="A104" s="1595"/>
      <c r="B104" s="1721"/>
      <c r="C104" s="1722"/>
      <c r="D104" s="1722"/>
      <c r="E104" s="1722"/>
      <c r="F104" s="1722"/>
      <c r="G104" s="1722"/>
      <c r="H104" s="1722"/>
      <c r="I104" s="1722"/>
      <c r="J104" s="472"/>
      <c r="K104" s="472"/>
      <c r="L104" s="472"/>
      <c r="M104" s="1723"/>
      <c r="N104" s="1866"/>
      <c r="O104" s="1866"/>
      <c r="P104" s="1866"/>
      <c r="Q104" s="1697"/>
    </row>
    <row r="105" spans="1:17" s="1601" customFormat="1" ht="14.4" thickBot="1">
      <c r="A105" s="1693"/>
      <c r="B105" s="1685"/>
      <c r="C105" s="1698"/>
      <c r="D105" s="1679"/>
      <c r="E105" s="1679"/>
      <c r="F105" s="1679"/>
      <c r="G105" s="1679"/>
      <c r="H105" s="1679"/>
      <c r="I105" s="1679"/>
      <c r="J105" s="1679"/>
      <c r="K105" s="1679"/>
      <c r="L105" s="1679"/>
      <c r="M105" s="1680"/>
      <c r="N105" s="2248"/>
      <c r="O105" s="2248"/>
      <c r="P105" s="1866"/>
      <c r="Q105" s="1697"/>
    </row>
    <row r="106" spans="1:17" ht="15" thickTop="1">
      <c r="A106" s="1602"/>
      <c r="B106" s="1682" t="s">
        <v>2086</v>
      </c>
      <c r="C106" s="456"/>
      <c r="D106" s="456"/>
      <c r="E106" s="1417"/>
      <c r="F106" s="1417"/>
      <c r="G106" s="1417"/>
      <c r="H106" s="1417"/>
      <c r="I106" s="1417"/>
      <c r="J106" s="1417"/>
      <c r="K106" s="461"/>
      <c r="L106" s="461"/>
      <c r="M106" s="1716"/>
      <c r="N106" s="2709"/>
      <c r="O106" s="2709"/>
      <c r="P106" s="1865"/>
      <c r="Q106" s="1648"/>
    </row>
    <row r="107" spans="1:17" ht="14.4" thickBot="1">
      <c r="A107" s="1535"/>
      <c r="B107" s="1685"/>
      <c r="C107" s="1686">
        <v>100</v>
      </c>
      <c r="D107" s="1686">
        <f t="shared" ref="D107:M107" si="24">C107-$K35</f>
        <v>100</v>
      </c>
      <c r="E107" s="1686">
        <f t="shared" si="24"/>
        <v>100</v>
      </c>
      <c r="F107" s="1686">
        <f t="shared" si="24"/>
        <v>100</v>
      </c>
      <c r="G107" s="1686">
        <f t="shared" si="24"/>
        <v>100</v>
      </c>
      <c r="H107" s="1686">
        <f t="shared" si="24"/>
        <v>100</v>
      </c>
      <c r="I107" s="1686">
        <f t="shared" si="24"/>
        <v>100</v>
      </c>
      <c r="J107" s="1686">
        <f t="shared" si="24"/>
        <v>100</v>
      </c>
      <c r="K107" s="1686">
        <f t="shared" si="24"/>
        <v>100</v>
      </c>
      <c r="L107" s="1686">
        <f t="shared" si="24"/>
        <v>100</v>
      </c>
      <c r="M107" s="1687">
        <f t="shared" si="24"/>
        <v>100</v>
      </c>
      <c r="N107" s="2248"/>
      <c r="O107" s="2248"/>
      <c r="P107" s="1865"/>
      <c r="Q107" s="1648"/>
    </row>
    <row r="108" spans="1:17" ht="15" thickTop="1">
      <c r="A108" s="1602"/>
      <c r="B108" s="1682" t="s">
        <v>2088</v>
      </c>
      <c r="C108" s="456"/>
      <c r="D108" s="456"/>
      <c r="E108" s="456"/>
      <c r="F108" s="1417"/>
      <c r="G108" s="1417"/>
      <c r="H108" s="1417"/>
      <c r="I108" s="1417"/>
      <c r="J108" s="1417"/>
      <c r="K108" s="461"/>
      <c r="L108" s="461"/>
      <c r="M108" s="1716"/>
      <c r="N108" s="2709"/>
      <c r="O108" s="2709"/>
      <c r="P108" s="1865"/>
      <c r="Q108" s="1648"/>
    </row>
    <row r="109" spans="1:17" ht="14.4" thickBot="1">
      <c r="A109" s="1535"/>
      <c r="B109" s="1685"/>
      <c r="C109" s="1686">
        <v>100</v>
      </c>
      <c r="D109" s="1686">
        <f t="shared" ref="D109:M109" si="25">C109-$K36</f>
        <v>100</v>
      </c>
      <c r="E109" s="1686">
        <f t="shared" si="25"/>
        <v>100</v>
      </c>
      <c r="F109" s="1686">
        <f t="shared" si="25"/>
        <v>100</v>
      </c>
      <c r="G109" s="1686">
        <f t="shared" si="25"/>
        <v>100</v>
      </c>
      <c r="H109" s="1686">
        <f t="shared" si="25"/>
        <v>100</v>
      </c>
      <c r="I109" s="1686">
        <f t="shared" si="25"/>
        <v>100</v>
      </c>
      <c r="J109" s="1686">
        <f t="shared" si="25"/>
        <v>100</v>
      </c>
      <c r="K109" s="1686">
        <f t="shared" si="25"/>
        <v>100</v>
      </c>
      <c r="L109" s="1686">
        <f t="shared" si="25"/>
        <v>100</v>
      </c>
      <c r="M109" s="1687">
        <f t="shared" si="25"/>
        <v>100</v>
      </c>
      <c r="N109" s="2248"/>
      <c r="O109" s="2248"/>
      <c r="P109" s="1865"/>
      <c r="Q109" s="1648"/>
    </row>
    <row r="110" spans="1:17" ht="15" thickTop="1">
      <c r="A110" s="1602"/>
      <c r="B110" s="1682" t="s">
        <v>2089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7"/>
      <c r="J110" s="1417"/>
      <c r="K110" s="461"/>
      <c r="L110" s="461"/>
      <c r="M110" s="1716"/>
      <c r="N110" s="2709"/>
      <c r="O110" s="2709"/>
      <c r="P110" s="1865"/>
      <c r="Q110" s="1648"/>
    </row>
    <row r="111" spans="1:17">
      <c r="A111" s="1602"/>
      <c r="B111" s="1688"/>
      <c r="C111" s="1472">
        <v>0.5</v>
      </c>
      <c r="D111" s="1472">
        <v>0.6</v>
      </c>
      <c r="E111" s="1472">
        <v>0.7</v>
      </c>
      <c r="F111" s="1472">
        <v>0.8</v>
      </c>
      <c r="G111" s="1472">
        <v>0.9</v>
      </c>
      <c r="H111" s="1472">
        <v>1</v>
      </c>
      <c r="I111" s="2227"/>
      <c r="J111" s="2227"/>
      <c r="K111" s="494"/>
      <c r="L111" s="494"/>
      <c r="M111" s="2228"/>
      <c r="N111" s="2709"/>
      <c r="O111" s="2709"/>
      <c r="P111" s="1865"/>
      <c r="Q111" s="1648"/>
    </row>
    <row r="112" spans="1:17" ht="14.4" thickBot="1">
      <c r="A112" s="1535"/>
      <c r="B112" s="1685"/>
      <c r="C112" s="1714">
        <v>100</v>
      </c>
      <c r="D112" s="1686">
        <f>C112+$K37</f>
        <v>100</v>
      </c>
      <c r="E112" s="1686">
        <f t="shared" ref="E112:M112" si="26">D112+$K37</f>
        <v>100</v>
      </c>
      <c r="F112" s="1686">
        <f t="shared" si="26"/>
        <v>100</v>
      </c>
      <c r="G112" s="1686">
        <f t="shared" si="26"/>
        <v>100</v>
      </c>
      <c r="H112" s="1686">
        <f t="shared" si="26"/>
        <v>100</v>
      </c>
      <c r="I112" s="1686">
        <f t="shared" si="26"/>
        <v>100</v>
      </c>
      <c r="J112" s="1686">
        <f t="shared" si="26"/>
        <v>100</v>
      </c>
      <c r="K112" s="1686">
        <f t="shared" si="26"/>
        <v>100</v>
      </c>
      <c r="L112" s="1686">
        <f t="shared" si="26"/>
        <v>100</v>
      </c>
      <c r="M112" s="1686">
        <f t="shared" si="26"/>
        <v>100</v>
      </c>
      <c r="N112" s="2248"/>
      <c r="O112" s="2248"/>
      <c r="P112" s="1865"/>
      <c r="Q112" s="1648"/>
    </row>
    <row r="113" spans="1:17" s="1601" customFormat="1" ht="15" thickTop="1">
      <c r="A113" s="1595"/>
      <c r="B113" s="1682" t="s">
        <v>2159</v>
      </c>
      <c r="C113" s="456"/>
      <c r="D113" s="456"/>
      <c r="E113" s="456"/>
      <c r="F113" s="456"/>
      <c r="G113" s="456"/>
      <c r="H113" s="1417"/>
      <c r="I113" s="1417"/>
      <c r="J113" s="1417"/>
      <c r="K113" s="461"/>
      <c r="L113" s="461"/>
      <c r="M113" s="1716"/>
      <c r="N113" s="1866"/>
      <c r="O113" s="1866"/>
      <c r="P113" s="1866"/>
      <c r="Q113" s="1697"/>
    </row>
    <row r="114" spans="1:17" s="1601" customFormat="1" ht="14.4" thickBot="1">
      <c r="A114" s="1693"/>
      <c r="B114" s="1685"/>
      <c r="C114" s="1686">
        <v>100</v>
      </c>
      <c r="D114" s="1686">
        <f>C114-$K38</f>
        <v>100</v>
      </c>
      <c r="E114" s="1686">
        <f t="shared" ref="E114:M114" si="27">D114-$K38</f>
        <v>100</v>
      </c>
      <c r="F114" s="1686">
        <f t="shared" si="27"/>
        <v>100</v>
      </c>
      <c r="G114" s="1686">
        <f t="shared" si="27"/>
        <v>100</v>
      </c>
      <c r="H114" s="1686">
        <f t="shared" si="27"/>
        <v>100</v>
      </c>
      <c r="I114" s="1686">
        <f t="shared" si="27"/>
        <v>100</v>
      </c>
      <c r="J114" s="1686">
        <f t="shared" si="27"/>
        <v>100</v>
      </c>
      <c r="K114" s="1686">
        <f t="shared" si="27"/>
        <v>100</v>
      </c>
      <c r="L114" s="1686">
        <f t="shared" si="27"/>
        <v>100</v>
      </c>
      <c r="M114" s="1686">
        <f t="shared" si="27"/>
        <v>100</v>
      </c>
      <c r="N114" s="1866"/>
      <c r="O114" s="1866"/>
      <c r="P114" s="1866"/>
      <c r="Q114" s="1697"/>
    </row>
    <row r="115" spans="1:17" ht="15" thickTop="1">
      <c r="A115" s="1602"/>
      <c r="B115" s="1682" t="s">
        <v>2090</v>
      </c>
      <c r="C115" s="456"/>
      <c r="D115" s="456"/>
      <c r="E115" s="1417"/>
      <c r="F115" s="1417"/>
      <c r="G115" s="1417"/>
      <c r="H115" s="1417"/>
      <c r="I115" s="1417"/>
      <c r="J115" s="1417"/>
      <c r="K115" s="461"/>
      <c r="L115" s="461"/>
      <c r="M115" s="1716"/>
      <c r="N115" s="2709"/>
      <c r="O115" s="2709"/>
      <c r="P115" s="1865"/>
      <c r="Q115" s="1648"/>
    </row>
    <row r="116" spans="1:17" ht="14.4" thickBot="1">
      <c r="A116" s="1535"/>
      <c r="B116" s="1685"/>
      <c r="C116" s="1686">
        <v>100</v>
      </c>
      <c r="D116" s="1686">
        <f t="shared" ref="D116:M116" si="28">C116-$K39</f>
        <v>100</v>
      </c>
      <c r="E116" s="1686">
        <f t="shared" si="28"/>
        <v>100</v>
      </c>
      <c r="F116" s="1686">
        <f t="shared" si="28"/>
        <v>100</v>
      </c>
      <c r="G116" s="1686">
        <f t="shared" si="28"/>
        <v>100</v>
      </c>
      <c r="H116" s="1686">
        <f t="shared" si="28"/>
        <v>100</v>
      </c>
      <c r="I116" s="1686">
        <f t="shared" si="28"/>
        <v>100</v>
      </c>
      <c r="J116" s="1686">
        <f t="shared" si="28"/>
        <v>100</v>
      </c>
      <c r="K116" s="1686">
        <f t="shared" si="28"/>
        <v>100</v>
      </c>
      <c r="L116" s="1686">
        <f t="shared" si="28"/>
        <v>100</v>
      </c>
      <c r="M116" s="1687">
        <f t="shared" si="28"/>
        <v>100</v>
      </c>
      <c r="N116" s="2248"/>
      <c r="O116" s="2248"/>
      <c r="P116" s="1865"/>
      <c r="Q116" s="1648"/>
    </row>
    <row r="117" spans="1:17" ht="15" thickTop="1">
      <c r="A117" s="1602"/>
      <c r="B117" s="1682" t="s">
        <v>2091</v>
      </c>
      <c r="C117" s="456"/>
      <c r="D117" s="456"/>
      <c r="E117" s="456"/>
      <c r="F117" s="456"/>
      <c r="G117" s="456"/>
      <c r="H117" s="1417"/>
      <c r="I117" s="1417"/>
      <c r="J117" s="1417"/>
      <c r="K117" s="461"/>
      <c r="L117" s="461"/>
      <c r="M117" s="1716"/>
      <c r="N117" s="2709"/>
      <c r="O117" s="2709"/>
      <c r="P117" s="1865"/>
      <c r="Q117" s="1648"/>
    </row>
    <row r="118" spans="1:17" ht="14.4" thickBot="1">
      <c r="A118" s="1535"/>
      <c r="B118" s="1685"/>
      <c r="C118" s="1686">
        <v>100</v>
      </c>
      <c r="D118" s="1686">
        <f>C118-$K40</f>
        <v>100</v>
      </c>
      <c r="E118" s="1686">
        <f>D118-$K40</f>
        <v>100</v>
      </c>
      <c r="F118" s="1686">
        <f>E118-$K40</f>
        <v>100</v>
      </c>
      <c r="G118" s="1686">
        <f>F118-$K40</f>
        <v>100</v>
      </c>
      <c r="H118" s="1686"/>
      <c r="I118" s="1686"/>
      <c r="J118" s="1686"/>
      <c r="K118" s="1686"/>
      <c r="L118" s="1686"/>
      <c r="M118" s="1687"/>
      <c r="N118" s="2248"/>
      <c r="O118" s="2248"/>
      <c r="P118" s="1865"/>
      <c r="Q118" s="1648"/>
    </row>
    <row r="119" spans="1:17" ht="15" thickTop="1">
      <c r="A119" s="1602"/>
      <c r="B119" s="2246" t="s">
        <v>2160</v>
      </c>
      <c r="C119" s="1417"/>
      <c r="D119" s="1417"/>
      <c r="E119" s="1417"/>
      <c r="F119" s="1417"/>
      <c r="G119" s="1417"/>
      <c r="H119" s="1417"/>
      <c r="I119" s="1417"/>
      <c r="J119" s="1417"/>
      <c r="K119" s="1417"/>
      <c r="L119" s="1417"/>
      <c r="M119" s="2247"/>
      <c r="N119" s="2248"/>
      <c r="O119" s="2248"/>
      <c r="P119" s="2248"/>
      <c r="Q119" s="2249"/>
    </row>
    <row r="120" spans="1:17" ht="14.4" thickBot="1">
      <c r="A120" s="1535"/>
      <c r="B120" s="1685"/>
      <c r="C120" s="1714">
        <v>100</v>
      </c>
      <c r="D120" s="1686">
        <f>C120-$K41</f>
        <v>100</v>
      </c>
      <c r="E120" s="1686">
        <f t="shared" ref="E120:M120" si="29">D120-$K41</f>
        <v>100</v>
      </c>
      <c r="F120" s="1686">
        <f t="shared" si="29"/>
        <v>100</v>
      </c>
      <c r="G120" s="1686">
        <f t="shared" si="29"/>
        <v>100</v>
      </c>
      <c r="H120" s="1686">
        <f t="shared" si="29"/>
        <v>100</v>
      </c>
      <c r="I120" s="1686">
        <f t="shared" si="29"/>
        <v>100</v>
      </c>
      <c r="J120" s="1686">
        <f t="shared" si="29"/>
        <v>100</v>
      </c>
      <c r="K120" s="1686">
        <f t="shared" si="29"/>
        <v>100</v>
      </c>
      <c r="L120" s="1686">
        <f t="shared" si="29"/>
        <v>100</v>
      </c>
      <c r="M120" s="1686">
        <f t="shared" si="29"/>
        <v>100</v>
      </c>
      <c r="N120" s="2248"/>
      <c r="O120" s="2248"/>
      <c r="P120" s="1865"/>
      <c r="Q120" s="1648"/>
    </row>
    <row r="121" spans="1:17" s="1601" customFormat="1" ht="15" thickTop="1">
      <c r="A121" s="1595"/>
      <c r="B121" s="1682" t="s">
        <v>2142</v>
      </c>
      <c r="C121" s="456"/>
      <c r="D121" s="456"/>
      <c r="E121" s="456"/>
      <c r="F121" s="1417"/>
      <c r="G121" s="433"/>
      <c r="H121" s="433"/>
      <c r="I121" s="433"/>
      <c r="J121" s="433"/>
      <c r="K121" s="433"/>
      <c r="L121" s="433"/>
      <c r="M121" s="1694"/>
      <c r="N121" s="1866"/>
      <c r="O121" s="1866"/>
      <c r="P121" s="1866"/>
      <c r="Q121" s="1697"/>
    </row>
    <row r="122" spans="1:17" s="1601" customFormat="1" ht="14.4" thickBot="1">
      <c r="A122" s="1693"/>
      <c r="B122" s="1678"/>
      <c r="C122" s="1698"/>
      <c r="D122" s="1698"/>
      <c r="E122" s="1698"/>
      <c r="F122" s="1698"/>
      <c r="G122" s="1698"/>
      <c r="H122" s="1698"/>
      <c r="I122" s="1698"/>
      <c r="J122" s="1698"/>
      <c r="K122" s="1698"/>
      <c r="L122" s="1698"/>
      <c r="M122" s="1698"/>
      <c r="N122" s="1866"/>
      <c r="O122" s="1866"/>
      <c r="P122" s="1866"/>
      <c r="Q122" s="1697"/>
    </row>
    <row r="123" spans="1:17" ht="15" thickTop="1">
      <c r="A123" s="1602"/>
      <c r="B123" s="1682" t="s">
        <v>2093</v>
      </c>
      <c r="C123" s="456"/>
      <c r="D123" s="456"/>
      <c r="E123" s="456"/>
      <c r="F123" s="1417"/>
      <c r="G123" s="1417"/>
      <c r="H123" s="1417"/>
      <c r="I123" s="1417"/>
      <c r="J123" s="1417"/>
      <c r="K123" s="461"/>
      <c r="L123" s="461"/>
      <c r="M123" s="1716"/>
      <c r="N123" s="2709"/>
      <c r="O123" s="2709"/>
      <c r="P123" s="1865"/>
      <c r="Q123" s="1648"/>
    </row>
    <row r="124" spans="1:17" ht="14.4" thickBot="1">
      <c r="A124" s="1535"/>
      <c r="B124" s="1685"/>
      <c r="C124" s="1686">
        <v>100</v>
      </c>
      <c r="D124" s="1686">
        <f t="shared" ref="D124:M124" si="30">C124-$K43</f>
        <v>100</v>
      </c>
      <c r="E124" s="1686">
        <f t="shared" si="30"/>
        <v>100</v>
      </c>
      <c r="F124" s="1686">
        <f t="shared" si="30"/>
        <v>100</v>
      </c>
      <c r="G124" s="1686">
        <f t="shared" si="30"/>
        <v>100</v>
      </c>
      <c r="H124" s="1686">
        <f t="shared" si="30"/>
        <v>100</v>
      </c>
      <c r="I124" s="1686">
        <f t="shared" si="30"/>
        <v>100</v>
      </c>
      <c r="J124" s="1686">
        <f t="shared" si="30"/>
        <v>100</v>
      </c>
      <c r="K124" s="1686">
        <f t="shared" si="30"/>
        <v>100</v>
      </c>
      <c r="L124" s="1686">
        <f t="shared" si="30"/>
        <v>100</v>
      </c>
      <c r="M124" s="1687">
        <f t="shared" si="30"/>
        <v>100</v>
      </c>
      <c r="N124" s="2248"/>
      <c r="O124" s="2248"/>
      <c r="P124" s="1865"/>
      <c r="Q124" s="1648"/>
    </row>
    <row r="125" spans="1:17" ht="29.4" thickTop="1">
      <c r="A125" s="1602"/>
      <c r="B125" s="1682" t="s">
        <v>2094</v>
      </c>
      <c r="C125" s="559" t="s">
        <v>2069</v>
      </c>
      <c r="D125" s="559" t="s">
        <v>2070</v>
      </c>
      <c r="E125" s="559" t="s">
        <v>2071</v>
      </c>
      <c r="F125" s="559" t="s">
        <v>2072</v>
      </c>
      <c r="G125" s="559" t="s">
        <v>2073</v>
      </c>
      <c r="H125" s="1683"/>
      <c r="I125" s="1683"/>
      <c r="J125" s="1683"/>
      <c r="K125" s="418"/>
      <c r="L125" s="418"/>
      <c r="M125" s="1684"/>
      <c r="N125" s="2709"/>
      <c r="O125" s="2709"/>
      <c r="P125" s="1866"/>
      <c r="Q125" s="1648"/>
    </row>
    <row r="126" spans="1:17" ht="14.4" thickBot="1">
      <c r="A126" s="1535"/>
      <c r="B126" s="1685"/>
      <c r="C126" s="1686">
        <v>100</v>
      </c>
      <c r="D126" s="1686">
        <f>C126-$K44</f>
        <v>100</v>
      </c>
      <c r="E126" s="1686">
        <f>D126-$K44</f>
        <v>100</v>
      </c>
      <c r="F126" s="1686">
        <f>E126-$K44</f>
        <v>100</v>
      </c>
      <c r="G126" s="1686">
        <f>F126-$K44</f>
        <v>100</v>
      </c>
      <c r="H126" s="1686"/>
      <c r="I126" s="1686"/>
      <c r="J126" s="1686"/>
      <c r="K126" s="1686"/>
      <c r="L126" s="1686"/>
      <c r="M126" s="1687"/>
      <c r="N126" s="2248"/>
      <c r="O126" s="2248"/>
      <c r="P126" s="1865"/>
      <c r="Q126" s="1648"/>
    </row>
    <row r="127" spans="1:17" s="1601" customFormat="1" ht="14.4" thickTop="1">
      <c r="A127" s="1595"/>
      <c r="B127" s="1682">
        <f>B45</f>
        <v>111</v>
      </c>
      <c r="C127" s="456"/>
      <c r="D127" s="456"/>
      <c r="E127" s="456"/>
      <c r="F127" s="456"/>
      <c r="G127" s="456"/>
      <c r="H127" s="433"/>
      <c r="I127" s="433"/>
      <c r="J127" s="433"/>
      <c r="K127" s="433"/>
      <c r="L127" s="433"/>
      <c r="M127" s="1694"/>
      <c r="N127" s="1866"/>
      <c r="O127" s="1866"/>
      <c r="P127" s="1866"/>
      <c r="Q127" s="1697"/>
    </row>
    <row r="128" spans="1:17" s="1601" customFormat="1" ht="14.4" thickBot="1">
      <c r="A128" s="1693"/>
      <c r="B128" s="1685"/>
      <c r="C128" s="1698"/>
      <c r="D128" s="1679"/>
      <c r="E128" s="1679"/>
      <c r="F128" s="1679"/>
      <c r="G128" s="1698"/>
      <c r="H128" s="1701"/>
      <c r="I128" s="1701"/>
      <c r="J128" s="1701"/>
      <c r="K128" s="1701"/>
      <c r="L128" s="1701"/>
      <c r="M128" s="1702"/>
      <c r="N128" s="1866"/>
      <c r="O128" s="1866"/>
      <c r="P128" s="1866"/>
      <c r="Q128" s="1697"/>
    </row>
    <row r="129" spans="1:17" ht="14.4" thickTop="1">
      <c r="A129" s="1602"/>
      <c r="B129" s="1682">
        <f>B46</f>
        <v>111</v>
      </c>
      <c r="C129" s="456"/>
      <c r="D129" s="456"/>
      <c r="E129" s="456"/>
      <c r="F129" s="456"/>
      <c r="G129" s="1417"/>
      <c r="H129" s="1417"/>
      <c r="I129" s="1417"/>
      <c r="J129" s="1417"/>
      <c r="K129" s="461"/>
      <c r="L129" s="461"/>
      <c r="M129" s="1716"/>
      <c r="N129" s="2709"/>
      <c r="O129" s="2709"/>
      <c r="P129" s="1865"/>
      <c r="Q129" s="1648"/>
    </row>
    <row r="130" spans="1:17" ht="14.4" thickBot="1">
      <c r="A130" s="1535"/>
      <c r="B130" s="1685"/>
      <c r="C130" s="1698"/>
      <c r="D130" s="1698"/>
      <c r="E130" s="1698"/>
      <c r="F130" s="1698"/>
      <c r="G130" s="1679"/>
      <c r="H130" s="1679"/>
      <c r="I130" s="1679"/>
      <c r="J130" s="1679"/>
      <c r="K130" s="1679"/>
      <c r="L130" s="1679"/>
      <c r="M130" s="1680"/>
      <c r="N130" s="2248"/>
      <c r="O130" s="2248"/>
      <c r="P130" s="1865"/>
      <c r="Q130" s="1648"/>
    </row>
    <row r="131" spans="1:17" ht="14.4" thickTop="1">
      <c r="A131" s="1602"/>
      <c r="B131" s="1688">
        <f>B47</f>
        <v>111</v>
      </c>
      <c r="C131" s="401"/>
      <c r="D131" s="401"/>
      <c r="E131" s="401"/>
      <c r="F131" s="401"/>
      <c r="G131" s="1717"/>
      <c r="H131" s="1717"/>
      <c r="I131" s="1717"/>
      <c r="J131" s="1717"/>
      <c r="K131" s="401"/>
      <c r="L131" s="401"/>
      <c r="M131" s="1718"/>
      <c r="N131" s="2709"/>
      <c r="O131" s="2709"/>
      <c r="P131" s="1865"/>
      <c r="Q131" s="1648"/>
    </row>
    <row r="132" spans="1:17" ht="14.4" thickBot="1">
      <c r="A132" s="2250"/>
      <c r="B132" s="1705"/>
      <c r="C132" s="1706"/>
      <c r="D132" s="1706"/>
      <c r="E132" s="1706"/>
      <c r="F132" s="1706"/>
      <c r="G132" s="1719"/>
      <c r="H132" s="1719"/>
      <c r="I132" s="1719"/>
      <c r="J132" s="1719"/>
      <c r="K132" s="1719"/>
      <c r="L132" s="1719"/>
      <c r="M132" s="1720"/>
      <c r="N132" s="2248"/>
      <c r="O132" s="2248"/>
      <c r="P132" s="1865"/>
      <c r="Q132" s="16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2002</v>
      </c>
      <c r="B1" s="1099" t="s">
        <v>2161</v>
      </c>
      <c r="C1" s="1091"/>
      <c r="D1" s="1104"/>
      <c r="E1" s="1402"/>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IF(D2="——",IF(C2="元",ROUND(C43*D3,0),ROUND(C43*D3/10000,0)),IF(C2="元",ROUND(C43*D3,0),ROUND(C43*D3/10000,0))-E2)</f>
        <v>#DIV/0!</v>
      </c>
      <c r="C2" s="75" t="str">
        <f>'数据-取费表'!B3</f>
        <v>元</v>
      </c>
      <c r="D2" s="1403"/>
      <c r="E2" s="1418" t="e">
        <f ca="1">SUMIF(INDIRECT("'"&amp;G2&amp;"'"&amp;"!A:A"),"承租人权益价值",INDIRECT("'"&amp;G2&amp;"'"&amp;"!c:c"))</f>
        <v>#REF!</v>
      </c>
      <c r="F2" s="1404" t="str">
        <f>C2</f>
        <v>元</v>
      </c>
      <c r="G2" s="1405"/>
      <c r="H2" s="2711"/>
      <c r="I2" s="2711"/>
      <c r="J2" s="2711"/>
      <c r="K2" s="2711"/>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 ca="1">ROUND(IF(D2="——",C43,IF(C2="万元",B2*10000/D3,B2/D3)),0)</f>
        <v>#DIV/0!</v>
      </c>
      <c r="C3" s="289" t="s">
        <v>2005</v>
      </c>
      <c r="D3" s="288">
        <f>IF(C1="仅计算典型户型",'数据-取费表'!E5,'数据-取费表'!B5)</f>
        <v>165.59</v>
      </c>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89" t="s">
        <v>2007</v>
      </c>
      <c r="D4" s="3390"/>
      <c r="E4" s="3391" t="s">
        <v>2008</v>
      </c>
      <c r="F4" s="3392"/>
      <c r="G4" s="3389" t="s">
        <v>2009</v>
      </c>
      <c r="H4" s="3390"/>
      <c r="I4" s="3389" t="s">
        <v>2010</v>
      </c>
      <c r="J4" s="3390"/>
      <c r="K4" s="482" t="s">
        <v>2011</v>
      </c>
      <c r="L4" s="2716"/>
      <c r="P4" s="3393" t="s">
        <v>2012</v>
      </c>
      <c r="Q4" s="3394"/>
      <c r="R4" s="3376" t="s">
        <v>2008</v>
      </c>
      <c r="S4" s="3377"/>
      <c r="T4" s="3376" t="s">
        <v>2009</v>
      </c>
      <c r="U4" s="3377"/>
      <c r="V4" s="3367" t="s">
        <v>2010</v>
      </c>
      <c r="W4" s="3367"/>
      <c r="X4" s="1202"/>
      <c r="Y4" s="3376" t="s">
        <v>2012</v>
      </c>
      <c r="Z4" s="3377"/>
      <c r="AA4" s="3386" t="s">
        <v>2008</v>
      </c>
      <c r="AB4" s="3387" t="s">
        <v>2009</v>
      </c>
      <c r="AC4" s="3386" t="s">
        <v>2010</v>
      </c>
    </row>
    <row r="5" spans="1:29">
      <c r="A5" s="293"/>
      <c r="B5" s="294"/>
      <c r="C5" s="3401" t="s">
        <v>2013</v>
      </c>
      <c r="D5" s="3402"/>
      <c r="E5" s="3399" t="s">
        <v>2014</v>
      </c>
      <c r="F5" s="3400"/>
      <c r="G5" s="3401" t="s">
        <v>2015</v>
      </c>
      <c r="H5" s="3402"/>
      <c r="I5" s="3401" t="s">
        <v>2016</v>
      </c>
      <c r="J5" s="3402"/>
      <c r="K5" s="482"/>
      <c r="L5" s="2716"/>
      <c r="P5" s="3395"/>
      <c r="Q5" s="3396"/>
      <c r="R5" s="3378"/>
      <c r="S5" s="3379"/>
      <c r="T5" s="3378"/>
      <c r="U5" s="3379"/>
      <c r="V5" s="3367"/>
      <c r="W5" s="3367"/>
      <c r="X5" s="1202"/>
      <c r="Y5" s="3378"/>
      <c r="Z5" s="3379"/>
      <c r="AA5" s="3387"/>
      <c r="AB5" s="3387"/>
      <c r="AC5" s="3387"/>
    </row>
    <row r="6" spans="1:29" ht="15" thickBot="1">
      <c r="A6" s="295"/>
      <c r="B6" s="296"/>
      <c r="C6" s="3403" t="s">
        <v>2017</v>
      </c>
      <c r="D6" s="3404"/>
      <c r="E6" s="3405" t="s">
        <v>2017</v>
      </c>
      <c r="F6" s="3406"/>
      <c r="G6" s="3403" t="s">
        <v>2017</v>
      </c>
      <c r="H6" s="3404"/>
      <c r="I6" s="3403" t="s">
        <v>2017</v>
      </c>
      <c r="J6" s="3404"/>
      <c r="K6" s="482" t="s">
        <v>2018</v>
      </c>
      <c r="L6" s="2716"/>
      <c r="P6" s="3397"/>
      <c r="Q6" s="3398"/>
      <c r="R6" s="3378"/>
      <c r="S6" s="3379"/>
      <c r="T6" s="3380"/>
      <c r="U6" s="3381"/>
      <c r="V6" s="3367"/>
      <c r="W6" s="3367"/>
      <c r="X6" s="1202"/>
      <c r="Y6" s="3380"/>
      <c r="Z6" s="3381"/>
      <c r="AA6" s="3388"/>
      <c r="AB6" s="3388"/>
      <c r="AC6" s="3388"/>
    </row>
    <row r="7" spans="1:29" s="24" customFormat="1" ht="15" thickBot="1">
      <c r="A7" s="297" t="s">
        <v>2019</v>
      </c>
      <c r="B7" s="298"/>
      <c r="C7" s="299">
        <f>'数据-取费表'!B2</f>
        <v>44901</v>
      </c>
      <c r="D7" s="300">
        <v>100</v>
      </c>
      <c r="E7" s="301"/>
      <c r="F7" s="302">
        <f>SUMIF(52:52,YEAR(E7)&amp;"-"&amp;MONTH(E7),53:53)</f>
        <v>0</v>
      </c>
      <c r="G7" s="301"/>
      <c r="H7" s="300">
        <f>SUMIF(52:52,YEAR(G7)&amp;"-"&amp;MONTH(G7),53:53)</f>
        <v>0</v>
      </c>
      <c r="I7" s="301"/>
      <c r="J7" s="300">
        <f>SUMIF(52:52,YEAR(I7)&amp;"-"&amp;MONTH(I7),53:53)</f>
        <v>0</v>
      </c>
      <c r="K7" s="483"/>
      <c r="L7" s="2717"/>
      <c r="P7" s="3374" t="s">
        <v>2020</v>
      </c>
      <c r="Q7" s="3382"/>
      <c r="R7" s="601" t="s">
        <v>25</v>
      </c>
      <c r="S7" s="602">
        <f t="shared" ref="S7:S15" si="0">F7</f>
        <v>0</v>
      </c>
      <c r="T7" s="601" t="s">
        <v>25</v>
      </c>
      <c r="U7" s="602">
        <f t="shared" ref="U7:U15" si="1">H7</f>
        <v>0</v>
      </c>
      <c r="V7" s="601" t="s">
        <v>25</v>
      </c>
      <c r="W7" s="602">
        <f t="shared" ref="W7:W15" si="2">J7</f>
        <v>0</v>
      </c>
      <c r="X7" s="603"/>
      <c r="Y7" s="3374" t="s">
        <v>2020</v>
      </c>
      <c r="Z7" s="3375"/>
      <c r="AA7" s="18" t="e">
        <f>D7/F7</f>
        <v>#DIV/0!</v>
      </c>
      <c r="AB7" s="18" t="e">
        <f>D7/H7</f>
        <v>#DIV/0!</v>
      </c>
      <c r="AC7" s="18" t="e">
        <f>D7/J7</f>
        <v>#DIV/0!</v>
      </c>
    </row>
    <row r="8" spans="1:29" s="24" customFormat="1" ht="15" thickBot="1">
      <c r="A8" s="297" t="s">
        <v>2021</v>
      </c>
      <c r="B8" s="298"/>
      <c r="C8" s="303" t="s">
        <v>2639</v>
      </c>
      <c r="D8" s="300">
        <v>100</v>
      </c>
      <c r="E8" s="303"/>
      <c r="F8" s="302">
        <f>SUMIF(55:55,E8,56:56)-SUMIF(55:55,C8,56:56)+100</f>
        <v>0</v>
      </c>
      <c r="G8" s="303"/>
      <c r="H8" s="300">
        <f>SUMIF(55:55,G8,56:56)-SUMIF(55:55,C8,56:56)+100</f>
        <v>0</v>
      </c>
      <c r="I8" s="303"/>
      <c r="J8" s="300">
        <f>SUMIF(55:55,I8,56:56)-SUMIF(55:55,C8,56:56)+100</f>
        <v>0</v>
      </c>
      <c r="K8" s="483"/>
      <c r="L8" s="2717"/>
      <c r="P8" s="3374" t="s">
        <v>2023</v>
      </c>
      <c r="Q8" s="3375"/>
      <c r="R8" s="601" t="s">
        <v>25</v>
      </c>
      <c r="S8" s="602">
        <f t="shared" si="0"/>
        <v>0</v>
      </c>
      <c r="T8" s="601" t="s">
        <v>25</v>
      </c>
      <c r="U8" s="602">
        <f t="shared" si="1"/>
        <v>0</v>
      </c>
      <c r="V8" s="601" t="s">
        <v>25</v>
      </c>
      <c r="W8" s="602">
        <f t="shared" si="2"/>
        <v>0</v>
      </c>
      <c r="X8" s="603"/>
      <c r="Y8" s="3374" t="s">
        <v>2023</v>
      </c>
      <c r="Z8" s="3375"/>
      <c r="AA8" s="18" t="e">
        <f t="shared" ref="AA8:AA40" si="3">D8/F8</f>
        <v>#DIV/0!</v>
      </c>
      <c r="AB8" s="18" t="e">
        <f t="shared" ref="AB8:AB40" si="4">D8/H8</f>
        <v>#DIV/0!</v>
      </c>
      <c r="AC8" s="18" t="e">
        <f t="shared" ref="AC8:AC40" si="5">D8/J8</f>
        <v>#DIV/0!</v>
      </c>
    </row>
    <row r="9" spans="1:29" s="24" customFormat="1" ht="14.4">
      <c r="A9" s="304" t="s">
        <v>2024</v>
      </c>
      <c r="B9" s="23" t="s">
        <v>2025</v>
      </c>
      <c r="C9" s="305"/>
      <c r="D9" s="22">
        <v>100</v>
      </c>
      <c r="E9" s="307"/>
      <c r="F9" s="22">
        <f>SUMIF(57:57,E9,58:58)-SUMIF(57:57,C9,58:58)+100</f>
        <v>100</v>
      </c>
      <c r="G9" s="306"/>
      <c r="H9" s="22">
        <f>SUMIF(57:57,G9,58:58)-SUMIF(57:57,C9,58:58)+100</f>
        <v>100</v>
      </c>
      <c r="I9" s="306"/>
      <c r="J9" s="22">
        <f>SUMIF(57:57,I9,58:58)-SUMIF(57:57,C9,58:58)+100</f>
        <v>100</v>
      </c>
      <c r="K9" s="483"/>
      <c r="L9" s="2717"/>
      <c r="O9" s="2718"/>
      <c r="P9" s="3366" t="s">
        <v>2026</v>
      </c>
      <c r="Q9" s="477" t="str">
        <f t="shared" ref="Q9:Q15" si="6">B9</f>
        <v>用途</v>
      </c>
      <c r="R9" s="601" t="s">
        <v>25</v>
      </c>
      <c r="S9" s="602">
        <f t="shared" si="0"/>
        <v>100</v>
      </c>
      <c r="T9" s="601" t="s">
        <v>25</v>
      </c>
      <c r="U9" s="602">
        <f t="shared" si="1"/>
        <v>100</v>
      </c>
      <c r="V9" s="601" t="s">
        <v>25</v>
      </c>
      <c r="W9" s="602">
        <f t="shared" si="2"/>
        <v>100</v>
      </c>
      <c r="X9" s="603"/>
      <c r="Y9" s="3385" t="s">
        <v>2027</v>
      </c>
      <c r="Z9" s="18" t="str">
        <f t="shared" ref="Z9:Z15" si="7">Q9</f>
        <v>用途</v>
      </c>
      <c r="AA9" s="18">
        <f t="shared" si="3"/>
        <v>1</v>
      </c>
      <c r="AB9" s="18">
        <f t="shared" si="4"/>
        <v>1</v>
      </c>
      <c r="AC9" s="18">
        <f t="shared" si="5"/>
        <v>1</v>
      </c>
    </row>
    <row r="10" spans="1:29" s="312" customFormat="1" ht="28.8">
      <c r="A10" s="308"/>
      <c r="B10" s="309" t="s">
        <v>2028</v>
      </c>
      <c r="C10" s="310"/>
      <c r="D10" s="25">
        <v>100</v>
      </c>
      <c r="E10" s="310"/>
      <c r="F10" s="25">
        <f>SUMIF(59:59,E10,60:60)-SUMIF(59:59,C10,60:60)+100</f>
        <v>100</v>
      </c>
      <c r="G10" s="311"/>
      <c r="H10" s="25">
        <f>SUMIF(59:59,G10,60:60)-SUMIF(59:59,C10,60:60)+100</f>
        <v>100</v>
      </c>
      <c r="I10" s="310"/>
      <c r="J10" s="25">
        <f>SUMIF(59:59,I10,60:60)-SUMIF(59:59,C10,60:60)+100</f>
        <v>100</v>
      </c>
      <c r="K10" s="484"/>
      <c r="L10" s="2719"/>
      <c r="O10" s="2720"/>
      <c r="P10" s="3366"/>
      <c r="Q10" s="477" t="str">
        <f t="shared" si="6"/>
        <v>土地使用年限（年）</v>
      </c>
      <c r="R10" s="601" t="s">
        <v>25</v>
      </c>
      <c r="S10" s="602">
        <f t="shared" si="0"/>
        <v>100</v>
      </c>
      <c r="T10" s="601" t="s">
        <v>25</v>
      </c>
      <c r="U10" s="602">
        <f t="shared" si="1"/>
        <v>100</v>
      </c>
      <c r="V10" s="601" t="s">
        <v>25</v>
      </c>
      <c r="W10" s="602">
        <f t="shared" si="2"/>
        <v>100</v>
      </c>
      <c r="X10" s="603"/>
      <c r="Y10" s="3385"/>
      <c r="Z10" s="18" t="str">
        <f t="shared" si="7"/>
        <v>土地使用年限（年）</v>
      </c>
      <c r="AA10" s="18">
        <f t="shared" si="3"/>
        <v>1</v>
      </c>
      <c r="AB10" s="18">
        <f t="shared" si="4"/>
        <v>1</v>
      </c>
      <c r="AC10" s="18">
        <f t="shared" si="5"/>
        <v>1</v>
      </c>
    </row>
    <row r="11" spans="1:29" ht="15">
      <c r="A11" s="313"/>
      <c r="B11" s="309" t="s">
        <v>2029</v>
      </c>
      <c r="C11" s="314"/>
      <c r="D11" s="25">
        <v>100</v>
      </c>
      <c r="E11" s="314"/>
      <c r="F11" s="25" t="e">
        <f>LOOKUP(E11,62:62,63:63)-LOOKUP(C11,62:62,63:63)+100</f>
        <v>#N/A</v>
      </c>
      <c r="G11" s="315"/>
      <c r="H11" s="25" t="e">
        <f>LOOKUP(G11,62:62,63:63)-LOOKUP(C11,62:62,63:63)+100</f>
        <v>#N/A</v>
      </c>
      <c r="I11" s="314"/>
      <c r="J11" s="25" t="e">
        <f>LOOKUP(I11,62:62,63:63)-LOOKUP(C11,62:62,63:63)+100</f>
        <v>#N/A</v>
      </c>
      <c r="K11" s="484"/>
      <c r="L11" s="2721"/>
      <c r="O11" s="2722"/>
      <c r="P11" s="3366"/>
      <c r="Q11" s="477" t="str">
        <f t="shared" si="6"/>
        <v>容积率</v>
      </c>
      <c r="R11" s="601" t="s">
        <v>25</v>
      </c>
      <c r="S11" s="602" t="e">
        <f t="shared" si="0"/>
        <v>#N/A</v>
      </c>
      <c r="T11" s="601" t="s">
        <v>25</v>
      </c>
      <c r="U11" s="602" t="e">
        <f t="shared" si="1"/>
        <v>#N/A</v>
      </c>
      <c r="V11" s="601" t="s">
        <v>25</v>
      </c>
      <c r="W11" s="602" t="e">
        <f t="shared" si="2"/>
        <v>#N/A</v>
      </c>
      <c r="X11" s="603"/>
      <c r="Y11" s="3385"/>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9"/>
      <c r="H12" s="25">
        <f>SUMIF(64:64,G12,65:65)-SUMIF(64:64,C12,65:65)+100</f>
        <v>100</v>
      </c>
      <c r="I12" s="351"/>
      <c r="J12" s="25">
        <f>SUMIF(64:64,I12,65:65)-SUMIF(64:64,C12,65:65)+100</f>
        <v>100</v>
      </c>
      <c r="K12" s="485"/>
      <c r="L12" s="2717"/>
      <c r="O12" s="2718"/>
      <c r="P12" s="3366"/>
      <c r="Q12" s="477">
        <f t="shared" si="6"/>
        <v>111</v>
      </c>
      <c r="R12" s="601" t="s">
        <v>25</v>
      </c>
      <c r="S12" s="602">
        <f t="shared" si="0"/>
        <v>100</v>
      </c>
      <c r="T12" s="601" t="s">
        <v>25</v>
      </c>
      <c r="U12" s="602">
        <f t="shared" si="1"/>
        <v>100</v>
      </c>
      <c r="V12" s="601" t="s">
        <v>25</v>
      </c>
      <c r="W12" s="602">
        <f t="shared" si="2"/>
        <v>100</v>
      </c>
      <c r="X12" s="603"/>
      <c r="Y12" s="3385"/>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9"/>
      <c r="H13" s="320">
        <f>SUMIF(66:66,G13,67:67)-SUMIF(66:66,C13,67:67)+100</f>
        <v>100</v>
      </c>
      <c r="I13" s="351"/>
      <c r="J13" s="320">
        <f>SUMIF(66:66,I13,67:67)-SUMIF(66:66,C13,67:67)+100</f>
        <v>100</v>
      </c>
      <c r="K13" s="485"/>
      <c r="L13" s="2723"/>
      <c r="O13" s="2722"/>
      <c r="P13" s="3366"/>
      <c r="Q13" s="477">
        <f t="shared" si="6"/>
        <v>111</v>
      </c>
      <c r="R13" s="601" t="s">
        <v>25</v>
      </c>
      <c r="S13" s="602">
        <f t="shared" si="0"/>
        <v>100</v>
      </c>
      <c r="T13" s="601" t="s">
        <v>25</v>
      </c>
      <c r="U13" s="602">
        <f t="shared" si="1"/>
        <v>100</v>
      </c>
      <c r="V13" s="601" t="s">
        <v>25</v>
      </c>
      <c r="W13" s="602">
        <f t="shared" si="2"/>
        <v>100</v>
      </c>
      <c r="X13" s="603"/>
      <c r="Y13" s="3385"/>
      <c r="Z13" s="18">
        <f t="shared" si="7"/>
        <v>111</v>
      </c>
      <c r="AA13" s="18">
        <f t="shared" si="3"/>
        <v>1</v>
      </c>
      <c r="AB13" s="18">
        <f t="shared" si="4"/>
        <v>1</v>
      </c>
      <c r="AC13" s="18">
        <f t="shared" si="5"/>
        <v>1</v>
      </c>
    </row>
    <row r="14" spans="1:29" ht="15.6" thickBot="1">
      <c r="A14" s="321"/>
      <c r="B14" s="1406">
        <v>111</v>
      </c>
      <c r="C14" s="1407"/>
      <c r="D14" s="322">
        <v>100</v>
      </c>
      <c r="E14" s="1407"/>
      <c r="F14" s="322">
        <f>SUMIF(68:68,E14,69:69)-SUMIF(68:68,C14,69:69)+100</f>
        <v>100</v>
      </c>
      <c r="G14" s="1419"/>
      <c r="H14" s="322">
        <f>SUMIF(68:68,G14,69:69)-SUMIF(68:68,C14,69:69)+100</f>
        <v>100</v>
      </c>
      <c r="I14" s="351"/>
      <c r="J14" s="322">
        <f>SUMIF(68:68,I14,69:69)-SUMIF(68:68,C14,69:69)+100</f>
        <v>100</v>
      </c>
      <c r="K14" s="485"/>
      <c r="L14" s="2723"/>
      <c r="O14" s="2722"/>
      <c r="P14" s="3366"/>
      <c r="Q14" s="477">
        <f t="shared" si="6"/>
        <v>111</v>
      </c>
      <c r="R14" s="601" t="s">
        <v>25</v>
      </c>
      <c r="S14" s="602">
        <f t="shared" si="0"/>
        <v>100</v>
      </c>
      <c r="T14" s="601" t="s">
        <v>25</v>
      </c>
      <c r="U14" s="602">
        <f t="shared" si="1"/>
        <v>100</v>
      </c>
      <c r="V14" s="601" t="s">
        <v>25</v>
      </c>
      <c r="W14" s="602">
        <f t="shared" si="2"/>
        <v>100</v>
      </c>
      <c r="X14" s="603"/>
      <c r="Y14" s="3385"/>
      <c r="Z14" s="18">
        <f t="shared" si="7"/>
        <v>111</v>
      </c>
      <c r="AA14" s="18">
        <f t="shared" si="3"/>
        <v>1</v>
      </c>
      <c r="AB14" s="18">
        <f t="shared" si="4"/>
        <v>1</v>
      </c>
      <c r="AC14" s="18">
        <f t="shared" si="5"/>
        <v>1</v>
      </c>
    </row>
    <row r="15" spans="1:29" ht="69">
      <c r="A15" s="324" t="s">
        <v>2030</v>
      </c>
      <c r="B15" s="21" t="s">
        <v>2162</v>
      </c>
      <c r="C15" s="1420"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3"/>
      <c r="O15" s="2722"/>
      <c r="P15" s="3383" t="s">
        <v>2031</v>
      </c>
      <c r="Q15" s="636" t="str">
        <f t="shared" si="6"/>
        <v>产业集聚程度</v>
      </c>
      <c r="R15" s="604" t="s">
        <v>25</v>
      </c>
      <c r="S15" s="605">
        <f t="shared" si="0"/>
        <v>100</v>
      </c>
      <c r="T15" s="604" t="s">
        <v>25</v>
      </c>
      <c r="U15" s="605">
        <f t="shared" si="1"/>
        <v>100</v>
      </c>
      <c r="V15" s="604" t="s">
        <v>25</v>
      </c>
      <c r="W15" s="605">
        <f t="shared" si="2"/>
        <v>100</v>
      </c>
      <c r="X15" s="1202"/>
      <c r="Y15" s="3383" t="s">
        <v>2031</v>
      </c>
      <c r="Z15" s="1203" t="str">
        <f t="shared" si="7"/>
        <v>产业集聚程度</v>
      </c>
      <c r="AA15" s="1203">
        <f t="shared" si="3"/>
        <v>1</v>
      </c>
      <c r="AB15" s="1203">
        <f t="shared" si="4"/>
        <v>1</v>
      </c>
      <c r="AC15" s="1203">
        <f t="shared" si="5"/>
        <v>1</v>
      </c>
    </row>
    <row r="16" spans="1:29" ht="15">
      <c r="A16" s="313"/>
      <c r="B16" s="329"/>
      <c r="C16" s="330"/>
      <c r="D16" s="331"/>
      <c r="E16" s="330"/>
      <c r="F16" s="333"/>
      <c r="G16" s="330"/>
      <c r="H16" s="334"/>
      <c r="I16" s="330"/>
      <c r="J16" s="331"/>
      <c r="K16" s="487"/>
      <c r="L16" s="2723"/>
      <c r="O16" s="2722"/>
      <c r="P16" s="3384"/>
      <c r="Q16" s="636"/>
      <c r="R16" s="604"/>
      <c r="S16" s="605"/>
      <c r="T16" s="604"/>
      <c r="U16" s="605"/>
      <c r="V16" s="604"/>
      <c r="W16" s="605"/>
      <c r="X16" s="1202"/>
      <c r="Y16" s="3384"/>
      <c r="Z16" s="1203"/>
      <c r="AA16" s="1203">
        <v>1</v>
      </c>
      <c r="AB16" s="1203">
        <v>1</v>
      </c>
      <c r="AC16" s="1203">
        <v>1</v>
      </c>
    </row>
    <row r="17" spans="1:29" ht="96.6">
      <c r="A17" s="313"/>
      <c r="B17" s="335" t="s">
        <v>1466</v>
      </c>
      <c r="C17" s="1409"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3"/>
      <c r="O17" s="2722"/>
      <c r="P17" s="3384"/>
      <c r="Q17" s="636" t="str">
        <f>B17</f>
        <v>交通便捷度</v>
      </c>
      <c r="R17" s="604" t="s">
        <v>25</v>
      </c>
      <c r="S17" s="605">
        <f>F17</f>
        <v>100</v>
      </c>
      <c r="T17" s="604" t="s">
        <v>25</v>
      </c>
      <c r="U17" s="605">
        <f>H17</f>
        <v>100</v>
      </c>
      <c r="V17" s="604" t="s">
        <v>25</v>
      </c>
      <c r="W17" s="605">
        <f>J17</f>
        <v>100</v>
      </c>
      <c r="X17" s="1202"/>
      <c r="Y17" s="3384"/>
      <c r="Z17" s="1203" t="str">
        <f>Q17</f>
        <v>交通便捷度</v>
      </c>
      <c r="AA17" s="1203">
        <f t="shared" si="3"/>
        <v>1</v>
      </c>
      <c r="AB17" s="1203">
        <f t="shared" si="4"/>
        <v>1</v>
      </c>
      <c r="AC17" s="1203">
        <f t="shared" si="5"/>
        <v>1</v>
      </c>
    </row>
    <row r="18" spans="1:29" ht="15">
      <c r="A18" s="313"/>
      <c r="B18" s="340"/>
      <c r="C18" s="341"/>
      <c r="D18" s="334"/>
      <c r="E18" s="1011"/>
      <c r="F18" s="337"/>
      <c r="G18" s="1410"/>
      <c r="H18" s="331"/>
      <c r="I18" s="1011"/>
      <c r="J18" s="331"/>
      <c r="K18" s="487"/>
      <c r="L18" s="2723"/>
      <c r="O18" s="2722"/>
      <c r="P18" s="3384"/>
      <c r="Q18" s="636"/>
      <c r="R18" s="604"/>
      <c r="S18" s="605"/>
      <c r="T18" s="604"/>
      <c r="U18" s="605"/>
      <c r="V18" s="604"/>
      <c r="W18" s="605"/>
      <c r="X18" s="1202"/>
      <c r="Y18" s="3384"/>
      <c r="Z18" s="1203"/>
      <c r="AA18" s="1203">
        <v>1</v>
      </c>
      <c r="AB18" s="1203">
        <v>1</v>
      </c>
      <c r="AC18" s="1203">
        <v>1</v>
      </c>
    </row>
    <row r="19" spans="1:29" ht="41.4">
      <c r="A19" s="313"/>
      <c r="B19" s="499" t="s">
        <v>2146</v>
      </c>
      <c r="C19" s="1409"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3"/>
      <c r="O19" s="2722"/>
      <c r="P19" s="3384"/>
      <c r="Q19" s="636" t="str">
        <f>B19</f>
        <v>公共配套设施</v>
      </c>
      <c r="R19" s="604" t="s">
        <v>25</v>
      </c>
      <c r="S19" s="605">
        <f>F19</f>
        <v>100</v>
      </c>
      <c r="T19" s="604" t="s">
        <v>25</v>
      </c>
      <c r="U19" s="605">
        <f>H19</f>
        <v>100</v>
      </c>
      <c r="V19" s="604" t="s">
        <v>25</v>
      </c>
      <c r="W19" s="605">
        <f>J19</f>
        <v>100</v>
      </c>
      <c r="X19" s="1202"/>
      <c r="Y19" s="3384"/>
      <c r="Z19" s="1203" t="str">
        <f>Q19</f>
        <v>公共配套设施</v>
      </c>
      <c r="AA19" s="1203">
        <f t="shared" si="3"/>
        <v>1</v>
      </c>
      <c r="AB19" s="1203">
        <f t="shared" si="4"/>
        <v>1</v>
      </c>
      <c r="AC19" s="1203">
        <f t="shared" si="5"/>
        <v>1</v>
      </c>
    </row>
    <row r="20" spans="1:29" ht="15">
      <c r="A20" s="313"/>
      <c r="B20" s="347"/>
      <c r="C20" s="330"/>
      <c r="D20" s="331"/>
      <c r="E20" s="332"/>
      <c r="F20" s="333"/>
      <c r="G20" s="1408"/>
      <c r="H20" s="331"/>
      <c r="I20" s="332"/>
      <c r="J20" s="331"/>
      <c r="K20" s="487"/>
      <c r="L20" s="2723"/>
      <c r="O20" s="2722"/>
      <c r="P20" s="3384"/>
      <c r="Q20" s="636"/>
      <c r="R20" s="604"/>
      <c r="S20" s="605"/>
      <c r="T20" s="604"/>
      <c r="U20" s="605"/>
      <c r="V20" s="604"/>
      <c r="W20" s="605"/>
      <c r="X20" s="1202"/>
      <c r="Y20" s="3384"/>
      <c r="Z20" s="1203"/>
      <c r="AA20" s="1203">
        <v>1</v>
      </c>
      <c r="AB20" s="1203">
        <v>1</v>
      </c>
      <c r="AC20" s="1203">
        <v>1</v>
      </c>
    </row>
    <row r="21" spans="1:29" ht="41.4">
      <c r="A21" s="313"/>
      <c r="B21" s="500" t="s">
        <v>2147</v>
      </c>
      <c r="C21" s="1409"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3"/>
      <c r="O21" s="2722"/>
      <c r="P21" s="3384"/>
      <c r="Q21" s="636" t="str">
        <f>B21</f>
        <v>基础设施水平</v>
      </c>
      <c r="R21" s="604" t="s">
        <v>25</v>
      </c>
      <c r="S21" s="605">
        <f>F21</f>
        <v>100</v>
      </c>
      <c r="T21" s="604" t="s">
        <v>25</v>
      </c>
      <c r="U21" s="605">
        <f>H21</f>
        <v>100</v>
      </c>
      <c r="V21" s="604" t="s">
        <v>25</v>
      </c>
      <c r="W21" s="605">
        <f>J21</f>
        <v>100</v>
      </c>
      <c r="X21" s="1202"/>
      <c r="Y21" s="3384"/>
      <c r="Z21" s="1203" t="str">
        <f>Q21</f>
        <v>基础设施水平</v>
      </c>
      <c r="AA21" s="1203">
        <f t="shared" ref="AA21" si="8">D21/F21</f>
        <v>1</v>
      </c>
      <c r="AB21" s="1203">
        <f t="shared" ref="AB21" si="9">D21/H21</f>
        <v>1</v>
      </c>
      <c r="AC21" s="1203">
        <f t="shared" ref="AC21" si="10">D21/J21</f>
        <v>1</v>
      </c>
    </row>
    <row r="22" spans="1:29" ht="15">
      <c r="A22" s="313"/>
      <c r="B22" s="527"/>
      <c r="C22" s="341"/>
      <c r="D22" s="331"/>
      <c r="E22" s="330"/>
      <c r="F22" s="333"/>
      <c r="G22" s="330"/>
      <c r="H22" s="331"/>
      <c r="I22" s="330"/>
      <c r="J22" s="331"/>
      <c r="K22" s="1012"/>
      <c r="L22" s="2723"/>
      <c r="O22" s="2722"/>
      <c r="P22" s="3384"/>
      <c r="Q22" s="636"/>
      <c r="R22" s="604"/>
      <c r="S22" s="605"/>
      <c r="T22" s="604"/>
      <c r="U22" s="605"/>
      <c r="V22" s="604"/>
      <c r="W22" s="605"/>
      <c r="X22" s="1202"/>
      <c r="Y22" s="3384"/>
      <c r="Z22" s="1203"/>
      <c r="AA22" s="1203">
        <v>1</v>
      </c>
      <c r="AB22" s="1203">
        <v>1</v>
      </c>
      <c r="AC22" s="1203">
        <v>1</v>
      </c>
    </row>
    <row r="23" spans="1:29" ht="82.8">
      <c r="A23" s="313"/>
      <c r="B23" s="335" t="s">
        <v>2148</v>
      </c>
      <c r="C23" s="1409"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3"/>
      <c r="O23" s="2722"/>
      <c r="P23" s="3384"/>
      <c r="Q23" s="636" t="str">
        <f>B23</f>
        <v>环境质量</v>
      </c>
      <c r="R23" s="604" t="s">
        <v>25</v>
      </c>
      <c r="S23" s="605">
        <f>F23</f>
        <v>100</v>
      </c>
      <c r="T23" s="604" t="s">
        <v>25</v>
      </c>
      <c r="U23" s="605">
        <f>H23</f>
        <v>100</v>
      </c>
      <c r="V23" s="604" t="s">
        <v>25</v>
      </c>
      <c r="W23" s="605">
        <f>J23</f>
        <v>100</v>
      </c>
      <c r="X23" s="1202"/>
      <c r="Y23" s="3384"/>
      <c r="Z23" s="1203" t="str">
        <f>Q23</f>
        <v>环境质量</v>
      </c>
      <c r="AA23" s="1203">
        <f t="shared" si="3"/>
        <v>1</v>
      </c>
      <c r="AB23" s="1203">
        <f t="shared" si="4"/>
        <v>1</v>
      </c>
      <c r="AC23" s="1203">
        <f t="shared" si="5"/>
        <v>1</v>
      </c>
    </row>
    <row r="24" spans="1:29" ht="15">
      <c r="A24" s="313"/>
      <c r="B24" s="527"/>
      <c r="C24" s="330"/>
      <c r="D24" s="331"/>
      <c r="E24" s="332"/>
      <c r="F24" s="333"/>
      <c r="G24" s="1408"/>
      <c r="H24" s="331"/>
      <c r="I24" s="332"/>
      <c r="J24" s="331"/>
      <c r="K24" s="487"/>
      <c r="L24" s="2723"/>
      <c r="O24" s="2722"/>
      <c r="P24" s="3384"/>
      <c r="Q24" s="636"/>
      <c r="R24" s="604"/>
      <c r="S24" s="605"/>
      <c r="T24" s="604"/>
      <c r="U24" s="605"/>
      <c r="V24" s="604"/>
      <c r="W24" s="605"/>
      <c r="X24" s="1202"/>
      <c r="Y24" s="3384"/>
      <c r="Z24" s="1203"/>
      <c r="AA24" s="1203">
        <v>1</v>
      </c>
      <c r="AB24" s="1203">
        <v>1</v>
      </c>
      <c r="AC24" s="1203">
        <v>1</v>
      </c>
    </row>
    <row r="25" spans="1:29" ht="15">
      <c r="A25" s="293"/>
      <c r="B25" s="1055">
        <v>111</v>
      </c>
      <c r="C25" s="319"/>
      <c r="D25" s="320">
        <v>100</v>
      </c>
      <c r="E25" s="319"/>
      <c r="F25" s="346">
        <f>SUMIF(80:80,E25,81:81)-SUMIF(80:80,C25,81:81)+100</f>
        <v>100</v>
      </c>
      <c r="G25" s="319"/>
      <c r="H25" s="320">
        <f>SUMIF(80:80,G25,81:81)-SUMIF(80:80,C25,81:81)+100</f>
        <v>100</v>
      </c>
      <c r="I25" s="319"/>
      <c r="J25" s="320">
        <f>SUMIF(80:80,I25,81:81)-SUMIF(80:80,C25,81:81)+100</f>
        <v>100</v>
      </c>
      <c r="K25" s="485"/>
      <c r="L25" s="2723"/>
      <c r="O25" s="2722"/>
      <c r="P25" s="3384"/>
      <c r="Q25" s="636">
        <f>B25</f>
        <v>111</v>
      </c>
      <c r="R25" s="604" t="s">
        <v>25</v>
      </c>
      <c r="S25" s="605">
        <f>F25</f>
        <v>100</v>
      </c>
      <c r="T25" s="604" t="s">
        <v>25</v>
      </c>
      <c r="U25" s="605">
        <f>H25</f>
        <v>100</v>
      </c>
      <c r="V25" s="604" t="s">
        <v>25</v>
      </c>
      <c r="W25" s="605">
        <f>J25</f>
        <v>100</v>
      </c>
      <c r="X25" s="1202"/>
      <c r="Y25" s="3384"/>
      <c r="Z25" s="1203">
        <f>Q25</f>
        <v>111</v>
      </c>
      <c r="AA25" s="1203">
        <f t="shared" si="3"/>
        <v>1</v>
      </c>
      <c r="AB25" s="1203">
        <f t="shared" si="4"/>
        <v>1</v>
      </c>
      <c r="AC25" s="1203">
        <f t="shared" si="5"/>
        <v>1</v>
      </c>
    </row>
    <row r="26" spans="1:29" ht="15">
      <c r="A26" s="313"/>
      <c r="B26" s="1055">
        <v>111</v>
      </c>
      <c r="C26" s="319"/>
      <c r="D26" s="320">
        <v>100</v>
      </c>
      <c r="E26" s="319"/>
      <c r="F26" s="346">
        <f>SUMIF(82:82,E26,83:83)-SUMIF(82:82,C26,83:83)+100</f>
        <v>100</v>
      </c>
      <c r="G26" s="319"/>
      <c r="H26" s="320">
        <f>SUMIF(82:82,G26,83:83)-SUMIF(82:82,C26,83:83)+100</f>
        <v>100</v>
      </c>
      <c r="I26" s="319"/>
      <c r="J26" s="320">
        <f>SUMIF(82:82,I26,83:83)-SUMIF(82:82,C26,83:83)+100</f>
        <v>100</v>
      </c>
      <c r="K26" s="485"/>
      <c r="L26" s="2723"/>
      <c r="O26" s="2722"/>
      <c r="P26" s="3384"/>
      <c r="Q26" s="636">
        <f t="shared" ref="Q26:Q40" si="11">B26</f>
        <v>111</v>
      </c>
      <c r="R26" s="604" t="s">
        <v>25</v>
      </c>
      <c r="S26" s="605">
        <f>F26</f>
        <v>100</v>
      </c>
      <c r="T26" s="604" t="s">
        <v>25</v>
      </c>
      <c r="U26" s="605">
        <f>H26</f>
        <v>100</v>
      </c>
      <c r="V26" s="604" t="s">
        <v>25</v>
      </c>
      <c r="W26" s="605">
        <f>J26</f>
        <v>100</v>
      </c>
      <c r="X26" s="1202"/>
      <c r="Y26" s="3384"/>
      <c r="Z26" s="1203">
        <f>Q26</f>
        <v>111</v>
      </c>
      <c r="AA26" s="1203">
        <f t="shared" si="3"/>
        <v>1</v>
      </c>
      <c r="AB26" s="1203">
        <f t="shared" si="4"/>
        <v>1</v>
      </c>
      <c r="AC26" s="1203">
        <f t="shared" si="5"/>
        <v>1</v>
      </c>
    </row>
    <row r="27" spans="1:29" s="24" customFormat="1" ht="15">
      <c r="A27" s="316"/>
      <c r="B27" s="1055">
        <v>111</v>
      </c>
      <c r="C27" s="319"/>
      <c r="D27" s="347">
        <v>100</v>
      </c>
      <c r="E27" s="319"/>
      <c r="F27" s="340">
        <f>SUMIF(84:84,E27,85:85)-SUMIF(84:84,C27,85:85)+100</f>
        <v>100</v>
      </c>
      <c r="G27" s="319"/>
      <c r="H27" s="347">
        <f>SUMIF(84:84,G27,85:85)-SUMIF(84:84,C27,85:85)+100</f>
        <v>100</v>
      </c>
      <c r="I27" s="319"/>
      <c r="J27" s="347">
        <f>SUMIF(84:84,I27,85:85)-SUMIF(84:84,C27,85:85)+100</f>
        <v>100</v>
      </c>
      <c r="K27" s="485"/>
      <c r="L27" s="2717"/>
      <c r="O27" s="2718"/>
      <c r="P27" s="3384"/>
      <c r="Q27" s="477">
        <f t="shared" si="11"/>
        <v>111</v>
      </c>
      <c r="R27" s="601" t="s">
        <v>25</v>
      </c>
      <c r="S27" s="602">
        <f>F27</f>
        <v>100</v>
      </c>
      <c r="T27" s="601" t="s">
        <v>25</v>
      </c>
      <c r="U27" s="602">
        <f>H27</f>
        <v>100</v>
      </c>
      <c r="V27" s="601" t="s">
        <v>25</v>
      </c>
      <c r="W27" s="602">
        <f>J27</f>
        <v>100</v>
      </c>
      <c r="X27" s="603"/>
      <c r="Y27" s="3384"/>
      <c r="Z27" s="18">
        <f>Q27</f>
        <v>111</v>
      </c>
      <c r="AA27" s="1203">
        <f>D27/F27</f>
        <v>1</v>
      </c>
      <c r="AB27" s="1203">
        <f>D27/H27</f>
        <v>1</v>
      </c>
      <c r="AC27" s="1203">
        <f>D27/J27</f>
        <v>1</v>
      </c>
    </row>
    <row r="28" spans="1:29" ht="15.6" thickBot="1">
      <c r="A28" s="321"/>
      <c r="B28" s="1055">
        <v>111</v>
      </c>
      <c r="C28" s="1407"/>
      <c r="D28" s="322">
        <v>100</v>
      </c>
      <c r="E28" s="319"/>
      <c r="F28" s="323">
        <f>SUMIF(86:86,E28,87:87)-SUMIF(86:86,C28,87:87)+100</f>
        <v>100</v>
      </c>
      <c r="G28" s="351"/>
      <c r="H28" s="322">
        <f>SUMIF(86:86,G28,87:87)-SUMIF(86:86,C28,87:87)+100</f>
        <v>100</v>
      </c>
      <c r="I28" s="351"/>
      <c r="J28" s="322">
        <f>SUMIF(86:86,I28,87:87)-SUMIF(86:86,C28,87:87)+100</f>
        <v>100</v>
      </c>
      <c r="K28" s="485"/>
      <c r="L28" s="2723"/>
      <c r="O28" s="2722"/>
      <c r="P28" s="3384"/>
      <c r="Q28" s="636">
        <f t="shared" si="11"/>
        <v>111</v>
      </c>
      <c r="R28" s="604" t="s">
        <v>25</v>
      </c>
      <c r="S28" s="605">
        <f t="shared" ref="S28:S40" si="12">F28</f>
        <v>100</v>
      </c>
      <c r="T28" s="604" t="s">
        <v>25</v>
      </c>
      <c r="U28" s="605">
        <f t="shared" ref="U28:U40" si="13">H28</f>
        <v>100</v>
      </c>
      <c r="V28" s="604" t="s">
        <v>25</v>
      </c>
      <c r="W28" s="605">
        <f t="shared" ref="W28:W40" si="14">J28</f>
        <v>100</v>
      </c>
      <c r="X28" s="1202"/>
      <c r="Y28" s="3384"/>
      <c r="Z28" s="1203">
        <f t="shared" ref="Z28:Z40" si="15">Q28</f>
        <v>111</v>
      </c>
      <c r="AA28" s="1203">
        <f t="shared" si="3"/>
        <v>1</v>
      </c>
      <c r="AB28" s="1203">
        <f t="shared" si="4"/>
        <v>1</v>
      </c>
      <c r="AC28" s="1203">
        <f t="shared" si="5"/>
        <v>1</v>
      </c>
    </row>
    <row r="29" spans="1:29" ht="30">
      <c r="A29" s="348" t="s">
        <v>2035</v>
      </c>
      <c r="B29" s="23" t="s">
        <v>2151</v>
      </c>
      <c r="C29" s="1416"/>
      <c r="D29" s="349">
        <v>100</v>
      </c>
      <c r="E29" s="1416"/>
      <c r="F29" s="346">
        <f>SUMIF(88:88,E29,89:89)-SUMIF(88:88,C29,89:89)+100</f>
        <v>100</v>
      </c>
      <c r="G29" s="1416"/>
      <c r="H29" s="320">
        <f>SUMIF(88:88,G29,89:89)-SUMIF(88:88,C29,89:89)+100</f>
        <v>100</v>
      </c>
      <c r="I29" s="1416"/>
      <c r="J29" s="349">
        <f>SUMIF(88:88,I29,89:89)-SUMIF(88:88,C29,89:89)+100</f>
        <v>100</v>
      </c>
      <c r="K29" s="484"/>
      <c r="L29" s="2723"/>
      <c r="O29" s="2722"/>
      <c r="P29" s="3371" t="s">
        <v>2037</v>
      </c>
      <c r="Q29" s="636" t="str">
        <f t="shared" si="11"/>
        <v>建筑类型</v>
      </c>
      <c r="R29" s="604" t="s">
        <v>25</v>
      </c>
      <c r="S29" s="605">
        <f t="shared" si="12"/>
        <v>100</v>
      </c>
      <c r="T29" s="604" t="s">
        <v>25</v>
      </c>
      <c r="U29" s="605">
        <f t="shared" si="13"/>
        <v>100</v>
      </c>
      <c r="V29" s="604" t="s">
        <v>25</v>
      </c>
      <c r="W29" s="605">
        <f t="shared" si="14"/>
        <v>100</v>
      </c>
      <c r="X29" s="1202"/>
      <c r="Y29" s="3372" t="s">
        <v>2037</v>
      </c>
      <c r="Z29" s="1203" t="str">
        <f t="shared" si="15"/>
        <v>建筑类型</v>
      </c>
      <c r="AA29" s="1203">
        <f t="shared" si="3"/>
        <v>1</v>
      </c>
      <c r="AB29" s="1203">
        <f t="shared" si="4"/>
        <v>1</v>
      </c>
      <c r="AC29" s="1203">
        <f t="shared" si="5"/>
        <v>1</v>
      </c>
    </row>
    <row r="30" spans="1:29" s="352" customFormat="1" ht="15">
      <c r="A30" s="350"/>
      <c r="B30" s="309" t="s">
        <v>2038</v>
      </c>
      <c r="C30" s="351"/>
      <c r="D30" s="25">
        <v>100</v>
      </c>
      <c r="E30" s="315"/>
      <c r="F30" s="309" t="e">
        <f>LOOKUP(E30,91:91,92:92)-LOOKUP(C30,91:91,92:92)+100</f>
        <v>#N/A</v>
      </c>
      <c r="G30" s="314"/>
      <c r="H30" s="25" t="e">
        <f>LOOKUP(G30,91:91,92:92)-LOOKUP(C30,91:91,92:92)+100</f>
        <v>#N/A</v>
      </c>
      <c r="I30" s="314"/>
      <c r="J30" s="25" t="e">
        <f>LOOKUP(I30,91:91,92:92)-LOOKUP(C30,91:91,92:92)+100</f>
        <v>#N/A</v>
      </c>
      <c r="K30" s="485"/>
      <c r="L30" s="2721"/>
      <c r="O30" s="2724"/>
      <c r="P30" s="3372"/>
      <c r="Q30" s="606" t="str">
        <f t="shared" si="11"/>
        <v>项目建筑规模</v>
      </c>
      <c r="R30" s="607" t="s">
        <v>25</v>
      </c>
      <c r="S30" s="608" t="e">
        <f t="shared" si="12"/>
        <v>#N/A</v>
      </c>
      <c r="T30" s="607" t="s">
        <v>25</v>
      </c>
      <c r="U30" s="608" t="e">
        <f t="shared" si="13"/>
        <v>#N/A</v>
      </c>
      <c r="V30" s="607" t="s">
        <v>25</v>
      </c>
      <c r="W30" s="608" t="e">
        <f t="shared" si="14"/>
        <v>#N/A</v>
      </c>
      <c r="X30" s="609"/>
      <c r="Y30" s="3372"/>
      <c r="Z30" s="610" t="str">
        <f t="shared" si="15"/>
        <v>项目建筑规模</v>
      </c>
      <c r="AA30" s="1203" t="e">
        <f t="shared" si="3"/>
        <v>#N/A</v>
      </c>
      <c r="AB30" s="1203" t="e">
        <f t="shared" si="4"/>
        <v>#N/A</v>
      </c>
      <c r="AC30" s="1203" t="e">
        <f t="shared" si="5"/>
        <v>#N/A</v>
      </c>
    </row>
    <row r="31" spans="1:29" ht="15">
      <c r="A31" s="353"/>
      <c r="B31" s="309" t="s">
        <v>2039</v>
      </c>
      <c r="C31" s="345"/>
      <c r="D31" s="320">
        <v>100</v>
      </c>
      <c r="E31" s="345"/>
      <c r="F31" s="346">
        <f>SUMIF(93:93,E31,94:94)-SUMIF(93:93,C31,94:94)+100</f>
        <v>100</v>
      </c>
      <c r="G31" s="345"/>
      <c r="H31" s="320">
        <f>SUMIF(93:93,G31,94:94)-SUMIF(93:93,C31,94:94)+100</f>
        <v>100</v>
      </c>
      <c r="I31" s="345"/>
      <c r="J31" s="320">
        <f>SUMIF(93:93,I31,94:94)-SUMIF(93:93,C31,94:94)+100</f>
        <v>100</v>
      </c>
      <c r="K31" s="484"/>
      <c r="L31" s="2723"/>
      <c r="O31" s="2722"/>
      <c r="P31" s="3372"/>
      <c r="Q31" s="636" t="str">
        <f t="shared" si="11"/>
        <v>建筑结构</v>
      </c>
      <c r="R31" s="604" t="s">
        <v>25</v>
      </c>
      <c r="S31" s="605">
        <f t="shared" si="12"/>
        <v>100</v>
      </c>
      <c r="T31" s="604" t="s">
        <v>25</v>
      </c>
      <c r="U31" s="605">
        <f t="shared" si="13"/>
        <v>100</v>
      </c>
      <c r="V31" s="604" t="s">
        <v>25</v>
      </c>
      <c r="W31" s="605">
        <f t="shared" si="14"/>
        <v>100</v>
      </c>
      <c r="X31" s="1202"/>
      <c r="Y31" s="3372"/>
      <c r="Z31" s="1203" t="str">
        <f t="shared" si="15"/>
        <v>建筑结构</v>
      </c>
      <c r="AA31" s="1203">
        <f t="shared" si="3"/>
        <v>1</v>
      </c>
      <c r="AB31" s="1203">
        <f t="shared" si="4"/>
        <v>1</v>
      </c>
      <c r="AC31" s="1203">
        <f t="shared" si="5"/>
        <v>1</v>
      </c>
    </row>
    <row r="32" spans="1:29" ht="15">
      <c r="A32" s="353"/>
      <c r="B32" s="309" t="s">
        <v>2124</v>
      </c>
      <c r="C32" s="345"/>
      <c r="D32" s="320">
        <v>100</v>
      </c>
      <c r="E32" s="345"/>
      <c r="F32" s="346">
        <f>SUMIF(95:95,E32,96:96)-SUMIF(95:95,C32,96:96)+100</f>
        <v>100</v>
      </c>
      <c r="G32" s="345"/>
      <c r="H32" s="320">
        <f>SUMIF(95:95,G32,96:96)-SUMIF(95:95,C32,96:96)+100</f>
        <v>100</v>
      </c>
      <c r="I32" s="345"/>
      <c r="J32" s="320">
        <f>SUMIF(95:95,I32,96:96)-SUMIF(95:95,C32,96:96)+100</f>
        <v>100</v>
      </c>
      <c r="K32" s="484"/>
      <c r="L32" s="2723"/>
      <c r="O32" s="2722"/>
      <c r="P32" s="3372"/>
      <c r="Q32" s="636" t="str">
        <f t="shared" si="11"/>
        <v>公共部分装修</v>
      </c>
      <c r="R32" s="604" t="s">
        <v>25</v>
      </c>
      <c r="S32" s="605">
        <f t="shared" si="12"/>
        <v>100</v>
      </c>
      <c r="T32" s="604" t="s">
        <v>25</v>
      </c>
      <c r="U32" s="605">
        <f t="shared" si="13"/>
        <v>100</v>
      </c>
      <c r="V32" s="604" t="s">
        <v>25</v>
      </c>
      <c r="W32" s="605">
        <f t="shared" si="14"/>
        <v>100</v>
      </c>
      <c r="X32" s="1202"/>
      <c r="Y32" s="3372"/>
      <c r="Z32" s="1203" t="str">
        <f t="shared" si="15"/>
        <v>公共部分装修</v>
      </c>
      <c r="AA32" s="1203">
        <f t="shared" si="3"/>
        <v>1</v>
      </c>
      <c r="AB32" s="1203">
        <f t="shared" si="4"/>
        <v>1</v>
      </c>
      <c r="AC32" s="1203">
        <f t="shared" si="5"/>
        <v>1</v>
      </c>
    </row>
    <row r="33" spans="1:29" ht="15">
      <c r="A33" s="353"/>
      <c r="B33" s="309" t="s">
        <v>2125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3"/>
      <c r="O33" s="2722"/>
      <c r="P33" s="3372"/>
      <c r="Q33" s="636" t="str">
        <f t="shared" si="11"/>
        <v>成新度</v>
      </c>
      <c r="R33" s="604" t="s">
        <v>25</v>
      </c>
      <c r="S33" s="605" t="e">
        <f t="shared" si="12"/>
        <v>#N/A</v>
      </c>
      <c r="T33" s="604" t="s">
        <v>25</v>
      </c>
      <c r="U33" s="605" t="e">
        <f t="shared" si="13"/>
        <v>#N/A</v>
      </c>
      <c r="V33" s="604" t="s">
        <v>25</v>
      </c>
      <c r="W33" s="605" t="e">
        <f t="shared" si="14"/>
        <v>#N/A</v>
      </c>
      <c r="X33" s="1202"/>
      <c r="Y33" s="3372"/>
      <c r="Z33" s="1203" t="str">
        <f t="shared" si="15"/>
        <v>成新度</v>
      </c>
      <c r="AA33" s="1203" t="e">
        <f t="shared" si="3"/>
        <v>#N/A</v>
      </c>
      <c r="AB33" s="1203" t="e">
        <f t="shared" si="4"/>
        <v>#N/A</v>
      </c>
      <c r="AC33" s="1203" t="e">
        <f t="shared" si="5"/>
        <v>#N/A</v>
      </c>
    </row>
    <row r="34" spans="1:29" s="24" customFormat="1" ht="15">
      <c r="A34" s="354"/>
      <c r="B34" s="309" t="s">
        <v>2153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7"/>
      <c r="O34" s="2718"/>
      <c r="P34" s="3372"/>
      <c r="Q34" s="477" t="str">
        <f t="shared" si="11"/>
        <v>物业管理</v>
      </c>
      <c r="R34" s="601" t="s">
        <v>25</v>
      </c>
      <c r="S34" s="602">
        <f t="shared" si="12"/>
        <v>100</v>
      </c>
      <c r="T34" s="601" t="s">
        <v>25</v>
      </c>
      <c r="U34" s="602">
        <f t="shared" si="13"/>
        <v>100</v>
      </c>
      <c r="V34" s="601" t="s">
        <v>25</v>
      </c>
      <c r="W34" s="602">
        <f t="shared" si="14"/>
        <v>100</v>
      </c>
      <c r="X34" s="603"/>
      <c r="Y34" s="3372"/>
      <c r="Z34" s="18" t="str">
        <f t="shared" si="15"/>
        <v>物业管理</v>
      </c>
      <c r="AA34" s="18">
        <f t="shared" si="3"/>
        <v>1</v>
      </c>
      <c r="AB34" s="18">
        <f t="shared" si="4"/>
        <v>1</v>
      </c>
      <c r="AC34" s="18">
        <f t="shared" si="5"/>
        <v>1</v>
      </c>
    </row>
    <row r="35" spans="1:29" ht="15">
      <c r="A35" s="353"/>
      <c r="B35" s="309" t="s">
        <v>2126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3"/>
      <c r="O35" s="2722"/>
      <c r="P35" s="3372" t="s">
        <v>2037</v>
      </c>
      <c r="Q35" s="636" t="str">
        <f t="shared" si="11"/>
        <v>市政基础设施</v>
      </c>
      <c r="R35" s="604" t="s">
        <v>25</v>
      </c>
      <c r="S35" s="605">
        <f t="shared" si="12"/>
        <v>100</v>
      </c>
      <c r="T35" s="604" t="s">
        <v>25</v>
      </c>
      <c r="U35" s="605">
        <f t="shared" si="13"/>
        <v>100</v>
      </c>
      <c r="V35" s="604" t="s">
        <v>25</v>
      </c>
      <c r="W35" s="605">
        <f t="shared" si="14"/>
        <v>100</v>
      </c>
      <c r="X35" s="1202"/>
      <c r="Y35" s="3372" t="s">
        <v>2037</v>
      </c>
      <c r="Z35" s="1203" t="str">
        <f t="shared" si="15"/>
        <v>市政基础设施</v>
      </c>
      <c r="AA35" s="1203">
        <f t="shared" si="3"/>
        <v>1</v>
      </c>
      <c r="AB35" s="1203">
        <f t="shared" si="4"/>
        <v>1</v>
      </c>
      <c r="AC35" s="1203">
        <f t="shared" si="5"/>
        <v>1</v>
      </c>
    </row>
    <row r="36" spans="1:29" ht="15">
      <c r="A36" s="353"/>
      <c r="B36" s="309" t="s">
        <v>2131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3"/>
      <c r="O36" s="2722"/>
      <c r="P36" s="3372"/>
      <c r="Q36" s="636" t="str">
        <f t="shared" si="11"/>
        <v>内部装修</v>
      </c>
      <c r="R36" s="604" t="s">
        <v>25</v>
      </c>
      <c r="S36" s="605">
        <f t="shared" si="12"/>
        <v>100</v>
      </c>
      <c r="T36" s="604" t="s">
        <v>25</v>
      </c>
      <c r="U36" s="605">
        <f t="shared" si="13"/>
        <v>100</v>
      </c>
      <c r="V36" s="604" t="s">
        <v>25</v>
      </c>
      <c r="W36" s="605">
        <f t="shared" si="14"/>
        <v>100</v>
      </c>
      <c r="X36" s="1202"/>
      <c r="Y36" s="3372"/>
      <c r="Z36" s="1203" t="str">
        <f t="shared" si="15"/>
        <v>内部装修</v>
      </c>
      <c r="AA36" s="1203">
        <f t="shared" si="3"/>
        <v>1</v>
      </c>
      <c r="AB36" s="1203">
        <f t="shared" si="4"/>
        <v>1</v>
      </c>
      <c r="AC36" s="1203">
        <f t="shared" si="5"/>
        <v>1</v>
      </c>
    </row>
    <row r="37" spans="1:29" ht="15">
      <c r="A37" s="353"/>
      <c r="B37" s="309" t="s">
        <v>2163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3"/>
      <c r="O37" s="2722"/>
      <c r="P37" s="3372"/>
      <c r="Q37" s="636" t="str">
        <f t="shared" si="11"/>
        <v>内部装修状况</v>
      </c>
      <c r="R37" s="604" t="s">
        <v>25</v>
      </c>
      <c r="S37" s="605">
        <f t="shared" si="12"/>
        <v>100</v>
      </c>
      <c r="T37" s="604" t="s">
        <v>25</v>
      </c>
      <c r="U37" s="605">
        <f t="shared" si="13"/>
        <v>100</v>
      </c>
      <c r="V37" s="604" t="s">
        <v>25</v>
      </c>
      <c r="W37" s="605">
        <f t="shared" si="14"/>
        <v>100</v>
      </c>
      <c r="X37" s="1202"/>
      <c r="Y37" s="3372"/>
      <c r="Z37" s="1203" t="str">
        <f t="shared" si="15"/>
        <v>内部装修状况</v>
      </c>
      <c r="AA37" s="1203">
        <f t="shared" si="3"/>
        <v>1</v>
      </c>
      <c r="AB37" s="1203">
        <f t="shared" si="4"/>
        <v>1</v>
      </c>
      <c r="AC37" s="1203">
        <f t="shared" si="5"/>
        <v>1</v>
      </c>
    </row>
    <row r="38" spans="1:29" s="352" customFormat="1" ht="15">
      <c r="A38" s="350"/>
      <c r="B38" s="1055">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21"/>
      <c r="O38" s="2724"/>
      <c r="P38" s="3372"/>
      <c r="Q38" s="606">
        <f t="shared" si="11"/>
        <v>111</v>
      </c>
      <c r="R38" s="607" t="s">
        <v>25</v>
      </c>
      <c r="S38" s="608">
        <f t="shared" si="12"/>
        <v>100</v>
      </c>
      <c r="T38" s="607" t="s">
        <v>25</v>
      </c>
      <c r="U38" s="608">
        <f t="shared" si="13"/>
        <v>100</v>
      </c>
      <c r="V38" s="607" t="s">
        <v>25</v>
      </c>
      <c r="W38" s="608">
        <f t="shared" si="14"/>
        <v>100</v>
      </c>
      <c r="X38" s="609"/>
      <c r="Y38" s="3372"/>
      <c r="Z38" s="610">
        <f t="shared" si="15"/>
        <v>111</v>
      </c>
      <c r="AA38" s="1203">
        <f t="shared" si="3"/>
        <v>1</v>
      </c>
      <c r="AB38" s="1203">
        <f t="shared" si="4"/>
        <v>1</v>
      </c>
      <c r="AC38" s="1203">
        <f t="shared" si="5"/>
        <v>1</v>
      </c>
    </row>
    <row r="39" spans="1:29" ht="15">
      <c r="A39" s="353"/>
      <c r="B39" s="1055">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3"/>
      <c r="O39" s="2722"/>
      <c r="P39" s="3372"/>
      <c r="Q39" s="636">
        <f t="shared" si="11"/>
        <v>111</v>
      </c>
      <c r="R39" s="604" t="s">
        <v>25</v>
      </c>
      <c r="S39" s="605">
        <f t="shared" si="12"/>
        <v>100</v>
      </c>
      <c r="T39" s="604" t="s">
        <v>25</v>
      </c>
      <c r="U39" s="605">
        <f t="shared" si="13"/>
        <v>100</v>
      </c>
      <c r="V39" s="604" t="s">
        <v>25</v>
      </c>
      <c r="W39" s="605">
        <f t="shared" si="14"/>
        <v>100</v>
      </c>
      <c r="X39" s="1202"/>
      <c r="Y39" s="3372"/>
      <c r="Z39" s="1203">
        <f t="shared" si="15"/>
        <v>111</v>
      </c>
      <c r="AA39" s="1203">
        <f t="shared" si="3"/>
        <v>1</v>
      </c>
      <c r="AB39" s="1203">
        <f t="shared" si="4"/>
        <v>1</v>
      </c>
      <c r="AC39" s="1203">
        <f t="shared" si="5"/>
        <v>1</v>
      </c>
    </row>
    <row r="40" spans="1:29" ht="15.6" thickBot="1">
      <c r="A40" s="359"/>
      <c r="B40" s="1406">
        <v>111</v>
      </c>
      <c r="C40" s="1407">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3"/>
      <c r="O40" s="2722"/>
      <c r="P40" s="3373"/>
      <c r="Q40" s="636">
        <f t="shared" si="11"/>
        <v>111</v>
      </c>
      <c r="R40" s="604" t="s">
        <v>25</v>
      </c>
      <c r="S40" s="605">
        <f t="shared" si="12"/>
        <v>100</v>
      </c>
      <c r="T40" s="604" t="s">
        <v>25</v>
      </c>
      <c r="U40" s="605">
        <f t="shared" si="13"/>
        <v>100</v>
      </c>
      <c r="V40" s="604" t="s">
        <v>25</v>
      </c>
      <c r="W40" s="605">
        <f t="shared" si="14"/>
        <v>100</v>
      </c>
      <c r="X40" s="1202"/>
      <c r="Y40" s="3373"/>
      <c r="Z40" s="1203">
        <f t="shared" si="15"/>
        <v>111</v>
      </c>
      <c r="AA40" s="1203">
        <f t="shared" si="3"/>
        <v>1</v>
      </c>
      <c r="AB40" s="1203">
        <f t="shared" si="4"/>
        <v>1</v>
      </c>
      <c r="AC40" s="1203">
        <f t="shared" si="5"/>
        <v>1</v>
      </c>
    </row>
    <row r="41" spans="1:29" ht="14.4">
      <c r="A41" s="360" t="s">
        <v>2049</v>
      </c>
      <c r="B41" s="361"/>
      <c r="C41" s="1033" t="s">
        <v>1</v>
      </c>
      <c r="D41" s="362"/>
      <c r="E41" s="363"/>
      <c r="F41" s="364"/>
      <c r="G41" s="365"/>
      <c r="H41" s="366"/>
      <c r="I41" s="363"/>
      <c r="J41" s="366"/>
      <c r="K41" s="612"/>
      <c r="L41" s="2725"/>
      <c r="P41" s="3366" t="str">
        <f>A41</f>
        <v>成交单价（元/平方米）</v>
      </c>
      <c r="Q41" s="3366"/>
      <c r="R41" s="3367">
        <f>E41</f>
        <v>0</v>
      </c>
      <c r="S41" s="3367"/>
      <c r="T41" s="3367">
        <f>G41</f>
        <v>0</v>
      </c>
      <c r="U41" s="3367"/>
      <c r="V41" s="3367">
        <f>I41</f>
        <v>0</v>
      </c>
      <c r="W41" s="3367"/>
      <c r="X41" s="329"/>
      <c r="Y41" s="611"/>
      <c r="Z41" s="329"/>
      <c r="AA41" s="329"/>
      <c r="AB41" s="329"/>
      <c r="AC41" s="329"/>
    </row>
    <row r="42" spans="1:29" ht="15" thickBot="1">
      <c r="A42" s="367" t="s">
        <v>2132</v>
      </c>
      <c r="B42" s="368"/>
      <c r="C42" s="1034" t="e">
        <f>R43</f>
        <v>#DIV/0!</v>
      </c>
      <c r="D42" s="1624" t="s">
        <v>2503</v>
      </c>
      <c r="E42" s="1035" t="e">
        <f>R42</f>
        <v>#DIV/0!</v>
      </c>
      <c r="F42" s="1626"/>
      <c r="G42" s="1034" t="e">
        <f>T42</f>
        <v>#DIV/0!</v>
      </c>
      <c r="H42" s="1626"/>
      <c r="I42" s="1035" t="e">
        <f>V42</f>
        <v>#DIV/0!</v>
      </c>
      <c r="J42" s="1626"/>
      <c r="K42" s="2251">
        <f>F42+H42+J42</f>
        <v>0</v>
      </c>
      <c r="L42" s="2725"/>
      <c r="P42" s="3366" t="str">
        <f>A42</f>
        <v>比较价值（元/平方米）</v>
      </c>
      <c r="Q42" s="3366"/>
      <c r="R42" s="3367" t="e">
        <f>IF(E1="售价",ROUND(PRODUCT(R41,AA7:AA40),0),ROUND(PRODUCT(R41,AA7:AA40),1))</f>
        <v>#DIV/0!</v>
      </c>
      <c r="S42" s="3367"/>
      <c r="T42" s="3367" t="e">
        <f>IF(E1="售价",ROUND(PRODUCT(T41,AB7:AB40),0),ROUND(PRODUCT(T41,AB7:AB40),1))</f>
        <v>#DIV/0!</v>
      </c>
      <c r="U42" s="3367"/>
      <c r="V42" s="3367" t="e">
        <f>IF(E1="售价",ROUND(PRODUCT(V41,AC7:AC40),0),ROUND(PRODUCT(V41,AC7:AC40),1))</f>
        <v>#DIV/0!</v>
      </c>
      <c r="W42" s="3367"/>
      <c r="X42" s="329"/>
      <c r="Y42" s="329"/>
      <c r="Z42" s="329"/>
      <c r="AA42" s="329"/>
      <c r="AB42" s="329"/>
      <c r="AC42" s="329"/>
    </row>
    <row r="43" spans="1:29" ht="15" thickBot="1">
      <c r="A43" s="371" t="s">
        <v>2155</v>
      </c>
      <c r="B43" s="372"/>
      <c r="C43" s="296" t="e">
        <f>R43</f>
        <v>#DIV/0!</v>
      </c>
      <c r="D43" s="296"/>
      <c r="E43" s="296"/>
      <c r="F43" s="296"/>
      <c r="G43" s="296"/>
      <c r="H43" s="296"/>
      <c r="I43" s="296"/>
      <c r="J43" s="296"/>
      <c r="K43" s="613"/>
      <c r="L43" s="2725"/>
      <c r="P43" s="3368" t="str">
        <f>A43</f>
        <v>估价对象XX用房的比较价值（楼面单价，元/平方米）</v>
      </c>
      <c r="Q43" s="3369"/>
      <c r="R43" s="3370" t="e">
        <f>IF(E1="售价",ROUND(IF(D42="简单平均",AVERAGE(R42:V42),R42*F42+T42*H42+V42*J42),0),ROUND(IF(D42="简单平均",AVERAGE(R42:V42),R42*F42+T42*H42+V42*J42),1))</f>
        <v>#DIV/0!</v>
      </c>
      <c r="S43" s="3370"/>
      <c r="T43" s="3370"/>
      <c r="U43" s="3370"/>
      <c r="V43" s="3370"/>
      <c r="W43" s="3370"/>
      <c r="X43" s="329"/>
      <c r="Y43" s="329"/>
      <c r="Z43" s="329"/>
      <c r="AA43" s="329"/>
      <c r="AB43" s="329"/>
      <c r="AC43" s="329"/>
    </row>
    <row r="44" spans="1:29">
      <c r="G44" s="2728"/>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9"/>
      <c r="L48" s="2726"/>
    </row>
    <row r="49" spans="1:17" s="381" customFormat="1">
      <c r="B49" s="2727"/>
      <c r="C49" s="2730"/>
      <c r="K49" s="2729"/>
      <c r="L49" s="2726"/>
    </row>
    <row r="50" spans="1:17">
      <c r="B50" s="2727"/>
      <c r="C50" s="2730"/>
    </row>
    <row r="51" spans="1:17" ht="22.2" thickBot="1">
      <c r="A51" s="595" t="s">
        <v>2137</v>
      </c>
      <c r="B51" s="329"/>
      <c r="C51" s="596"/>
      <c r="D51" s="596"/>
      <c r="E51" s="596"/>
      <c r="F51" s="597"/>
      <c r="G51" s="597"/>
      <c r="H51" s="596"/>
      <c r="I51" s="596"/>
      <c r="J51" s="596"/>
      <c r="K51" s="598"/>
      <c r="L51" s="599"/>
      <c r="M51" s="596"/>
      <c r="N51" s="382"/>
      <c r="O51" s="382"/>
      <c r="P51" s="382"/>
      <c r="Q51" s="383"/>
    </row>
    <row r="52" spans="1:17" s="386" customFormat="1" ht="14.4">
      <c r="A52" s="384" t="s">
        <v>2019</v>
      </c>
      <c r="B52" s="385"/>
      <c r="C52" s="1061" t="str">
        <f>YEAR(C7)&amp;"-"&amp;MONTH(C7)</f>
        <v>2022-12</v>
      </c>
      <c r="D52" s="1062">
        <f>EDATE(C52,-1)</f>
        <v>44866</v>
      </c>
      <c r="E52" s="1063">
        <f t="shared" ref="E52:O52" si="16">EDATE(D52,-1)</f>
        <v>44835</v>
      </c>
      <c r="F52" s="1063">
        <f t="shared" si="16"/>
        <v>44805</v>
      </c>
      <c r="G52" s="1063">
        <f t="shared" si="16"/>
        <v>44774</v>
      </c>
      <c r="H52" s="1063">
        <f t="shared" si="16"/>
        <v>44743</v>
      </c>
      <c r="I52" s="1063">
        <f t="shared" si="16"/>
        <v>44713</v>
      </c>
      <c r="J52" s="1063">
        <f t="shared" si="16"/>
        <v>44682</v>
      </c>
      <c r="K52" s="1063">
        <f t="shared" si="16"/>
        <v>44652</v>
      </c>
      <c r="L52" s="1063">
        <f t="shared" si="16"/>
        <v>44621</v>
      </c>
      <c r="M52" s="1063">
        <f t="shared" si="16"/>
        <v>44593</v>
      </c>
      <c r="N52" s="1063">
        <f t="shared" si="16"/>
        <v>44562</v>
      </c>
      <c r="O52" s="1063">
        <f t="shared" si="16"/>
        <v>44531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2057</v>
      </c>
      <c r="B54" s="393"/>
      <c r="C54" s="394"/>
      <c r="D54" s="395"/>
      <c r="E54" s="395"/>
      <c r="F54" s="395"/>
      <c r="G54" s="395"/>
      <c r="H54" s="395"/>
      <c r="I54" s="395"/>
      <c r="J54" s="395"/>
      <c r="K54" s="395"/>
      <c r="L54" s="395"/>
      <c r="M54" s="396"/>
      <c r="N54" s="395"/>
      <c r="O54" s="397"/>
      <c r="P54" s="383"/>
      <c r="Q54" s="383"/>
    </row>
    <row r="55" spans="1:17" s="24" customFormat="1" ht="14.4">
      <c r="A55" s="398" t="s">
        <v>2021</v>
      </c>
      <c r="B55" s="388"/>
      <c r="C55" s="399" t="s">
        <v>2022</v>
      </c>
      <c r="D55" s="400"/>
      <c r="E55" s="400"/>
      <c r="F55" s="400"/>
      <c r="G55" s="400"/>
      <c r="H55" s="400"/>
      <c r="I55" s="400"/>
      <c r="J55" s="400"/>
      <c r="K55" s="400"/>
      <c r="L55" s="401"/>
      <c r="M55" s="402"/>
      <c r="N55" s="17"/>
      <c r="O55" s="17"/>
      <c r="P55" s="403"/>
      <c r="Q55" s="383"/>
    </row>
    <row r="56" spans="1:17" s="24" customFormat="1" ht="14.4" thickBot="1">
      <c r="A56" s="398"/>
      <c r="B56" s="388"/>
      <c r="C56" s="505">
        <v>100</v>
      </c>
      <c r="D56" s="389"/>
      <c r="E56" s="389"/>
      <c r="F56" s="389"/>
      <c r="G56" s="389"/>
      <c r="H56" s="389"/>
      <c r="I56" s="389"/>
      <c r="J56" s="389"/>
      <c r="K56" s="389"/>
      <c r="L56" s="389"/>
      <c r="M56" s="391"/>
      <c r="N56" s="17"/>
      <c r="O56" s="17"/>
      <c r="P56" s="383"/>
      <c r="Q56" s="383"/>
    </row>
    <row r="57" spans="1:17" ht="14.4">
      <c r="A57" s="324" t="s">
        <v>2060</v>
      </c>
      <c r="B57" s="404" t="s">
        <v>2025</v>
      </c>
      <c r="C57" s="405">
        <f>C9</f>
        <v>0</v>
      </c>
      <c r="D57" s="406"/>
      <c r="E57" s="406"/>
      <c r="F57" s="406"/>
      <c r="G57" s="406"/>
      <c r="H57" s="406"/>
      <c r="I57" s="406"/>
      <c r="J57" s="406"/>
      <c r="K57" s="407"/>
      <c r="L57" s="408"/>
      <c r="M57" s="409"/>
      <c r="N57" s="410"/>
      <c r="O57" s="410"/>
      <c r="P57" s="17"/>
      <c r="Q57" s="383"/>
    </row>
    <row r="58" spans="1:17" ht="14.4" thickBot="1">
      <c r="A58" s="313"/>
      <c r="B58" s="411"/>
      <c r="C58" s="412">
        <v>100</v>
      </c>
      <c r="D58" s="412"/>
      <c r="E58" s="412"/>
      <c r="F58" s="412"/>
      <c r="G58" s="412"/>
      <c r="H58" s="412"/>
      <c r="I58" s="412"/>
      <c r="J58" s="412"/>
      <c r="K58" s="412"/>
      <c r="L58" s="412"/>
      <c r="M58" s="413"/>
      <c r="N58" s="414"/>
      <c r="O58" s="414"/>
      <c r="P58" s="17"/>
      <c r="Q58" s="383"/>
    </row>
    <row r="59" spans="1:17" ht="29.4" thickTop="1">
      <c r="A59" s="313"/>
      <c r="B59" s="415" t="s">
        <v>2028</v>
      </c>
      <c r="C59" s="416" t="s">
        <v>2061</v>
      </c>
      <c r="D59" s="416" t="s">
        <v>2062</v>
      </c>
      <c r="E59" s="416" t="s">
        <v>2063</v>
      </c>
      <c r="F59" s="416" t="s">
        <v>2064</v>
      </c>
      <c r="G59" s="416" t="s">
        <v>2065</v>
      </c>
      <c r="H59" s="416" t="s">
        <v>2066</v>
      </c>
      <c r="I59" s="416" t="s">
        <v>2067</v>
      </c>
      <c r="J59" s="416"/>
      <c r="K59" s="417"/>
      <c r="L59" s="418"/>
      <c r="M59" s="419"/>
      <c r="N59" s="410"/>
      <c r="O59" s="410"/>
      <c r="P59" s="17"/>
      <c r="Q59" s="383"/>
    </row>
    <row r="60" spans="1:17" ht="14.4"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 thickTop="1">
      <c r="A61" s="313"/>
      <c r="B61" s="423" t="s">
        <v>2029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4"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4" thickTop="1">
      <c r="A64" s="430"/>
      <c r="B64" s="415">
        <f>B12</f>
        <v>111</v>
      </c>
      <c r="C64" s="431"/>
      <c r="D64" s="431"/>
      <c r="E64" s="431"/>
      <c r="F64" s="431"/>
      <c r="G64" s="431"/>
      <c r="H64" s="432"/>
      <c r="I64" s="432"/>
      <c r="J64" s="432"/>
      <c r="K64" s="432"/>
      <c r="L64" s="433"/>
      <c r="M64" s="434"/>
      <c r="N64" s="435"/>
      <c r="O64" s="435"/>
      <c r="P64" s="435"/>
      <c r="Q64" s="436"/>
    </row>
    <row r="65" spans="1:17" s="352" customFormat="1" ht="14.4" thickBot="1">
      <c r="A65" s="430"/>
      <c r="B65" s="420"/>
      <c r="C65" s="437"/>
      <c r="D65" s="412"/>
      <c r="E65" s="412"/>
      <c r="F65" s="412"/>
      <c r="G65" s="412"/>
      <c r="H65" s="412"/>
      <c r="I65" s="412"/>
      <c r="J65" s="412"/>
      <c r="K65" s="412"/>
      <c r="L65" s="412"/>
      <c r="M65" s="413"/>
      <c r="N65" s="414"/>
      <c r="O65" s="414"/>
      <c r="P65" s="435"/>
      <c r="Q65" s="436"/>
    </row>
    <row r="66" spans="1:17" s="352" customFormat="1" ht="14.4" thickTop="1">
      <c r="A66" s="430"/>
      <c r="B66" s="415">
        <f>B13</f>
        <v>111</v>
      </c>
      <c r="C66" s="431"/>
      <c r="D66" s="431"/>
      <c r="E66" s="431"/>
      <c r="F66" s="431"/>
      <c r="G66" s="431"/>
      <c r="H66" s="432"/>
      <c r="I66" s="432"/>
      <c r="J66" s="432"/>
      <c r="K66" s="432"/>
      <c r="L66" s="433"/>
      <c r="M66" s="434"/>
      <c r="N66" s="435"/>
      <c r="O66" s="435"/>
      <c r="Q66" s="438"/>
    </row>
    <row r="67" spans="1:17" s="352" customFormat="1" ht="14.4" thickBot="1">
      <c r="A67" s="430"/>
      <c r="B67" s="420"/>
      <c r="C67" s="437"/>
      <c r="D67" s="412"/>
      <c r="E67" s="412"/>
      <c r="F67" s="412"/>
      <c r="G67" s="437"/>
      <c r="H67" s="439"/>
      <c r="I67" s="439"/>
      <c r="J67" s="439"/>
      <c r="K67" s="439"/>
      <c r="L67" s="439"/>
      <c r="M67" s="440"/>
      <c r="N67" s="435"/>
      <c r="O67" s="435"/>
      <c r="P67" s="435"/>
      <c r="Q67" s="436"/>
    </row>
    <row r="68" spans="1:17" s="352" customFormat="1" ht="14.4" thickTop="1">
      <c r="A68" s="430"/>
      <c r="B68" s="423">
        <f>B14</f>
        <v>111</v>
      </c>
      <c r="C68" s="400"/>
      <c r="D68" s="400"/>
      <c r="E68" s="400"/>
      <c r="F68" s="400"/>
      <c r="G68" s="400"/>
      <c r="H68" s="441"/>
      <c r="I68" s="441"/>
      <c r="J68" s="441"/>
      <c r="K68" s="441"/>
      <c r="L68" s="442"/>
      <c r="M68" s="443"/>
      <c r="N68" s="435"/>
      <c r="O68" s="435"/>
      <c r="P68" s="444"/>
      <c r="Q68" s="436"/>
    </row>
    <row r="69" spans="1:17" s="352" customFormat="1" ht="14.4" thickBot="1">
      <c r="A69" s="445"/>
      <c r="B69" s="446"/>
      <c r="C69" s="447"/>
      <c r="D69" s="447"/>
      <c r="E69" s="447"/>
      <c r="F69" s="447"/>
      <c r="G69" s="447"/>
      <c r="H69" s="448"/>
      <c r="I69" s="448"/>
      <c r="J69" s="448"/>
      <c r="K69" s="448"/>
      <c r="L69" s="448"/>
      <c r="M69" s="449"/>
      <c r="N69" s="435"/>
      <c r="O69" s="435"/>
      <c r="P69" s="435"/>
      <c r="Q69" s="436"/>
    </row>
    <row r="70" spans="1:17" ht="14.4">
      <c r="A70" s="324" t="s">
        <v>2030</v>
      </c>
      <c r="B70" s="404" t="s">
        <v>2164</v>
      </c>
      <c r="C70" s="450" t="s">
        <v>2069</v>
      </c>
      <c r="D70" s="450" t="s">
        <v>2070</v>
      </c>
      <c r="E70" s="450" t="s">
        <v>2071</v>
      </c>
      <c r="F70" s="450" t="s">
        <v>2072</v>
      </c>
      <c r="G70" s="450" t="s">
        <v>2073</v>
      </c>
      <c r="H70" s="405"/>
      <c r="I70" s="405"/>
      <c r="J70" s="405"/>
      <c r="K70" s="451"/>
      <c r="L70" s="452"/>
      <c r="M70" s="453"/>
      <c r="N70" s="410"/>
      <c r="O70" s="410"/>
      <c r="P70" s="454"/>
      <c r="Q70" s="383"/>
    </row>
    <row r="71" spans="1:17" ht="14.4"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 thickTop="1">
      <c r="A72" s="313"/>
      <c r="B72" s="415" t="s">
        <v>2074</v>
      </c>
      <c r="C72" s="455" t="s">
        <v>2069</v>
      </c>
      <c r="D72" s="455" t="s">
        <v>2070</v>
      </c>
      <c r="E72" s="455" t="s">
        <v>2071</v>
      </c>
      <c r="F72" s="455" t="s">
        <v>2072</v>
      </c>
      <c r="G72" s="455" t="s">
        <v>2073</v>
      </c>
      <c r="H72" s="416"/>
      <c r="I72" s="416"/>
      <c r="J72" s="416"/>
      <c r="K72" s="417"/>
      <c r="L72" s="418"/>
      <c r="M72" s="419"/>
      <c r="N72" s="410"/>
      <c r="O72" s="410"/>
      <c r="P72" s="17"/>
      <c r="Q72" s="383"/>
    </row>
    <row r="73" spans="1:17" ht="14.4"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 thickTop="1">
      <c r="A74" s="313"/>
      <c r="B74" s="415" t="s">
        <v>2075</v>
      </c>
      <c r="C74" s="455" t="s">
        <v>2069</v>
      </c>
      <c r="D74" s="455" t="s">
        <v>2070</v>
      </c>
      <c r="E74" s="455" t="s">
        <v>2071</v>
      </c>
      <c r="F74" s="455" t="s">
        <v>2072</v>
      </c>
      <c r="G74" s="455" t="s">
        <v>2073</v>
      </c>
      <c r="H74" s="416"/>
      <c r="I74" s="416"/>
      <c r="J74" s="416"/>
      <c r="K74" s="417"/>
      <c r="L74" s="418"/>
      <c r="M74" s="419"/>
      <c r="N74" s="410"/>
      <c r="O74" s="410"/>
      <c r="P74" s="17"/>
      <c r="Q74" s="383"/>
    </row>
    <row r="75" spans="1:17" ht="14.4"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 thickTop="1">
      <c r="A76" s="313"/>
      <c r="B76" s="423" t="s">
        <v>2147</v>
      </c>
      <c r="C76" s="416" t="s">
        <v>2076</v>
      </c>
      <c r="D76" s="416" t="s">
        <v>2077</v>
      </c>
      <c r="E76" s="416" t="s">
        <v>2078</v>
      </c>
      <c r="F76" s="416" t="s">
        <v>2079</v>
      </c>
      <c r="G76" s="416" t="s">
        <v>2080</v>
      </c>
      <c r="H76" s="416"/>
      <c r="I76" s="416"/>
      <c r="J76" s="416"/>
      <c r="K76" s="416"/>
      <c r="L76" s="416"/>
      <c r="M76" s="1010"/>
      <c r="N76" s="414"/>
      <c r="O76" s="414"/>
      <c r="P76" s="17"/>
      <c r="Q76" s="383"/>
    </row>
    <row r="77" spans="1:17" ht="14.4"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 thickTop="1">
      <c r="A78" s="313"/>
      <c r="B78" s="415" t="s">
        <v>2157</v>
      </c>
      <c r="C78" s="455" t="s">
        <v>2069</v>
      </c>
      <c r="D78" s="455" t="s">
        <v>2070</v>
      </c>
      <c r="E78" s="455" t="s">
        <v>2071</v>
      </c>
      <c r="F78" s="455" t="s">
        <v>2072</v>
      </c>
      <c r="G78" s="455" t="s">
        <v>2073</v>
      </c>
      <c r="H78" s="416"/>
      <c r="I78" s="416"/>
      <c r="J78" s="416"/>
      <c r="K78" s="417"/>
      <c r="L78" s="418"/>
      <c r="M78" s="419"/>
      <c r="N78" s="410"/>
      <c r="O78" s="410"/>
      <c r="P78" s="17"/>
      <c r="Q78" s="383"/>
    </row>
    <row r="79" spans="1:17" ht="14.4"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4" thickTop="1">
      <c r="A80" s="316"/>
      <c r="B80" s="415">
        <f>B25</f>
        <v>111</v>
      </c>
      <c r="C80" s="431"/>
      <c r="D80" s="431"/>
      <c r="E80" s="431"/>
      <c r="F80" s="431"/>
      <c r="G80" s="431"/>
      <c r="H80" s="431"/>
      <c r="I80" s="431"/>
      <c r="J80" s="431"/>
      <c r="K80" s="431"/>
      <c r="L80" s="456"/>
      <c r="M80" s="457"/>
      <c r="N80" s="17"/>
      <c r="O80" s="17"/>
      <c r="P80" s="17"/>
      <c r="Q80" s="383"/>
    </row>
    <row r="81" spans="1:17" s="24" customFormat="1" ht="14.4" thickBot="1">
      <c r="A81" s="316"/>
      <c r="B81" s="420"/>
      <c r="C81" s="437"/>
      <c r="D81" s="412"/>
      <c r="E81" s="412"/>
      <c r="F81" s="412"/>
      <c r="G81" s="412"/>
      <c r="H81" s="412"/>
      <c r="I81" s="412"/>
      <c r="J81" s="412"/>
      <c r="K81" s="412"/>
      <c r="L81" s="412"/>
      <c r="M81" s="413"/>
      <c r="N81" s="414"/>
      <c r="O81" s="414"/>
      <c r="P81" s="17"/>
      <c r="Q81" s="383"/>
    </row>
    <row r="82" spans="1:17" s="24" customFormat="1" ht="14.4" thickTop="1">
      <c r="A82" s="316"/>
      <c r="B82" s="415">
        <f>B26</f>
        <v>111</v>
      </c>
      <c r="C82" s="431"/>
      <c r="D82" s="431"/>
      <c r="E82" s="431"/>
      <c r="F82" s="431"/>
      <c r="G82" s="431"/>
      <c r="H82" s="431"/>
      <c r="I82" s="431"/>
      <c r="J82" s="431"/>
      <c r="K82" s="431"/>
      <c r="L82" s="456"/>
      <c r="M82" s="457"/>
      <c r="N82" s="17"/>
      <c r="O82" s="17"/>
      <c r="P82" s="17"/>
      <c r="Q82" s="383"/>
    </row>
    <row r="83" spans="1:17" s="24" customFormat="1" ht="14.4" thickBot="1">
      <c r="A83" s="316"/>
      <c r="B83" s="420"/>
      <c r="C83" s="437"/>
      <c r="D83" s="412"/>
      <c r="E83" s="412"/>
      <c r="F83" s="412"/>
      <c r="G83" s="412"/>
      <c r="H83" s="412"/>
      <c r="I83" s="412"/>
      <c r="J83" s="412"/>
      <c r="K83" s="412"/>
      <c r="L83" s="412"/>
      <c r="M83" s="413"/>
      <c r="N83" s="414"/>
      <c r="O83" s="414"/>
      <c r="P83" s="17"/>
      <c r="Q83" s="383"/>
    </row>
    <row r="84" spans="1:17" s="352" customFormat="1" ht="14.4" thickTop="1">
      <c r="A84" s="430"/>
      <c r="B84" s="415">
        <f>B27</f>
        <v>111</v>
      </c>
      <c r="C84" s="431"/>
      <c r="D84" s="431"/>
      <c r="E84" s="431"/>
      <c r="F84" s="431"/>
      <c r="G84" s="431"/>
      <c r="H84" s="431"/>
      <c r="I84" s="431"/>
      <c r="J84" s="431"/>
      <c r="K84" s="431"/>
      <c r="L84" s="456"/>
      <c r="M84" s="457"/>
      <c r="N84" s="435"/>
      <c r="O84" s="435"/>
      <c r="P84" s="435"/>
      <c r="Q84" s="436"/>
    </row>
    <row r="85" spans="1:17" s="352" customFormat="1" ht="14.4" thickBot="1">
      <c r="A85" s="430"/>
      <c r="B85" s="420"/>
      <c r="C85" s="437"/>
      <c r="D85" s="412"/>
      <c r="E85" s="412"/>
      <c r="F85" s="412"/>
      <c r="G85" s="412"/>
      <c r="H85" s="412"/>
      <c r="I85" s="412"/>
      <c r="J85" s="412"/>
      <c r="K85" s="412"/>
      <c r="L85" s="412"/>
      <c r="M85" s="413"/>
      <c r="N85" s="435"/>
      <c r="O85" s="435"/>
      <c r="P85" s="435"/>
      <c r="Q85" s="436"/>
    </row>
    <row r="86" spans="1:17" ht="14.4" thickTop="1">
      <c r="A86" s="313"/>
      <c r="B86" s="423">
        <f>B28</f>
        <v>111</v>
      </c>
      <c r="C86" s="400"/>
      <c r="D86" s="400"/>
      <c r="E86" s="400"/>
      <c r="F86" s="400"/>
      <c r="G86" s="463"/>
      <c r="H86" s="463"/>
      <c r="I86" s="463"/>
      <c r="J86" s="463"/>
      <c r="K86" s="464"/>
      <c r="L86" s="465"/>
      <c r="M86" s="466"/>
      <c r="N86" s="410"/>
      <c r="O86" s="410"/>
      <c r="P86" s="17"/>
      <c r="Q86" s="383"/>
    </row>
    <row r="87" spans="1:17" ht="14.4" thickBot="1">
      <c r="A87" s="321"/>
      <c r="B87" s="446"/>
      <c r="C87" s="447"/>
      <c r="D87" s="447"/>
      <c r="E87" s="447"/>
      <c r="F87" s="447"/>
      <c r="G87" s="467"/>
      <c r="H87" s="467"/>
      <c r="I87" s="467"/>
      <c r="J87" s="467"/>
      <c r="K87" s="467"/>
      <c r="L87" s="467"/>
      <c r="M87" s="468"/>
      <c r="N87" s="414"/>
      <c r="O87" s="414"/>
      <c r="P87" s="17"/>
      <c r="Q87" s="383"/>
    </row>
    <row r="88" spans="1:17" ht="14.4">
      <c r="A88" s="324" t="s">
        <v>2035</v>
      </c>
      <c r="B88" s="404" t="s">
        <v>2084</v>
      </c>
      <c r="C88" s="406"/>
      <c r="D88" s="406"/>
      <c r="E88" s="406"/>
      <c r="F88" s="406"/>
      <c r="G88" s="406"/>
      <c r="H88" s="406"/>
      <c r="I88" s="406"/>
      <c r="J88" s="406"/>
      <c r="K88" s="407"/>
      <c r="L88" s="408"/>
      <c r="M88" s="409"/>
      <c r="N88" s="410"/>
      <c r="O88" s="410"/>
      <c r="P88" s="17"/>
      <c r="Q88" s="383"/>
    </row>
    <row r="89" spans="1:17" ht="14.4"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 thickTop="1">
      <c r="A90" s="313"/>
      <c r="B90" s="415" t="s">
        <v>2085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2086</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2088</v>
      </c>
      <c r="C95" s="431"/>
      <c r="D95" s="431"/>
      <c r="E95" s="431"/>
      <c r="F95" s="459"/>
      <c r="G95" s="459"/>
      <c r="H95" s="459"/>
      <c r="I95" s="459"/>
      <c r="J95" s="459"/>
      <c r="K95" s="460"/>
      <c r="L95" s="461"/>
      <c r="M95" s="462"/>
      <c r="N95" s="410"/>
      <c r="O95" s="410"/>
      <c r="P95" s="17"/>
      <c r="Q95" s="383"/>
    </row>
    <row r="96" spans="1:17" ht="14.4"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4"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2090</v>
      </c>
      <c r="C100" s="431"/>
      <c r="D100" s="431"/>
      <c r="E100" s="431"/>
      <c r="F100" s="431"/>
      <c r="G100" s="431"/>
      <c r="H100" s="459"/>
      <c r="I100" s="459"/>
      <c r="J100" s="459"/>
      <c r="K100" s="460"/>
      <c r="L100" s="461"/>
      <c r="M100" s="462"/>
      <c r="N100" s="435"/>
      <c r="O100" s="435"/>
      <c r="P100" s="435"/>
      <c r="Q100" s="436"/>
    </row>
    <row r="101" spans="1:17" s="352" customFormat="1" ht="14.4"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2091</v>
      </c>
      <c r="C102" s="431"/>
      <c r="D102" s="431"/>
      <c r="E102" s="431"/>
      <c r="F102" s="431"/>
      <c r="G102" s="431"/>
      <c r="H102" s="459"/>
      <c r="I102" s="459"/>
      <c r="J102" s="459"/>
      <c r="K102" s="460"/>
      <c r="L102" s="461"/>
      <c r="M102" s="462"/>
      <c r="N102" s="410"/>
      <c r="O102" s="410"/>
      <c r="P102" s="17"/>
      <c r="Q102" s="383"/>
    </row>
    <row r="103" spans="1:17" ht="14.4"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2093</v>
      </c>
      <c r="C104" s="431"/>
      <c r="D104" s="431"/>
      <c r="E104" s="431"/>
      <c r="F104" s="431"/>
      <c r="G104" s="431"/>
      <c r="H104" s="459"/>
      <c r="I104" s="459"/>
      <c r="J104" s="459"/>
      <c r="K104" s="460"/>
      <c r="L104" s="461"/>
      <c r="M104" s="462"/>
      <c r="N104" s="410"/>
      <c r="O104" s="410"/>
      <c r="P104" s="17"/>
      <c r="Q104" s="383"/>
    </row>
    <row r="105" spans="1:17" ht="14.4"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9.4" thickTop="1">
      <c r="A106" s="353"/>
      <c r="B106" s="503" t="s">
        <v>2165</v>
      </c>
      <c r="C106" s="455" t="s">
        <v>2069</v>
      </c>
      <c r="D106" s="455" t="s">
        <v>2070</v>
      </c>
      <c r="E106" s="455" t="s">
        <v>2071</v>
      </c>
      <c r="F106" s="455" t="s">
        <v>2072</v>
      </c>
      <c r="G106" s="455" t="s">
        <v>2073</v>
      </c>
      <c r="H106" s="416"/>
      <c r="I106" s="416"/>
      <c r="J106" s="416"/>
      <c r="K106" s="417"/>
      <c r="L106" s="418"/>
      <c r="M106" s="419"/>
      <c r="N106" s="414"/>
      <c r="O106" s="414"/>
      <c r="P106" s="414"/>
      <c r="Q106" s="504"/>
    </row>
    <row r="107" spans="1:17" ht="14.4"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4"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4" thickBot="1">
      <c r="A109" s="430"/>
      <c r="B109" s="411"/>
      <c r="C109" s="437"/>
      <c r="D109" s="412"/>
      <c r="E109" s="412"/>
      <c r="F109" s="412"/>
      <c r="G109" s="437"/>
      <c r="H109" s="439"/>
      <c r="I109" s="439"/>
      <c r="J109" s="439"/>
      <c r="K109" s="439"/>
      <c r="L109" s="439"/>
      <c r="M109" s="440"/>
      <c r="N109" s="435"/>
      <c r="O109" s="435"/>
      <c r="P109" s="435"/>
      <c r="Q109" s="436"/>
    </row>
    <row r="110" spans="1:17" ht="14.4" thickTop="1">
      <c r="A110" s="353"/>
      <c r="B110" s="415">
        <f>B39</f>
        <v>111</v>
      </c>
      <c r="C110" s="431"/>
      <c r="D110" s="431"/>
      <c r="E110" s="431"/>
      <c r="F110" s="431"/>
      <c r="G110" s="431"/>
      <c r="H110" s="432"/>
      <c r="I110" s="432"/>
      <c r="J110" s="432"/>
      <c r="K110" s="432"/>
      <c r="L110" s="433"/>
      <c r="M110" s="434"/>
      <c r="N110" s="410"/>
      <c r="O110" s="410"/>
      <c r="P110" s="17"/>
      <c r="Q110" s="383"/>
    </row>
    <row r="111" spans="1:17" ht="14.4" thickBot="1">
      <c r="A111" s="313"/>
      <c r="B111" s="420"/>
      <c r="C111" s="437"/>
      <c r="D111" s="412"/>
      <c r="E111" s="412"/>
      <c r="F111" s="412"/>
      <c r="G111" s="437"/>
      <c r="H111" s="439"/>
      <c r="I111" s="439"/>
      <c r="J111" s="439"/>
      <c r="K111" s="439"/>
      <c r="L111" s="439"/>
      <c r="M111" s="440"/>
      <c r="N111" s="414"/>
      <c r="O111" s="414"/>
      <c r="P111" s="17"/>
      <c r="Q111" s="383"/>
    </row>
    <row r="112" spans="1:17" ht="14.4" thickTop="1">
      <c r="A112" s="353"/>
      <c r="B112" s="423">
        <f>B40</f>
        <v>111</v>
      </c>
      <c r="C112" s="400"/>
      <c r="D112" s="400"/>
      <c r="E112" s="400"/>
      <c r="F112" s="400"/>
      <c r="G112" s="463"/>
      <c r="H112" s="463"/>
      <c r="I112" s="463"/>
      <c r="J112" s="463"/>
      <c r="K112" s="400"/>
      <c r="L112" s="401"/>
      <c r="M112" s="466"/>
      <c r="N112" s="410"/>
      <c r="O112" s="410"/>
      <c r="P112" s="17"/>
      <c r="Q112" s="383"/>
    </row>
    <row r="113" spans="1:17" ht="14.4"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5.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2166</v>
      </c>
      <c r="B1" s="1421"/>
      <c r="C1" s="1094"/>
      <c r="D1" s="1095"/>
      <c r="E1" s="1402"/>
      <c r="F1" s="1096" t="s">
        <v>2004</v>
      </c>
      <c r="G1" s="1095"/>
      <c r="H1" s="1095"/>
      <c r="I1" s="1095"/>
      <c r="J1" s="1095"/>
      <c r="K1" s="1097"/>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IF(D2="——",IF(B37="元/平方米",IF(C2="元",ROUND(C39*D3,0),ROUND(C39*D3/10000,0)),IF(C2="元",ROUND(F3*C39,0),ROUND(F3*C39/10000,0))),IF(B37="元/平方米",IF(C2="元",ROUND(C39*D3,0),ROUND(C39*D3/10000,0)),IF(C2="元",ROUND(F3*C39,0),ROUND(F3*C39/10000,0)))-E2)</f>
        <v>#DIV/0!</v>
      </c>
      <c r="C2" s="75" t="str">
        <f>'数据-取费表'!B3</f>
        <v>元</v>
      </c>
      <c r="D2" s="1403"/>
      <c r="E2" s="843" t="e">
        <f ca="1">SUMIF(INDIRECT("'"&amp;G2&amp;"'"&amp;"!A:A"),"承租人权益价值",INDIRECT("'"&amp;G2&amp;"'"&amp;"!c:c"))</f>
        <v>#REF!</v>
      </c>
      <c r="F2" s="1404" t="str">
        <f>C2</f>
        <v>元</v>
      </c>
      <c r="G2" s="1405"/>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IF(AND(D2="——",B37="元/平方米"),C39,ROUND(F3*C39/D3,0))</f>
        <v>#DIV/0!</v>
      </c>
      <c r="C3" s="289" t="s">
        <v>2005</v>
      </c>
      <c r="D3" s="288">
        <f>IF(C1="仅计算典型户型",'数据-取费表'!E5,'数据-取费表'!B5)</f>
        <v>165.59</v>
      </c>
      <c r="E3" s="761" t="s">
        <v>2167</v>
      </c>
      <c r="F3" s="289">
        <f>'数据-取费表'!B42</f>
        <v>0</v>
      </c>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89" t="s">
        <v>2007</v>
      </c>
      <c r="D4" s="3390"/>
      <c r="E4" s="3391" t="s">
        <v>2008</v>
      </c>
      <c r="F4" s="3392"/>
      <c r="G4" s="3389" t="s">
        <v>2009</v>
      </c>
      <c r="H4" s="3390"/>
      <c r="I4" s="3389" t="s">
        <v>2010</v>
      </c>
      <c r="J4" s="3390"/>
      <c r="K4" s="482" t="s">
        <v>2011</v>
      </c>
      <c r="L4" s="2716"/>
      <c r="P4" s="3393" t="s">
        <v>2012</v>
      </c>
      <c r="Q4" s="3394"/>
      <c r="R4" s="3376" t="s">
        <v>2008</v>
      </c>
      <c r="S4" s="3377"/>
      <c r="T4" s="3376" t="s">
        <v>2009</v>
      </c>
      <c r="U4" s="3377"/>
      <c r="V4" s="3367" t="s">
        <v>2010</v>
      </c>
      <c r="W4" s="3367"/>
      <c r="X4" s="1202"/>
      <c r="Y4" s="3376" t="s">
        <v>2012</v>
      </c>
      <c r="Z4" s="3377"/>
      <c r="AA4" s="3386" t="s">
        <v>2008</v>
      </c>
      <c r="AB4" s="3387" t="s">
        <v>2009</v>
      </c>
      <c r="AC4" s="3386" t="s">
        <v>2010</v>
      </c>
    </row>
    <row r="5" spans="1:29">
      <c r="A5" s="293"/>
      <c r="B5" s="294"/>
      <c r="C5" s="3401" t="s">
        <v>2013</v>
      </c>
      <c r="D5" s="3402"/>
      <c r="E5" s="3399" t="s">
        <v>2014</v>
      </c>
      <c r="F5" s="3400"/>
      <c r="G5" s="3401" t="s">
        <v>2015</v>
      </c>
      <c r="H5" s="3402"/>
      <c r="I5" s="3401" t="s">
        <v>2016</v>
      </c>
      <c r="J5" s="3402"/>
      <c r="K5" s="482"/>
      <c r="L5" s="2716"/>
      <c r="P5" s="3395"/>
      <c r="Q5" s="3396"/>
      <c r="R5" s="3378"/>
      <c r="S5" s="3379"/>
      <c r="T5" s="3378"/>
      <c r="U5" s="3379"/>
      <c r="V5" s="3367"/>
      <c r="W5" s="3367"/>
      <c r="X5" s="1202"/>
      <c r="Y5" s="3378"/>
      <c r="Z5" s="3379"/>
      <c r="AA5" s="3387"/>
      <c r="AB5" s="3387"/>
      <c r="AC5" s="3387"/>
    </row>
    <row r="6" spans="1:29" ht="15" thickBot="1">
      <c r="A6" s="295"/>
      <c r="B6" s="296"/>
      <c r="C6" s="3403" t="s">
        <v>2017</v>
      </c>
      <c r="D6" s="3404"/>
      <c r="E6" s="3405" t="s">
        <v>2017</v>
      </c>
      <c r="F6" s="3406"/>
      <c r="G6" s="3403" t="s">
        <v>2017</v>
      </c>
      <c r="H6" s="3404"/>
      <c r="I6" s="3403" t="s">
        <v>2017</v>
      </c>
      <c r="J6" s="3404"/>
      <c r="K6" s="482" t="s">
        <v>2018</v>
      </c>
      <c r="L6" s="2716"/>
      <c r="P6" s="3397"/>
      <c r="Q6" s="3398"/>
      <c r="R6" s="3378"/>
      <c r="S6" s="3379"/>
      <c r="T6" s="3380"/>
      <c r="U6" s="3381"/>
      <c r="V6" s="3367"/>
      <c r="W6" s="3367"/>
      <c r="X6" s="1202"/>
      <c r="Y6" s="3380"/>
      <c r="Z6" s="3381"/>
      <c r="AA6" s="3388"/>
      <c r="AB6" s="3388"/>
      <c r="AC6" s="3388"/>
    </row>
    <row r="7" spans="1:29" s="24" customFormat="1" ht="15" thickBot="1">
      <c r="A7" s="297" t="s">
        <v>2019</v>
      </c>
      <c r="B7" s="298"/>
      <c r="C7" s="299">
        <f>'数据-取费表'!B2</f>
        <v>44901</v>
      </c>
      <c r="D7" s="300">
        <v>100</v>
      </c>
      <c r="E7" s="301"/>
      <c r="F7" s="302">
        <f>SUMIF(48:48,YEAR(E7)&amp;"-"&amp;MONTH(E7),49:49)</f>
        <v>0</v>
      </c>
      <c r="G7" s="301"/>
      <c r="H7" s="300">
        <f>SUMIF(48:48,YEAR(G7)&amp;"-"&amp;MONTH(G7),49:49)</f>
        <v>0</v>
      </c>
      <c r="I7" s="301"/>
      <c r="J7" s="300">
        <f>SUMIF(48:48,YEAR(I7)&amp;"-"&amp;MONTH(I7),49:49)</f>
        <v>0</v>
      </c>
      <c r="K7" s="483"/>
      <c r="L7" s="2717"/>
      <c r="P7" s="3374" t="s">
        <v>2020</v>
      </c>
      <c r="Q7" s="3382"/>
      <c r="R7" s="601" t="s">
        <v>25</v>
      </c>
      <c r="S7" s="602">
        <f t="shared" ref="S7:S14" si="0">F7</f>
        <v>0</v>
      </c>
      <c r="T7" s="601" t="s">
        <v>25</v>
      </c>
      <c r="U7" s="602">
        <f t="shared" ref="U7:U14" si="1">H7</f>
        <v>0</v>
      </c>
      <c r="V7" s="601" t="s">
        <v>25</v>
      </c>
      <c r="W7" s="602">
        <f t="shared" ref="W7:W14" si="2">J7</f>
        <v>0</v>
      </c>
      <c r="X7" s="603"/>
      <c r="Y7" s="3374" t="s">
        <v>2020</v>
      </c>
      <c r="Z7" s="3375"/>
      <c r="AA7" s="18" t="e">
        <f>D7/F7</f>
        <v>#DIV/0!</v>
      </c>
      <c r="AB7" s="18" t="e">
        <f>D7/H7</f>
        <v>#DIV/0!</v>
      </c>
      <c r="AC7" s="18" t="e">
        <f>D7/J7</f>
        <v>#DIV/0!</v>
      </c>
    </row>
    <row r="8" spans="1:29" s="24" customFormat="1" ht="15" thickBot="1">
      <c r="A8" s="297" t="s">
        <v>2021</v>
      </c>
      <c r="B8" s="298"/>
      <c r="C8" s="303" t="s">
        <v>2022</v>
      </c>
      <c r="D8" s="300">
        <v>100</v>
      </c>
      <c r="E8" s="303"/>
      <c r="F8" s="302">
        <f>SUMIF(51:51,E8,52:52)-SUMIF(51:51,C8,52:52)+100</f>
        <v>0</v>
      </c>
      <c r="G8" s="303"/>
      <c r="H8" s="300">
        <f>SUMIF(51:51,G8,52:52)-SUMIF(51:51,C8,52:52)+100</f>
        <v>0</v>
      </c>
      <c r="I8" s="303"/>
      <c r="J8" s="300">
        <f>SUMIF(51:51,I8,52:52)-SUMIF(51:51,C8,52:52)+100</f>
        <v>0</v>
      </c>
      <c r="K8" s="483"/>
      <c r="L8" s="2717"/>
      <c r="P8" s="3374" t="s">
        <v>2023</v>
      </c>
      <c r="Q8" s="3375"/>
      <c r="R8" s="601" t="s">
        <v>25</v>
      </c>
      <c r="S8" s="602">
        <f t="shared" si="0"/>
        <v>0</v>
      </c>
      <c r="T8" s="601" t="s">
        <v>25</v>
      </c>
      <c r="U8" s="602">
        <f t="shared" si="1"/>
        <v>0</v>
      </c>
      <c r="V8" s="601" t="s">
        <v>25</v>
      </c>
      <c r="W8" s="602">
        <f t="shared" si="2"/>
        <v>0</v>
      </c>
      <c r="X8" s="603"/>
      <c r="Y8" s="3374" t="s">
        <v>2023</v>
      </c>
      <c r="Z8" s="3375"/>
      <c r="AA8" s="18" t="e">
        <f t="shared" ref="AA8:AA36" si="3">D8/F8</f>
        <v>#DIV/0!</v>
      </c>
      <c r="AB8" s="18" t="e">
        <f t="shared" ref="AB8:AB36" si="4">D8/H8</f>
        <v>#DIV/0!</v>
      </c>
      <c r="AC8" s="18" t="e">
        <f t="shared" ref="AC8:AC36" si="5">D8/J8</f>
        <v>#DIV/0!</v>
      </c>
    </row>
    <row r="9" spans="1:29" s="24" customFormat="1" ht="14.4">
      <c r="A9" s="20" t="s">
        <v>2024</v>
      </c>
      <c r="B9" s="506" t="s">
        <v>2025</v>
      </c>
      <c r="C9" s="305"/>
      <c r="D9" s="22">
        <v>100</v>
      </c>
      <c r="E9" s="307"/>
      <c r="F9" s="22">
        <f>SUMIF(53:53,E9,54:54)-SUMIF(53:53,C9,54:54)+100</f>
        <v>100</v>
      </c>
      <c r="G9" s="306"/>
      <c r="H9" s="22">
        <f>SUMIF(53:53,G9,54:54)-SUMIF(53:53,C9,54:54)+100</f>
        <v>100</v>
      </c>
      <c r="I9" s="306"/>
      <c r="J9" s="22">
        <f>SUMIF(53:53,I9,54:54)-SUMIF(53:53,C9,54:54)+100</f>
        <v>100</v>
      </c>
      <c r="K9" s="483"/>
      <c r="L9" s="2717"/>
      <c r="O9" s="2718"/>
      <c r="P9" s="3366" t="s">
        <v>2026</v>
      </c>
      <c r="Q9" s="477" t="str">
        <f t="shared" ref="Q9:Q14" si="6">B9</f>
        <v>用途</v>
      </c>
      <c r="R9" s="601" t="s">
        <v>25</v>
      </c>
      <c r="S9" s="602">
        <f t="shared" si="0"/>
        <v>100</v>
      </c>
      <c r="T9" s="601" t="s">
        <v>25</v>
      </c>
      <c r="U9" s="602">
        <f t="shared" si="1"/>
        <v>100</v>
      </c>
      <c r="V9" s="601" t="s">
        <v>25</v>
      </c>
      <c r="W9" s="602">
        <f t="shared" si="2"/>
        <v>100</v>
      </c>
      <c r="X9" s="603"/>
      <c r="Y9" s="3385" t="s">
        <v>2027</v>
      </c>
      <c r="Z9" s="18" t="str">
        <f t="shared" ref="Z9:Z14" si="7">Q9</f>
        <v>用途</v>
      </c>
      <c r="AA9" s="18">
        <f t="shared" si="3"/>
        <v>1</v>
      </c>
      <c r="AB9" s="18">
        <f t="shared" si="4"/>
        <v>1</v>
      </c>
      <c r="AC9" s="18">
        <f t="shared" si="5"/>
        <v>1</v>
      </c>
    </row>
    <row r="10" spans="1:29" s="312" customFormat="1" ht="28.8">
      <c r="A10" s="507"/>
      <c r="B10" s="508" t="s">
        <v>2028</v>
      </c>
      <c r="C10" s="310"/>
      <c r="D10" s="25">
        <v>100</v>
      </c>
      <c r="E10" s="310"/>
      <c r="F10" s="25">
        <f>SUMIF(55:55,E10,56:56)-SUMIF(55:55,C10,56:56)+100</f>
        <v>100</v>
      </c>
      <c r="G10" s="311"/>
      <c r="H10" s="25">
        <f>SUMIF(55:55,G10,56:56)-SUMIF(55:55,C10,56:56)+100</f>
        <v>100</v>
      </c>
      <c r="I10" s="310"/>
      <c r="J10" s="25">
        <f>SUMIF(55:55,I10,56:56)-SUMIF(55:55,C10,56:56)+100</f>
        <v>100</v>
      </c>
      <c r="K10" s="484"/>
      <c r="L10" s="2719"/>
      <c r="O10" s="2720"/>
      <c r="P10" s="3366"/>
      <c r="Q10" s="477" t="str">
        <f t="shared" si="6"/>
        <v>土地使用年限（年）</v>
      </c>
      <c r="R10" s="601" t="s">
        <v>25</v>
      </c>
      <c r="S10" s="602">
        <f t="shared" si="0"/>
        <v>100</v>
      </c>
      <c r="T10" s="601" t="s">
        <v>25</v>
      </c>
      <c r="U10" s="602">
        <f t="shared" si="1"/>
        <v>100</v>
      </c>
      <c r="V10" s="601" t="s">
        <v>25</v>
      </c>
      <c r="W10" s="602">
        <f t="shared" si="2"/>
        <v>100</v>
      </c>
      <c r="X10" s="603"/>
      <c r="Y10" s="3385"/>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21"/>
      <c r="O11" s="2722"/>
      <c r="P11" s="3366"/>
      <c r="Q11" s="477">
        <f t="shared" si="6"/>
        <v>111</v>
      </c>
      <c r="R11" s="601" t="s">
        <v>25</v>
      </c>
      <c r="S11" s="602">
        <f t="shared" si="0"/>
        <v>100</v>
      </c>
      <c r="T11" s="601" t="s">
        <v>25</v>
      </c>
      <c r="U11" s="602">
        <f t="shared" si="1"/>
        <v>100</v>
      </c>
      <c r="V11" s="601" t="s">
        <v>25</v>
      </c>
      <c r="W11" s="602">
        <f t="shared" si="2"/>
        <v>100</v>
      </c>
      <c r="X11" s="603"/>
      <c r="Y11" s="3385"/>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7"/>
      <c r="O12" s="2718"/>
      <c r="P12" s="3366"/>
      <c r="Q12" s="477">
        <f t="shared" si="6"/>
        <v>111</v>
      </c>
      <c r="R12" s="601" t="s">
        <v>25</v>
      </c>
      <c r="S12" s="602">
        <f t="shared" si="0"/>
        <v>100</v>
      </c>
      <c r="T12" s="601" t="s">
        <v>25</v>
      </c>
      <c r="U12" s="602">
        <f t="shared" si="1"/>
        <v>100</v>
      </c>
      <c r="V12" s="601" t="s">
        <v>25</v>
      </c>
      <c r="W12" s="602">
        <f t="shared" si="2"/>
        <v>100</v>
      </c>
      <c r="X12" s="603"/>
      <c r="Y12" s="3385"/>
      <c r="Z12" s="18">
        <f t="shared" si="7"/>
        <v>111</v>
      </c>
      <c r="AA12" s="18">
        <f>D12/F12</f>
        <v>1</v>
      </c>
      <c r="AB12" s="18">
        <f>D12/H12</f>
        <v>1</v>
      </c>
      <c r="AC12" s="18">
        <f>D12/J12</f>
        <v>1</v>
      </c>
    </row>
    <row r="13" spans="1:29" ht="15.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3"/>
      <c r="O13" s="2722"/>
      <c r="P13" s="3366"/>
      <c r="Q13" s="477">
        <f t="shared" si="6"/>
        <v>111</v>
      </c>
      <c r="R13" s="601" t="s">
        <v>25</v>
      </c>
      <c r="S13" s="602">
        <f t="shared" si="0"/>
        <v>100</v>
      </c>
      <c r="T13" s="601" t="s">
        <v>25</v>
      </c>
      <c r="U13" s="602">
        <f t="shared" si="1"/>
        <v>100</v>
      </c>
      <c r="V13" s="601" t="s">
        <v>25</v>
      </c>
      <c r="W13" s="602">
        <f t="shared" si="2"/>
        <v>100</v>
      </c>
      <c r="X13" s="603"/>
      <c r="Y13" s="3385"/>
      <c r="Z13" s="18">
        <f t="shared" si="7"/>
        <v>111</v>
      </c>
      <c r="AA13" s="18">
        <f t="shared" si="3"/>
        <v>1</v>
      </c>
      <c r="AB13" s="18">
        <f t="shared" si="4"/>
        <v>1</v>
      </c>
      <c r="AC13" s="18">
        <f t="shared" si="5"/>
        <v>1</v>
      </c>
    </row>
    <row r="14" spans="1:29" ht="96.6">
      <c r="A14" s="290" t="s">
        <v>2030</v>
      </c>
      <c r="B14" s="497" t="s">
        <v>2168</v>
      </c>
      <c r="C14" s="1023" t="str">
        <f>IF(B1="工业",估价对象房地状况!G4,估价对象房地状况!C6)</f>
        <v>估价对象周边道路状况、公共交通通达情况、停车便捷程度，综合评价交通便捷度较好</v>
      </c>
      <c r="D14" s="1017">
        <v>100</v>
      </c>
      <c r="E14" s="326"/>
      <c r="F14" s="325">
        <f>SUMIF(63:63,E15,64:64)-SUMIF(63:63,C15,64:64)+100</f>
        <v>100</v>
      </c>
      <c r="G14" s="326"/>
      <c r="H14" s="325">
        <f>SUMIF(63:63,G15,64:64)-SUMIF(63:63,C15,64:64)+100</f>
        <v>100</v>
      </c>
      <c r="I14" s="326"/>
      <c r="J14" s="325">
        <f>SUMIF(63:63,I15,64:64)-SUMIF(63:63,C15,64:64)+100</f>
        <v>100</v>
      </c>
      <c r="K14" s="486"/>
      <c r="L14" s="2723"/>
      <c r="O14" s="2722"/>
      <c r="P14" s="3383" t="s">
        <v>2031</v>
      </c>
      <c r="Q14" s="636" t="str">
        <f t="shared" si="6"/>
        <v>交通便捷度</v>
      </c>
      <c r="R14" s="604" t="s">
        <v>25</v>
      </c>
      <c r="S14" s="605">
        <f t="shared" si="0"/>
        <v>100</v>
      </c>
      <c r="T14" s="604" t="s">
        <v>25</v>
      </c>
      <c r="U14" s="605">
        <f t="shared" si="1"/>
        <v>100</v>
      </c>
      <c r="V14" s="604" t="s">
        <v>25</v>
      </c>
      <c r="W14" s="605">
        <f t="shared" si="2"/>
        <v>100</v>
      </c>
      <c r="X14" s="1202"/>
      <c r="Y14" s="3383" t="s">
        <v>2031</v>
      </c>
      <c r="Z14" s="1203" t="str">
        <f t="shared" si="7"/>
        <v>交通便捷度</v>
      </c>
      <c r="AA14" s="1203">
        <f t="shared" si="3"/>
        <v>1</v>
      </c>
      <c r="AB14" s="1203">
        <f t="shared" si="4"/>
        <v>1</v>
      </c>
      <c r="AC14" s="1203">
        <f t="shared" si="5"/>
        <v>1</v>
      </c>
    </row>
    <row r="15" spans="1:29" ht="15">
      <c r="A15" s="293"/>
      <c r="B15" s="513"/>
      <c r="C15" s="1024"/>
      <c r="D15" s="1018"/>
      <c r="E15" s="330"/>
      <c r="F15" s="331"/>
      <c r="G15" s="1015"/>
      <c r="H15" s="334"/>
      <c r="I15" s="330"/>
      <c r="J15" s="331"/>
      <c r="K15" s="487"/>
      <c r="L15" s="2723"/>
      <c r="O15" s="2722"/>
      <c r="P15" s="3384"/>
      <c r="Q15" s="636"/>
      <c r="R15" s="604"/>
      <c r="S15" s="605"/>
      <c r="T15" s="604"/>
      <c r="U15" s="605"/>
      <c r="V15" s="604"/>
      <c r="W15" s="605"/>
      <c r="X15" s="1202"/>
      <c r="Y15" s="3384"/>
      <c r="Z15" s="1203"/>
      <c r="AA15" s="1203">
        <v>1</v>
      </c>
      <c r="AB15" s="1203">
        <v>1</v>
      </c>
      <c r="AC15" s="1203">
        <v>1</v>
      </c>
    </row>
    <row r="16" spans="1:29" ht="41.4">
      <c r="A16" s="293"/>
      <c r="B16" s="499" t="s">
        <v>2146</v>
      </c>
      <c r="C16" s="1025" t="str">
        <f>IF(B1="工业",估价对象房地状况!G5,估价对象房地状况!C7)</f>
        <v>估价对象所在区域公共配套设施齐备情况</v>
      </c>
      <c r="D16" s="1019">
        <v>100</v>
      </c>
      <c r="E16" s="336"/>
      <c r="F16" s="334">
        <f>SUMIF(65:65,E17,66:66)-SUMIF(65:65,C17,66:66)+100</f>
        <v>100</v>
      </c>
      <c r="G16" s="336"/>
      <c r="H16" s="339">
        <f>SUMIF(65:65,G17,66:66)-SUMIF(65:65,C17,66:66)+100</f>
        <v>100</v>
      </c>
      <c r="I16" s="336"/>
      <c r="J16" s="339">
        <f>SUMIF(65:65,I17,66:66)-SUMIF(65:65,C17,66:66)+100</f>
        <v>100</v>
      </c>
      <c r="K16" s="486"/>
      <c r="L16" s="2723"/>
      <c r="O16" s="2722"/>
      <c r="P16" s="3384"/>
      <c r="Q16" s="636" t="str">
        <f>B16</f>
        <v>公共配套设施</v>
      </c>
      <c r="R16" s="604" t="s">
        <v>25</v>
      </c>
      <c r="S16" s="605">
        <f>F16</f>
        <v>100</v>
      </c>
      <c r="T16" s="604" t="s">
        <v>25</v>
      </c>
      <c r="U16" s="605">
        <f>H16</f>
        <v>100</v>
      </c>
      <c r="V16" s="604" t="s">
        <v>25</v>
      </c>
      <c r="W16" s="605">
        <f>J16</f>
        <v>100</v>
      </c>
      <c r="X16" s="1202"/>
      <c r="Y16" s="3384"/>
      <c r="Z16" s="1203" t="str">
        <f>Q16</f>
        <v>公共配套设施</v>
      </c>
      <c r="AA16" s="1203">
        <f t="shared" si="3"/>
        <v>1</v>
      </c>
      <c r="AB16" s="1203">
        <f t="shared" si="4"/>
        <v>1</v>
      </c>
      <c r="AC16" s="1203">
        <f t="shared" si="5"/>
        <v>1</v>
      </c>
    </row>
    <row r="17" spans="1:29" ht="15">
      <c r="A17" s="293"/>
      <c r="B17" s="347"/>
      <c r="C17" s="1013"/>
      <c r="D17" s="1019"/>
      <c r="E17" s="332"/>
      <c r="F17" s="334"/>
      <c r="G17" s="332"/>
      <c r="H17" s="331"/>
      <c r="I17" s="332"/>
      <c r="J17" s="331"/>
      <c r="K17" s="487"/>
      <c r="L17" s="2723"/>
      <c r="O17" s="2722"/>
      <c r="P17" s="3384"/>
      <c r="Q17" s="636"/>
      <c r="R17" s="604"/>
      <c r="S17" s="605"/>
      <c r="T17" s="604"/>
      <c r="U17" s="605"/>
      <c r="V17" s="604"/>
      <c r="W17" s="605"/>
      <c r="X17" s="1202"/>
      <c r="Y17" s="3384"/>
      <c r="Z17" s="1203"/>
      <c r="AA17" s="1203">
        <v>1</v>
      </c>
      <c r="AB17" s="1203">
        <v>1</v>
      </c>
      <c r="AC17" s="1203">
        <v>1</v>
      </c>
    </row>
    <row r="18" spans="1:29" ht="41.4">
      <c r="A18" s="293"/>
      <c r="B18" s="500" t="s">
        <v>2147</v>
      </c>
      <c r="C18" s="1025" t="str">
        <f>IF(B1="工业",估价对象房地状况!G6,估价对象房地状况!C8)</f>
        <v>估价对象所在区域基础设施水平</v>
      </c>
      <c r="D18" s="1019">
        <v>100</v>
      </c>
      <c r="E18" s="336"/>
      <c r="F18" s="334">
        <f>SUMIF(67:67,E19,68:68)-SUMIF(67:67,C19,68:68)+100</f>
        <v>100</v>
      </c>
      <c r="G18" s="336"/>
      <c r="H18" s="339">
        <f>SUMIF(67:67,G19,68:68)-SUMIF(67:67,C19,68:68)+100</f>
        <v>100</v>
      </c>
      <c r="I18" s="336"/>
      <c r="J18" s="339">
        <f>SUMIF(67:67,I19,68:68)-SUMIF(67:67,C19,68:68)+100</f>
        <v>100</v>
      </c>
      <c r="K18" s="486"/>
      <c r="L18" s="2723"/>
      <c r="O18" s="2722"/>
      <c r="P18" s="3384"/>
      <c r="Q18" s="636" t="str">
        <f>B18</f>
        <v>基础设施水平</v>
      </c>
      <c r="R18" s="604" t="s">
        <v>25</v>
      </c>
      <c r="S18" s="605">
        <f>F18</f>
        <v>100</v>
      </c>
      <c r="T18" s="604" t="s">
        <v>25</v>
      </c>
      <c r="U18" s="605">
        <f>H18</f>
        <v>100</v>
      </c>
      <c r="V18" s="604" t="s">
        <v>25</v>
      </c>
      <c r="W18" s="605">
        <f>J18</f>
        <v>100</v>
      </c>
      <c r="X18" s="1202"/>
      <c r="Y18" s="3384"/>
      <c r="Z18" s="1203" t="str">
        <f>Q18</f>
        <v>基础设施水平</v>
      </c>
      <c r="AA18" s="1203">
        <f t="shared" ref="AA18" si="8">D18/F18</f>
        <v>1</v>
      </c>
      <c r="AB18" s="1203">
        <f t="shared" ref="AB18" si="9">D18/H18</f>
        <v>1</v>
      </c>
      <c r="AC18" s="1203">
        <f t="shared" ref="AC18" si="10">D18/J18</f>
        <v>1</v>
      </c>
    </row>
    <row r="19" spans="1:29" ht="15">
      <c r="A19" s="293"/>
      <c r="B19" s="500"/>
      <c r="C19" s="1014"/>
      <c r="D19" s="1019"/>
      <c r="E19" s="1011"/>
      <c r="F19" s="334"/>
      <c r="G19" s="1011"/>
      <c r="H19" s="331"/>
      <c r="I19" s="332"/>
      <c r="J19" s="331"/>
      <c r="K19" s="1012"/>
      <c r="L19" s="2723"/>
      <c r="O19" s="2722"/>
      <c r="P19" s="3384"/>
      <c r="Q19" s="636"/>
      <c r="R19" s="604"/>
      <c r="S19" s="605"/>
      <c r="T19" s="604"/>
      <c r="U19" s="605"/>
      <c r="V19" s="604"/>
      <c r="W19" s="605"/>
      <c r="X19" s="1202"/>
      <c r="Y19" s="3384"/>
      <c r="Z19" s="1203"/>
      <c r="AA19" s="1203">
        <v>1</v>
      </c>
      <c r="AB19" s="1203">
        <v>1</v>
      </c>
      <c r="AC19" s="1203">
        <v>1</v>
      </c>
    </row>
    <row r="20" spans="1:29" ht="55.2">
      <c r="A20" s="293"/>
      <c r="B20" s="499" t="s">
        <v>2169</v>
      </c>
      <c r="C20" s="1025" t="str">
        <f>IF(B1="工业",估价对象房地状况!G7,估价对象房地状况!C9)</f>
        <v>区域自然环境：；人文环境；综合评价环境状况一般</v>
      </c>
      <c r="D20" s="1020">
        <v>100</v>
      </c>
      <c r="E20" s="342"/>
      <c r="F20" s="339">
        <f>SUMIF(69:69,E21,70:70)-SUMIF(69:69,C21,70:70)+100</f>
        <v>100</v>
      </c>
      <c r="G20" s="342"/>
      <c r="H20" s="334">
        <f>SUMIF(69:69,G21,70:70)-SUMIF(69:69,C21,70:70)+100</f>
        <v>100</v>
      </c>
      <c r="I20" s="336"/>
      <c r="J20" s="334">
        <f>SUMIF(69:69,I21,70:70)-SUMIF(69:69,C21,70:70)+100</f>
        <v>100</v>
      </c>
      <c r="K20" s="486"/>
      <c r="L20" s="2723"/>
      <c r="O20" s="2722"/>
      <c r="P20" s="3384"/>
      <c r="Q20" s="636" t="str">
        <f>B20</f>
        <v>自然及人文环境</v>
      </c>
      <c r="R20" s="604" t="s">
        <v>25</v>
      </c>
      <c r="S20" s="605">
        <f>F20</f>
        <v>100</v>
      </c>
      <c r="T20" s="604" t="s">
        <v>25</v>
      </c>
      <c r="U20" s="605">
        <f>H20</f>
        <v>100</v>
      </c>
      <c r="V20" s="604" t="s">
        <v>25</v>
      </c>
      <c r="W20" s="605">
        <f>J20</f>
        <v>100</v>
      </c>
      <c r="X20" s="1202"/>
      <c r="Y20" s="3384"/>
      <c r="Z20" s="1203" t="str">
        <f>Q20</f>
        <v>自然及人文环境</v>
      </c>
      <c r="AA20" s="1203">
        <f t="shared" si="3"/>
        <v>1</v>
      </c>
      <c r="AB20" s="1203">
        <f t="shared" si="4"/>
        <v>1</v>
      </c>
      <c r="AC20" s="1203">
        <f t="shared" si="5"/>
        <v>1</v>
      </c>
    </row>
    <row r="21" spans="1:29" ht="15">
      <c r="A21" s="293"/>
      <c r="B21" s="347"/>
      <c r="C21" s="1024"/>
      <c r="D21" s="1018"/>
      <c r="E21" s="330"/>
      <c r="F21" s="331"/>
      <c r="G21" s="1015"/>
      <c r="H21" s="331"/>
      <c r="I21" s="330"/>
      <c r="J21" s="331"/>
      <c r="K21" s="487"/>
      <c r="L21" s="2723"/>
      <c r="O21" s="2722"/>
      <c r="P21" s="3384"/>
      <c r="Q21" s="636"/>
      <c r="R21" s="604"/>
      <c r="S21" s="605"/>
      <c r="T21" s="604"/>
      <c r="U21" s="605"/>
      <c r="V21" s="604"/>
      <c r="W21" s="605"/>
      <c r="X21" s="1202"/>
      <c r="Y21" s="3384"/>
      <c r="Z21" s="1203"/>
      <c r="AA21" s="1203">
        <v>1</v>
      </c>
      <c r="AB21" s="1203">
        <v>1</v>
      </c>
      <c r="AC21" s="1203">
        <v>1</v>
      </c>
    </row>
    <row r="22" spans="1:29" ht="15">
      <c r="A22" s="293"/>
      <c r="B22" s="499" t="s">
        <v>2170</v>
      </c>
      <c r="C22" s="501"/>
      <c r="D22" s="1019">
        <v>100</v>
      </c>
      <c r="E22" s="488"/>
      <c r="F22" s="320">
        <f>SUMIF(71:71,E22,72:72)-SUMIF(71:71,C22,72:72)+100</f>
        <v>100</v>
      </c>
      <c r="G22" s="501"/>
      <c r="H22" s="320">
        <f>SUMIF(71:71,G22,72:72)-SUMIF(71:71,C22,72:72)+100</f>
        <v>100</v>
      </c>
      <c r="I22" s="488"/>
      <c r="J22" s="320">
        <f>SUMIF(71:71,I22,72:72)-SUMIF(71:71,C22,72:72)+100</f>
        <v>100</v>
      </c>
      <c r="K22" s="484"/>
      <c r="L22" s="2723"/>
      <c r="O22" s="2722"/>
      <c r="P22" s="3384"/>
      <c r="Q22" s="636" t="str">
        <f>B22</f>
        <v>楼层</v>
      </c>
      <c r="R22" s="604" t="s">
        <v>25</v>
      </c>
      <c r="S22" s="605">
        <f>F22</f>
        <v>100</v>
      </c>
      <c r="T22" s="604" t="s">
        <v>25</v>
      </c>
      <c r="U22" s="605">
        <f>H22</f>
        <v>100</v>
      </c>
      <c r="V22" s="604" t="s">
        <v>25</v>
      </c>
      <c r="W22" s="605">
        <f>J22</f>
        <v>100</v>
      </c>
      <c r="X22" s="1202"/>
      <c r="Y22" s="3384"/>
      <c r="Z22" s="1203" t="str">
        <f>Q22</f>
        <v>楼层</v>
      </c>
      <c r="AA22" s="1203">
        <f t="shared" si="3"/>
        <v>1</v>
      </c>
      <c r="AB22" s="1203">
        <f t="shared" si="4"/>
        <v>1</v>
      </c>
      <c r="AC22" s="1203">
        <f t="shared" si="5"/>
        <v>1</v>
      </c>
    </row>
    <row r="23" spans="1:29" ht="15">
      <c r="A23" s="293"/>
      <c r="B23" s="391">
        <v>111</v>
      </c>
      <c r="C23" s="1026"/>
      <c r="D23" s="1021">
        <v>100</v>
      </c>
      <c r="E23" s="317"/>
      <c r="F23" s="320">
        <f>SUMIF(73:73,E23,74:74)-SUMIF(73:73,C23,74:74)+100</f>
        <v>100</v>
      </c>
      <c r="G23" s="1016"/>
      <c r="H23" s="320">
        <f>SUMIF(73:73,G23,74:74)-SUMIF(73:73,C23,74:74)+100</f>
        <v>100</v>
      </c>
      <c r="I23" s="317"/>
      <c r="J23" s="320">
        <f>SUMIF(73:73,I23,74:74)-SUMIF(73:73,C23,74:74)+100</f>
        <v>100</v>
      </c>
      <c r="K23" s="485"/>
      <c r="L23" s="2723"/>
      <c r="O23" s="2722"/>
      <c r="P23" s="3384"/>
      <c r="Q23" s="636">
        <f>B23</f>
        <v>111</v>
      </c>
      <c r="R23" s="604" t="s">
        <v>25</v>
      </c>
      <c r="S23" s="605">
        <f>F23</f>
        <v>100</v>
      </c>
      <c r="T23" s="604" t="s">
        <v>25</v>
      </c>
      <c r="U23" s="605">
        <f>H23</f>
        <v>100</v>
      </c>
      <c r="V23" s="604" t="s">
        <v>25</v>
      </c>
      <c r="W23" s="605">
        <f>J23</f>
        <v>100</v>
      </c>
      <c r="X23" s="1202"/>
      <c r="Y23" s="3384"/>
      <c r="Z23" s="1203">
        <f>Q23</f>
        <v>111</v>
      </c>
      <c r="AA23" s="1203">
        <f t="shared" si="3"/>
        <v>1</v>
      </c>
      <c r="AB23" s="1203">
        <f t="shared" si="4"/>
        <v>1</v>
      </c>
      <c r="AC23" s="1203">
        <f t="shared" si="5"/>
        <v>1</v>
      </c>
    </row>
    <row r="24" spans="1:29" ht="15">
      <c r="A24" s="293"/>
      <c r="B24" s="391">
        <v>111</v>
      </c>
      <c r="C24" s="1026"/>
      <c r="D24" s="1021">
        <v>100</v>
      </c>
      <c r="E24" s="317"/>
      <c r="F24" s="320">
        <f>SUMIF(75:75,E24,76:76)-SUMIF(75:75,C24,76:76)+100</f>
        <v>100</v>
      </c>
      <c r="G24" s="1016"/>
      <c r="H24" s="320">
        <f>SUMIF(75:75,G24,76:76)-SUMIF(75:75,C24,76:76)+100</f>
        <v>100</v>
      </c>
      <c r="I24" s="317"/>
      <c r="J24" s="320">
        <f>SUMIF(75:75,I24,76:76)-SUMIF(75:75,C24,76:76)+100</f>
        <v>100</v>
      </c>
      <c r="K24" s="485"/>
      <c r="L24" s="2723"/>
      <c r="O24" s="2722"/>
      <c r="P24" s="3384"/>
      <c r="Q24" s="636">
        <f t="shared" ref="Q24:Q36" si="11">B24</f>
        <v>111</v>
      </c>
      <c r="R24" s="604" t="s">
        <v>25</v>
      </c>
      <c r="S24" s="605">
        <f>F24</f>
        <v>100</v>
      </c>
      <c r="T24" s="604" t="s">
        <v>25</v>
      </c>
      <c r="U24" s="605">
        <f>H24</f>
        <v>100</v>
      </c>
      <c r="V24" s="604" t="s">
        <v>25</v>
      </c>
      <c r="W24" s="605">
        <f>J24</f>
        <v>100</v>
      </c>
      <c r="X24" s="1202"/>
      <c r="Y24" s="3384"/>
      <c r="Z24" s="1203">
        <f>Q24</f>
        <v>111</v>
      </c>
      <c r="AA24" s="1203">
        <f t="shared" si="3"/>
        <v>1</v>
      </c>
      <c r="AB24" s="1203">
        <f t="shared" si="4"/>
        <v>1</v>
      </c>
      <c r="AC24" s="1203">
        <f t="shared" si="5"/>
        <v>1</v>
      </c>
    </row>
    <row r="25" spans="1:29" s="24" customFormat="1" ht="15.6" thickBot="1">
      <c r="A25" s="1028"/>
      <c r="B25" s="502">
        <v>111</v>
      </c>
      <c r="C25" s="1027"/>
      <c r="D25" s="1022">
        <v>100</v>
      </c>
      <c r="E25" s="496"/>
      <c r="F25" s="514">
        <f>SUMIF(77:77,E25,78:78)-SUMIF(77:77,C25,78:78)+100</f>
        <v>100</v>
      </c>
      <c r="G25" s="394"/>
      <c r="H25" s="514">
        <f>SUMIF(77:77,G25,78:78)-SUMIF(77:77,C25,78:78)+100</f>
        <v>100</v>
      </c>
      <c r="I25" s="496"/>
      <c r="J25" s="514">
        <f>SUMIF(77:77,I25,78:78)-SUMIF(77:77,C25,78:78)+100</f>
        <v>100</v>
      </c>
      <c r="K25" s="485"/>
      <c r="L25" s="2717"/>
      <c r="O25" s="2718"/>
      <c r="P25" s="3384"/>
      <c r="Q25" s="477">
        <f t="shared" si="11"/>
        <v>111</v>
      </c>
      <c r="R25" s="601" t="s">
        <v>25</v>
      </c>
      <c r="S25" s="602">
        <f>F25</f>
        <v>100</v>
      </c>
      <c r="T25" s="601" t="s">
        <v>25</v>
      </c>
      <c r="U25" s="602">
        <f>H25</f>
        <v>100</v>
      </c>
      <c r="V25" s="601" t="s">
        <v>25</v>
      </c>
      <c r="W25" s="602">
        <f>J25</f>
        <v>100</v>
      </c>
      <c r="X25" s="603"/>
      <c r="Y25" s="3384"/>
      <c r="Z25" s="18">
        <f>Q25</f>
        <v>111</v>
      </c>
      <c r="AA25" s="1203">
        <f>D25/F25</f>
        <v>1</v>
      </c>
      <c r="AB25" s="1203">
        <f>D25/H25</f>
        <v>1</v>
      </c>
      <c r="AC25" s="1203">
        <f>D25/J25</f>
        <v>1</v>
      </c>
    </row>
    <row r="26" spans="1:29" ht="30">
      <c r="A26" s="515" t="s">
        <v>2035</v>
      </c>
      <c r="B26" s="22" t="s">
        <v>2171</v>
      </c>
      <c r="C26" s="1422"/>
      <c r="D26" s="331">
        <v>100</v>
      </c>
      <c r="E26" s="330"/>
      <c r="F26" s="333">
        <f>SUMIF(79:79,E26,80:80)-SUMIF(79:79,C26,80:80)+100</f>
        <v>100</v>
      </c>
      <c r="G26" s="330"/>
      <c r="H26" s="331">
        <f>SUMIF(79:79,G26,80:80)-SUMIF(79:79,C26,80:80)+100</f>
        <v>100</v>
      </c>
      <c r="I26" s="330"/>
      <c r="J26" s="331">
        <f>SUMIF(79:79,I26,80:80)-SUMIF(79:79,C26,80:80)+100</f>
        <v>100</v>
      </c>
      <c r="K26" s="484"/>
      <c r="L26" s="2723"/>
      <c r="O26" s="2722"/>
      <c r="P26" s="3371" t="s">
        <v>2037</v>
      </c>
      <c r="Q26" s="636" t="str">
        <f t="shared" si="11"/>
        <v>配套类型</v>
      </c>
      <c r="R26" s="604" t="s">
        <v>25</v>
      </c>
      <c r="S26" s="605">
        <f t="shared" ref="S26:S36" si="12">F26</f>
        <v>100</v>
      </c>
      <c r="T26" s="604" t="s">
        <v>25</v>
      </c>
      <c r="U26" s="605">
        <f t="shared" ref="U26:U36" si="13">H26</f>
        <v>100</v>
      </c>
      <c r="V26" s="604" t="s">
        <v>25</v>
      </c>
      <c r="W26" s="605">
        <f t="shared" ref="W26:W36" si="14">J26</f>
        <v>100</v>
      </c>
      <c r="X26" s="1202"/>
      <c r="Y26" s="3372" t="s">
        <v>2037</v>
      </c>
      <c r="Z26" s="1203" t="str">
        <f t="shared" ref="Z26:Z36" si="15">Q26</f>
        <v>配套类型</v>
      </c>
      <c r="AA26" s="1203">
        <f t="shared" si="3"/>
        <v>1</v>
      </c>
      <c r="AB26" s="1203">
        <f t="shared" si="4"/>
        <v>1</v>
      </c>
      <c r="AC26" s="1203">
        <f t="shared" si="5"/>
        <v>1</v>
      </c>
    </row>
    <row r="27" spans="1:29" s="352" customFormat="1" ht="15">
      <c r="A27" s="516"/>
      <c r="B27" s="25" t="s">
        <v>2172</v>
      </c>
      <c r="C27" s="517"/>
      <c r="D27" s="25">
        <v>100</v>
      </c>
      <c r="E27" s="517"/>
      <c r="F27" s="346">
        <f>SUMIF(81:81,E27,82:82)-SUMIF(81:81,C27,82:82)+100</f>
        <v>100</v>
      </c>
      <c r="G27" s="517"/>
      <c r="H27" s="320">
        <f>SUMIF(81:81,G27,82:82)-SUMIF(81:81,C27,82:82)+100</f>
        <v>100</v>
      </c>
      <c r="I27" s="517"/>
      <c r="J27" s="320">
        <f>SUMIF(81:81,I27,82:82)-SUMIF(81:81,C27,82:82)+100</f>
        <v>100</v>
      </c>
      <c r="K27" s="485"/>
      <c r="L27" s="2721"/>
      <c r="O27" s="2724"/>
      <c r="P27" s="3372"/>
      <c r="Q27" s="606" t="str">
        <f t="shared" si="11"/>
        <v>项目停车位配比</v>
      </c>
      <c r="R27" s="607" t="s">
        <v>25</v>
      </c>
      <c r="S27" s="608">
        <f t="shared" si="12"/>
        <v>100</v>
      </c>
      <c r="T27" s="607" t="s">
        <v>25</v>
      </c>
      <c r="U27" s="608">
        <f t="shared" si="13"/>
        <v>100</v>
      </c>
      <c r="V27" s="607" t="s">
        <v>25</v>
      </c>
      <c r="W27" s="608">
        <f t="shared" si="14"/>
        <v>100</v>
      </c>
      <c r="X27" s="609"/>
      <c r="Y27" s="3372"/>
      <c r="Z27" s="610" t="str">
        <f t="shared" si="15"/>
        <v>项目停车位配比</v>
      </c>
      <c r="AA27" s="1203">
        <f t="shared" si="3"/>
        <v>1</v>
      </c>
      <c r="AB27" s="1203">
        <f t="shared" si="4"/>
        <v>1</v>
      </c>
      <c r="AC27" s="1203">
        <f t="shared" si="5"/>
        <v>1</v>
      </c>
    </row>
    <row r="28" spans="1:29" ht="15">
      <c r="A28" s="518"/>
      <c r="B28" s="25" t="s">
        <v>2173</v>
      </c>
      <c r="C28" s="345"/>
      <c r="D28" s="320">
        <v>100</v>
      </c>
      <c r="E28" s="345"/>
      <c r="F28" s="346">
        <f>SUMIF(83:83,E28,84:84)-SUMIF(83:83,C28,84:84)+100</f>
        <v>100</v>
      </c>
      <c r="G28" s="345"/>
      <c r="H28" s="320">
        <f>SUMIF(83:83,G28,84:84)-SUMIF(83:83,C28,84:84)+100</f>
        <v>100</v>
      </c>
      <c r="I28" s="345"/>
      <c r="J28" s="320">
        <f>SUMIF(83:83,I28,84:84)-SUMIF(83:83,C28,84:84)+100</f>
        <v>100</v>
      </c>
      <c r="K28" s="484"/>
      <c r="L28" s="2723"/>
      <c r="O28" s="2722"/>
      <c r="P28" s="3372"/>
      <c r="Q28" s="636" t="str">
        <f t="shared" si="11"/>
        <v>公共部分装修</v>
      </c>
      <c r="R28" s="604" t="s">
        <v>25</v>
      </c>
      <c r="S28" s="605">
        <f t="shared" si="12"/>
        <v>100</v>
      </c>
      <c r="T28" s="604" t="s">
        <v>25</v>
      </c>
      <c r="U28" s="605">
        <f t="shared" si="13"/>
        <v>100</v>
      </c>
      <c r="V28" s="604" t="s">
        <v>25</v>
      </c>
      <c r="W28" s="605">
        <f t="shared" si="14"/>
        <v>100</v>
      </c>
      <c r="X28" s="1202"/>
      <c r="Y28" s="3372"/>
      <c r="Z28" s="1203" t="str">
        <f t="shared" si="15"/>
        <v>公共部分装修</v>
      </c>
      <c r="AA28" s="1203">
        <f t="shared" si="3"/>
        <v>1</v>
      </c>
      <c r="AB28" s="1203">
        <f t="shared" si="4"/>
        <v>1</v>
      </c>
      <c r="AC28" s="1203">
        <f t="shared" si="5"/>
        <v>1</v>
      </c>
    </row>
    <row r="29" spans="1:29" ht="15">
      <c r="A29" s="518"/>
      <c r="B29" s="25" t="s">
        <v>2174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3"/>
      <c r="O29" s="2722"/>
      <c r="P29" s="3372"/>
      <c r="Q29" s="636" t="str">
        <f t="shared" si="11"/>
        <v>成新率</v>
      </c>
      <c r="R29" s="604" t="s">
        <v>25</v>
      </c>
      <c r="S29" s="605" t="e">
        <f t="shared" si="12"/>
        <v>#N/A</v>
      </c>
      <c r="T29" s="604" t="s">
        <v>25</v>
      </c>
      <c r="U29" s="605" t="e">
        <f t="shared" si="13"/>
        <v>#N/A</v>
      </c>
      <c r="V29" s="604" t="s">
        <v>25</v>
      </c>
      <c r="W29" s="605" t="e">
        <f t="shared" si="14"/>
        <v>#N/A</v>
      </c>
      <c r="X29" s="1202"/>
      <c r="Y29" s="3372"/>
      <c r="Z29" s="1203" t="str">
        <f t="shared" si="15"/>
        <v>成新率</v>
      </c>
      <c r="AA29" s="1203" t="e">
        <f t="shared" si="3"/>
        <v>#N/A</v>
      </c>
      <c r="AB29" s="1203" t="e">
        <f t="shared" si="4"/>
        <v>#N/A</v>
      </c>
      <c r="AC29" s="1203" t="e">
        <f t="shared" si="5"/>
        <v>#N/A</v>
      </c>
    </row>
    <row r="30" spans="1:29" ht="15">
      <c r="A30" s="518"/>
      <c r="B30" s="25" t="s">
        <v>2175</v>
      </c>
      <c r="C30" s="519"/>
      <c r="D30" s="320">
        <v>100</v>
      </c>
      <c r="E30" s="519"/>
      <c r="F30" s="346">
        <f>SUMIF(88:88,E30,89:89)-SUMIF(88:88,C30,89:89)+100</f>
        <v>100</v>
      </c>
      <c r="G30" s="519"/>
      <c r="H30" s="320">
        <f>SUMIF(88:88,G30,89:89)-SUMIF(88:88,C30,89:89)+100</f>
        <v>100</v>
      </c>
      <c r="I30" s="519"/>
      <c r="J30" s="320">
        <f>SUMIF(88:88,I30,89:89)-SUMIF(88:88,C30,89:89)+100</f>
        <v>100</v>
      </c>
      <c r="K30" s="484"/>
      <c r="L30" s="2723"/>
      <c r="O30" s="2722"/>
      <c r="P30" s="3372"/>
      <c r="Q30" s="636" t="str">
        <f t="shared" si="11"/>
        <v>物业等级</v>
      </c>
      <c r="R30" s="604" t="s">
        <v>25</v>
      </c>
      <c r="S30" s="605">
        <f t="shared" si="12"/>
        <v>100</v>
      </c>
      <c r="T30" s="604" t="s">
        <v>25</v>
      </c>
      <c r="U30" s="605">
        <f t="shared" si="13"/>
        <v>100</v>
      </c>
      <c r="V30" s="604" t="s">
        <v>25</v>
      </c>
      <c r="W30" s="605">
        <f t="shared" si="14"/>
        <v>100</v>
      </c>
      <c r="X30" s="1202"/>
      <c r="Y30" s="3372"/>
      <c r="Z30" s="1203" t="str">
        <f t="shared" si="15"/>
        <v>物业等级</v>
      </c>
      <c r="AA30" s="1203">
        <f t="shared" si="3"/>
        <v>1</v>
      </c>
      <c r="AB30" s="1203">
        <f t="shared" si="4"/>
        <v>1</v>
      </c>
      <c r="AC30" s="1203">
        <f t="shared" si="5"/>
        <v>1</v>
      </c>
    </row>
    <row r="31" spans="1:29" s="24" customFormat="1" ht="15">
      <c r="A31" s="520"/>
      <c r="B31" s="25" t="s">
        <v>2176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7"/>
      <c r="O31" s="2718"/>
      <c r="P31" s="3372"/>
      <c r="Q31" s="477" t="str">
        <f t="shared" si="11"/>
        <v>停车位面积</v>
      </c>
      <c r="R31" s="601" t="s">
        <v>25</v>
      </c>
      <c r="S31" s="602" t="e">
        <f t="shared" si="12"/>
        <v>#N/A</v>
      </c>
      <c r="T31" s="601" t="s">
        <v>25</v>
      </c>
      <c r="U31" s="602" t="e">
        <f t="shared" si="13"/>
        <v>#N/A</v>
      </c>
      <c r="V31" s="601" t="s">
        <v>25</v>
      </c>
      <c r="W31" s="602" t="e">
        <f t="shared" si="14"/>
        <v>#N/A</v>
      </c>
      <c r="X31" s="603"/>
      <c r="Y31" s="3372"/>
      <c r="Z31" s="18" t="str">
        <f t="shared" si="15"/>
        <v>停车位面积</v>
      </c>
      <c r="AA31" s="18" t="e">
        <f t="shared" si="3"/>
        <v>#N/A</v>
      </c>
      <c r="AB31" s="18" t="e">
        <f t="shared" si="4"/>
        <v>#N/A</v>
      </c>
      <c r="AC31" s="18" t="e">
        <f t="shared" si="5"/>
        <v>#N/A</v>
      </c>
    </row>
    <row r="32" spans="1:29" ht="15">
      <c r="A32" s="518"/>
      <c r="B32" s="25" t="s">
        <v>2177</v>
      </c>
      <c r="C32" s="345"/>
      <c r="D32" s="320">
        <v>100</v>
      </c>
      <c r="E32" s="345"/>
      <c r="F32" s="346">
        <f>SUMIF(93:93,E32,94:94)-SUMIF(93:93,C32,94:94)+100</f>
        <v>100</v>
      </c>
      <c r="G32" s="345"/>
      <c r="H32" s="320">
        <f>SUMIF(93:93,G32,94:94)-SUMIF(93:93,C32,94:94)+100</f>
        <v>100</v>
      </c>
      <c r="I32" s="345"/>
      <c r="J32" s="320">
        <f>SUMIF(93:93,I32,94:94)-SUMIF(93:93,C32,94:94)+100</f>
        <v>100</v>
      </c>
      <c r="K32" s="484"/>
      <c r="L32" s="2723"/>
      <c r="O32" s="2722"/>
      <c r="P32" s="3372" t="s">
        <v>2037</v>
      </c>
      <c r="Q32" s="636" t="str">
        <f t="shared" si="11"/>
        <v>车位类型</v>
      </c>
      <c r="R32" s="604" t="s">
        <v>25</v>
      </c>
      <c r="S32" s="605">
        <f t="shared" si="12"/>
        <v>100</v>
      </c>
      <c r="T32" s="604" t="s">
        <v>25</v>
      </c>
      <c r="U32" s="605">
        <f t="shared" si="13"/>
        <v>100</v>
      </c>
      <c r="V32" s="604" t="s">
        <v>25</v>
      </c>
      <c r="W32" s="605">
        <f t="shared" si="14"/>
        <v>100</v>
      </c>
      <c r="X32" s="1202"/>
      <c r="Y32" s="3372" t="s">
        <v>2037</v>
      </c>
      <c r="Z32" s="1203" t="str">
        <f t="shared" si="15"/>
        <v>车位类型</v>
      </c>
      <c r="AA32" s="1203">
        <f t="shared" si="3"/>
        <v>1</v>
      </c>
      <c r="AB32" s="1203">
        <f t="shared" si="4"/>
        <v>1</v>
      </c>
      <c r="AC32" s="1203">
        <f t="shared" si="5"/>
        <v>1</v>
      </c>
    </row>
    <row r="33" spans="1:29" ht="15">
      <c r="A33" s="518"/>
      <c r="B33" s="25" t="s">
        <v>2178</v>
      </c>
      <c r="C33" s="345"/>
      <c r="D33" s="320">
        <v>100</v>
      </c>
      <c r="E33" s="345"/>
      <c r="F33" s="346">
        <f>SUMIF(95:95,E33,96:96)-SUMIF(95:95,C33,96:96)+100</f>
        <v>100</v>
      </c>
      <c r="G33" s="345"/>
      <c r="H33" s="320">
        <f>SUMIF(95:95,G33,96:96)-SUMIF(95:95,C33,96:96)+100</f>
        <v>100</v>
      </c>
      <c r="I33" s="345"/>
      <c r="J33" s="320">
        <f>SUMIF(95:95,I33,96:96)-SUMIF(95:95,C33,96:96)+100</f>
        <v>100</v>
      </c>
      <c r="K33" s="484"/>
      <c r="L33" s="2723"/>
      <c r="O33" s="2722"/>
      <c r="P33" s="3372"/>
      <c r="Q33" s="636" t="str">
        <f t="shared" si="11"/>
        <v>是否直接入户</v>
      </c>
      <c r="R33" s="604" t="s">
        <v>25</v>
      </c>
      <c r="S33" s="605">
        <f t="shared" si="12"/>
        <v>100</v>
      </c>
      <c r="T33" s="604" t="s">
        <v>25</v>
      </c>
      <c r="U33" s="605">
        <f t="shared" si="13"/>
        <v>100</v>
      </c>
      <c r="V33" s="604" t="s">
        <v>25</v>
      </c>
      <c r="W33" s="605">
        <f t="shared" si="14"/>
        <v>100</v>
      </c>
      <c r="X33" s="1202"/>
      <c r="Y33" s="3372"/>
      <c r="Z33" s="1203" t="str">
        <f t="shared" si="15"/>
        <v>是否直接入户</v>
      </c>
      <c r="AA33" s="1203">
        <f t="shared" si="3"/>
        <v>1</v>
      </c>
      <c r="AB33" s="1203">
        <f t="shared" si="4"/>
        <v>1</v>
      </c>
      <c r="AC33" s="1203">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3"/>
      <c r="O34" s="2722"/>
      <c r="P34" s="3372"/>
      <c r="Q34" s="636">
        <f t="shared" si="11"/>
        <v>111</v>
      </c>
      <c r="R34" s="604" t="s">
        <v>25</v>
      </c>
      <c r="S34" s="605">
        <f t="shared" si="12"/>
        <v>100</v>
      </c>
      <c r="T34" s="604" t="s">
        <v>25</v>
      </c>
      <c r="U34" s="605">
        <f t="shared" si="13"/>
        <v>100</v>
      </c>
      <c r="V34" s="604" t="s">
        <v>25</v>
      </c>
      <c r="W34" s="605">
        <f t="shared" si="14"/>
        <v>100</v>
      </c>
      <c r="X34" s="1202"/>
      <c r="Y34" s="3372"/>
      <c r="Z34" s="1203">
        <f t="shared" si="15"/>
        <v>111</v>
      </c>
      <c r="AA34" s="1203">
        <f t="shared" si="3"/>
        <v>1</v>
      </c>
      <c r="AB34" s="1203">
        <f t="shared" si="4"/>
        <v>1</v>
      </c>
      <c r="AC34" s="1203">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21"/>
      <c r="O35" s="2724"/>
      <c r="P35" s="3372"/>
      <c r="Q35" s="606">
        <f t="shared" si="11"/>
        <v>111</v>
      </c>
      <c r="R35" s="607" t="s">
        <v>25</v>
      </c>
      <c r="S35" s="608">
        <f t="shared" si="12"/>
        <v>100</v>
      </c>
      <c r="T35" s="607" t="s">
        <v>25</v>
      </c>
      <c r="U35" s="608">
        <f t="shared" si="13"/>
        <v>100</v>
      </c>
      <c r="V35" s="607" t="s">
        <v>25</v>
      </c>
      <c r="W35" s="608">
        <f t="shared" si="14"/>
        <v>100</v>
      </c>
      <c r="X35" s="609"/>
      <c r="Y35" s="3372"/>
      <c r="Z35" s="610">
        <f t="shared" si="15"/>
        <v>111</v>
      </c>
      <c r="AA35" s="1203">
        <f t="shared" si="3"/>
        <v>1</v>
      </c>
      <c r="AB35" s="1203">
        <f t="shared" si="4"/>
        <v>1</v>
      </c>
      <c r="AC35" s="1203">
        <f t="shared" si="5"/>
        <v>1</v>
      </c>
    </row>
    <row r="36" spans="1:29" ht="15.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3"/>
      <c r="O36" s="2722"/>
      <c r="P36" s="3372"/>
      <c r="Q36" s="636">
        <f t="shared" si="11"/>
        <v>111</v>
      </c>
      <c r="R36" s="604" t="s">
        <v>25</v>
      </c>
      <c r="S36" s="605">
        <f t="shared" si="12"/>
        <v>100</v>
      </c>
      <c r="T36" s="604" t="s">
        <v>25</v>
      </c>
      <c r="U36" s="605">
        <f t="shared" si="13"/>
        <v>100</v>
      </c>
      <c r="V36" s="604" t="s">
        <v>25</v>
      </c>
      <c r="W36" s="605">
        <f t="shared" si="14"/>
        <v>100</v>
      </c>
      <c r="X36" s="1202"/>
      <c r="Y36" s="3372"/>
      <c r="Z36" s="1203">
        <f t="shared" si="15"/>
        <v>111</v>
      </c>
      <c r="AA36" s="1203">
        <f t="shared" si="3"/>
        <v>1</v>
      </c>
      <c r="AB36" s="1203">
        <f t="shared" si="4"/>
        <v>1</v>
      </c>
      <c r="AC36" s="1203">
        <f t="shared" si="5"/>
        <v>1</v>
      </c>
    </row>
    <row r="37" spans="1:29" ht="14.4">
      <c r="A37" s="360" t="s">
        <v>2179</v>
      </c>
      <c r="B37" s="762" t="s">
        <v>2180</v>
      </c>
      <c r="C37" s="1033" t="s">
        <v>1</v>
      </c>
      <c r="D37" s="362"/>
      <c r="E37" s="363"/>
      <c r="F37" s="364"/>
      <c r="G37" s="365"/>
      <c r="H37" s="366"/>
      <c r="I37" s="363"/>
      <c r="J37" s="366"/>
      <c r="K37" s="489"/>
      <c r="L37" s="2725"/>
      <c r="P37" s="3366" t="str">
        <f>A37</f>
        <v>成交单价</v>
      </c>
      <c r="Q37" s="3366"/>
      <c r="R37" s="3367">
        <f>E37</f>
        <v>0</v>
      </c>
      <c r="S37" s="3367"/>
      <c r="T37" s="3367">
        <f>G37</f>
        <v>0</v>
      </c>
      <c r="U37" s="3367"/>
      <c r="V37" s="3367">
        <f>I37</f>
        <v>0</v>
      </c>
      <c r="W37" s="3367"/>
      <c r="X37" s="329"/>
      <c r="Y37" s="611"/>
      <c r="Z37" s="329"/>
      <c r="AA37" s="329"/>
      <c r="AB37" s="329"/>
      <c r="AC37" s="329"/>
    </row>
    <row r="38" spans="1:29" ht="15" thickBot="1">
      <c r="A38" s="367" t="s">
        <v>2181</v>
      </c>
      <c r="B38" s="368" t="str">
        <f>B37</f>
        <v>元/平方米</v>
      </c>
      <c r="C38" s="1034" t="e">
        <f>R39</f>
        <v>#DIV/0!</v>
      </c>
      <c r="D38" s="1624" t="s">
        <v>2503</v>
      </c>
      <c r="E38" s="1035" t="e">
        <f>R38</f>
        <v>#DIV/0!</v>
      </c>
      <c r="F38" s="1626"/>
      <c r="G38" s="1034" t="e">
        <f>T38</f>
        <v>#DIV/0!</v>
      </c>
      <c r="H38" s="1626"/>
      <c r="I38" s="1035" t="e">
        <f>V38</f>
        <v>#DIV/0!</v>
      </c>
      <c r="J38" s="1626"/>
      <c r="K38" s="2251">
        <f>F38+H38+J38</f>
        <v>0</v>
      </c>
      <c r="L38" s="2725"/>
      <c r="P38" s="3366" t="str">
        <f>A38</f>
        <v>比较价值</v>
      </c>
      <c r="Q38" s="3366"/>
      <c r="R38" s="3367" t="e">
        <f>IF(E1="售价",ROUND(PRODUCT(R37,AA7:AA36),0),ROUND(PRODUCT(R37,AA7:AA36),1))</f>
        <v>#DIV/0!</v>
      </c>
      <c r="S38" s="3367"/>
      <c r="T38" s="3367" t="e">
        <f>IF(E1="售价",ROUND(PRODUCT(T37,AB7:AB36),0),ROUND(PRODUCT(T37,AB7:AB36),1))</f>
        <v>#DIV/0!</v>
      </c>
      <c r="U38" s="3367"/>
      <c r="V38" s="3367" t="e">
        <f>IF(E1="售价",ROUND(PRODUCT(V37,AC7:AC36),0),ROUND(PRODUCT(V37,AC7:AC36),1))</f>
        <v>#DIV/0!</v>
      </c>
      <c r="W38" s="3367"/>
      <c r="X38" s="329"/>
      <c r="Y38" s="329"/>
      <c r="Z38" s="329"/>
      <c r="AA38" s="329"/>
      <c r="AB38" s="329"/>
      <c r="AC38" s="329"/>
    </row>
    <row r="39" spans="1:29" ht="15" thickBot="1">
      <c r="A39" s="371" t="s">
        <v>2182</v>
      </c>
      <c r="B39" s="372"/>
      <c r="C39" s="296" t="e">
        <f>R39</f>
        <v>#DIV/0!</v>
      </c>
      <c r="D39" s="296"/>
      <c r="E39" s="296"/>
      <c r="F39" s="296"/>
      <c r="G39" s="296"/>
      <c r="H39" s="296"/>
      <c r="I39" s="296"/>
      <c r="J39" s="296"/>
      <c r="K39" s="490"/>
      <c r="L39" s="2725"/>
      <c r="P39" s="3368" t="str">
        <f>A39</f>
        <v>估价对象XX用房的比较价值（楼面单价，元/平方米）</v>
      </c>
      <c r="Q39" s="3369"/>
      <c r="R39" s="3370" t="e">
        <f>IF(E1="售价",ROUND(IF(D38="简单平均",AVERAGE(R38:W38),R38*F38+T38*H38+V38*J38),0),ROUND(IF(D38="简单平均",AVERAGE(R38:V38),R38*F38+T38*H38+V38*J38),1))</f>
        <v>#DIV/0!</v>
      </c>
      <c r="S39" s="3370"/>
      <c r="T39" s="3370"/>
      <c r="U39" s="3370"/>
      <c r="V39" s="3370"/>
      <c r="W39" s="3370"/>
      <c r="X39" s="329"/>
      <c r="Y39" s="329"/>
      <c r="Z39" s="329"/>
      <c r="AA39" s="329"/>
      <c r="AB39" s="329"/>
      <c r="AC39" s="329"/>
    </row>
    <row r="40" spans="1:29">
      <c r="G40" s="2728"/>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9"/>
      <c r="L44" s="2726"/>
      <c r="P44" s="594"/>
      <c r="Q44" s="594"/>
      <c r="R44" s="594"/>
      <c r="S44" s="594"/>
      <c r="T44" s="594"/>
      <c r="U44" s="594"/>
      <c r="V44" s="594"/>
      <c r="W44" s="594"/>
      <c r="X44" s="594"/>
      <c r="Y44" s="594"/>
      <c r="Z44" s="594"/>
      <c r="AA44" s="594"/>
      <c r="AB44" s="594"/>
      <c r="AC44" s="594"/>
    </row>
    <row r="45" spans="1:29" s="381" customFormat="1">
      <c r="B45" s="2727"/>
      <c r="C45" s="2730"/>
      <c r="K45" s="2729"/>
      <c r="L45" s="2726"/>
      <c r="P45" s="594"/>
      <c r="Q45" s="594"/>
      <c r="R45" s="594"/>
      <c r="S45" s="594"/>
      <c r="T45" s="594"/>
      <c r="U45" s="594"/>
      <c r="V45" s="594"/>
      <c r="W45" s="594"/>
      <c r="X45" s="594"/>
      <c r="Y45" s="594"/>
      <c r="Z45" s="594"/>
      <c r="AA45" s="594"/>
      <c r="AB45" s="594"/>
      <c r="AC45" s="594"/>
    </row>
    <row r="46" spans="1:29">
      <c r="B46" s="2727"/>
      <c r="C46" s="2730"/>
      <c r="P46" s="329"/>
      <c r="Q46" s="329"/>
      <c r="R46" s="329"/>
      <c r="S46" s="329"/>
      <c r="T46" s="329"/>
      <c r="U46" s="329"/>
      <c r="V46" s="329"/>
      <c r="W46" s="329"/>
      <c r="X46" s="329"/>
      <c r="Y46" s="329"/>
      <c r="Z46" s="329"/>
      <c r="AA46" s="329"/>
      <c r="AB46" s="329"/>
      <c r="AC46" s="329"/>
    </row>
    <row r="47" spans="1:29" ht="22.2" thickBot="1">
      <c r="A47" s="1037" t="s">
        <v>2186</v>
      </c>
      <c r="B47" s="868"/>
      <c r="C47" s="876"/>
      <c r="D47" s="876"/>
      <c r="E47" s="876"/>
      <c r="F47" s="1038"/>
      <c r="G47" s="1038"/>
      <c r="H47" s="876"/>
      <c r="I47" s="876"/>
      <c r="J47" s="876"/>
      <c r="K47" s="874"/>
      <c r="L47" s="599"/>
      <c r="M47" s="596"/>
      <c r="N47" s="596"/>
      <c r="O47" s="596"/>
      <c r="P47" s="596"/>
      <c r="Q47" s="1036"/>
      <c r="R47" s="329"/>
      <c r="S47" s="329"/>
      <c r="T47" s="329"/>
      <c r="U47" s="329"/>
      <c r="V47" s="329"/>
      <c r="W47" s="329"/>
      <c r="X47" s="329"/>
      <c r="Y47" s="329"/>
      <c r="Z47" s="329"/>
      <c r="AA47" s="329"/>
      <c r="AB47" s="329"/>
      <c r="AC47" s="329"/>
    </row>
    <row r="48" spans="1:29" s="386" customFormat="1" ht="14.4">
      <c r="A48" s="384" t="s">
        <v>2187</v>
      </c>
      <c r="B48" s="385"/>
      <c r="C48" s="1061" t="str">
        <f>YEAR(C7)&amp;"-"&amp;MONTH(C7)</f>
        <v>2022-12</v>
      </c>
      <c r="D48" s="1062">
        <f>EDATE(C48,-1)</f>
        <v>44866</v>
      </c>
      <c r="E48" s="1062">
        <f t="shared" ref="E48:O48" si="16">EDATE(D48,-1)</f>
        <v>44835</v>
      </c>
      <c r="F48" s="1062">
        <f t="shared" si="16"/>
        <v>44805</v>
      </c>
      <c r="G48" s="1062">
        <f t="shared" si="16"/>
        <v>44774</v>
      </c>
      <c r="H48" s="1062">
        <f t="shared" si="16"/>
        <v>44743</v>
      </c>
      <c r="I48" s="1062">
        <f t="shared" si="16"/>
        <v>44713</v>
      </c>
      <c r="J48" s="1062">
        <f t="shared" si="16"/>
        <v>44682</v>
      </c>
      <c r="K48" s="1062">
        <f t="shared" si="16"/>
        <v>44652</v>
      </c>
      <c r="L48" s="1062">
        <f t="shared" si="16"/>
        <v>44621</v>
      </c>
      <c r="M48" s="1062">
        <f t="shared" si="16"/>
        <v>44593</v>
      </c>
      <c r="N48" s="1062">
        <f t="shared" si="16"/>
        <v>44562</v>
      </c>
      <c r="O48" s="1062">
        <f t="shared" si="16"/>
        <v>44531</v>
      </c>
    </row>
    <row r="49" spans="1:17" s="24" customFormat="1">
      <c r="A49" s="387"/>
      <c r="B49" s="388"/>
      <c r="C49" s="1060">
        <v>100</v>
      </c>
      <c r="D49" s="389"/>
      <c r="E49" s="389"/>
      <c r="F49" s="389"/>
      <c r="G49" s="389"/>
      <c r="H49" s="389"/>
      <c r="I49" s="389"/>
      <c r="J49" s="389"/>
      <c r="K49" s="389"/>
      <c r="L49" s="389"/>
      <c r="M49" s="390"/>
      <c r="N49" s="389"/>
      <c r="O49" s="391"/>
      <c r="P49" s="383"/>
    </row>
    <row r="50" spans="1:17" s="24" customFormat="1" ht="15" thickBot="1">
      <c r="A50" s="392" t="s">
        <v>2057</v>
      </c>
      <c r="B50" s="393"/>
      <c r="C50" s="394"/>
      <c r="D50" s="395"/>
      <c r="E50" s="395"/>
      <c r="F50" s="395"/>
      <c r="G50" s="395"/>
      <c r="H50" s="395"/>
      <c r="I50" s="395"/>
      <c r="J50" s="395"/>
      <c r="K50" s="395"/>
      <c r="L50" s="395"/>
      <c r="M50" s="396"/>
      <c r="N50" s="395"/>
      <c r="O50" s="397"/>
      <c r="P50" s="383"/>
      <c r="Q50" s="383"/>
    </row>
    <row r="51" spans="1:17" s="24" customFormat="1" ht="14.4">
      <c r="A51" s="398" t="s">
        <v>2021</v>
      </c>
      <c r="B51" s="388"/>
      <c r="C51" s="399" t="s">
        <v>2022</v>
      </c>
      <c r="D51" s="400"/>
      <c r="E51" s="400"/>
      <c r="F51" s="400"/>
      <c r="G51" s="400"/>
      <c r="H51" s="400"/>
      <c r="I51" s="400"/>
      <c r="J51" s="400"/>
      <c r="K51" s="400"/>
      <c r="L51" s="401"/>
      <c r="M51" s="402"/>
      <c r="N51" s="17"/>
      <c r="O51" s="17"/>
      <c r="P51" s="403"/>
      <c r="Q51" s="383"/>
    </row>
    <row r="52" spans="1:17" s="24" customFormat="1" ht="14.4" thickBot="1">
      <c r="A52" s="398"/>
      <c r="B52" s="388"/>
      <c r="C52" s="505">
        <v>100</v>
      </c>
      <c r="D52" s="389"/>
      <c r="E52" s="389"/>
      <c r="F52" s="389"/>
      <c r="G52" s="389"/>
      <c r="H52" s="389"/>
      <c r="I52" s="389"/>
      <c r="J52" s="389"/>
      <c r="K52" s="389"/>
      <c r="L52" s="389"/>
      <c r="M52" s="391"/>
      <c r="N52" s="17"/>
      <c r="O52" s="17"/>
      <c r="P52" s="383"/>
      <c r="Q52" s="383"/>
    </row>
    <row r="53" spans="1:17" ht="14.4">
      <c r="A53" s="324" t="s">
        <v>2060</v>
      </c>
      <c r="B53" s="404" t="s">
        <v>2025</v>
      </c>
      <c r="C53" s="405">
        <f>C9</f>
        <v>0</v>
      </c>
      <c r="D53" s="406"/>
      <c r="E53" s="406"/>
      <c r="F53" s="406"/>
      <c r="G53" s="406"/>
      <c r="H53" s="406"/>
      <c r="I53" s="406"/>
      <c r="J53" s="406"/>
      <c r="K53" s="407"/>
      <c r="L53" s="408"/>
      <c r="M53" s="409"/>
      <c r="N53" s="410"/>
      <c r="O53" s="410"/>
      <c r="P53" s="17"/>
      <c r="Q53" s="383"/>
    </row>
    <row r="54" spans="1:17" ht="14.4" thickBot="1">
      <c r="A54" s="313"/>
      <c r="B54" s="411"/>
      <c r="C54" s="412">
        <v>100</v>
      </c>
      <c r="D54" s="412"/>
      <c r="E54" s="412"/>
      <c r="F54" s="412"/>
      <c r="G54" s="412"/>
      <c r="H54" s="412"/>
      <c r="I54" s="412"/>
      <c r="J54" s="412"/>
      <c r="K54" s="412"/>
      <c r="L54" s="412"/>
      <c r="M54" s="413"/>
      <c r="N54" s="414"/>
      <c r="O54" s="414"/>
      <c r="P54" s="17"/>
      <c r="Q54" s="383"/>
    </row>
    <row r="55" spans="1:17" ht="29.4" thickTop="1">
      <c r="A55" s="313"/>
      <c r="B55" s="415" t="s">
        <v>2028</v>
      </c>
      <c r="C55" s="416" t="s">
        <v>2061</v>
      </c>
      <c r="D55" s="416" t="s">
        <v>2062</v>
      </c>
      <c r="E55" s="416" t="s">
        <v>2063</v>
      </c>
      <c r="F55" s="416" t="s">
        <v>2064</v>
      </c>
      <c r="G55" s="416" t="s">
        <v>2065</v>
      </c>
      <c r="H55" s="416" t="s">
        <v>2066</v>
      </c>
      <c r="I55" s="416" t="s">
        <v>2067</v>
      </c>
      <c r="J55" s="416"/>
      <c r="K55" s="417"/>
      <c r="L55" s="418"/>
      <c r="M55" s="419"/>
      <c r="N55" s="410"/>
      <c r="O55" s="410"/>
      <c r="P55" s="17"/>
      <c r="Q55" s="383"/>
    </row>
    <row r="56" spans="1:17" ht="14.4"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4" thickTop="1">
      <c r="A57" s="313"/>
      <c r="B57" s="522">
        <f>B11</f>
        <v>111</v>
      </c>
      <c r="C57" s="426"/>
      <c r="D57" s="426"/>
      <c r="E57" s="426"/>
      <c r="F57" s="426"/>
      <c r="G57" s="426"/>
      <c r="H57" s="426"/>
      <c r="I57" s="426"/>
      <c r="J57" s="426"/>
      <c r="K57" s="427"/>
      <c r="L57" s="428"/>
      <c r="M57" s="429"/>
      <c r="N57" s="410"/>
      <c r="O57" s="410"/>
      <c r="P57" s="17"/>
      <c r="Q57" s="383"/>
    </row>
    <row r="58" spans="1:17" ht="14.4" thickBot="1">
      <c r="A58" s="313"/>
      <c r="B58" s="411"/>
      <c r="C58" s="437"/>
      <c r="D58" s="412"/>
      <c r="E58" s="412"/>
      <c r="F58" s="412"/>
      <c r="G58" s="412"/>
      <c r="H58" s="412"/>
      <c r="I58" s="412"/>
      <c r="J58" s="412"/>
      <c r="K58" s="412"/>
      <c r="L58" s="412"/>
      <c r="M58" s="413"/>
      <c r="N58" s="414"/>
      <c r="O58" s="414"/>
      <c r="P58" s="17"/>
      <c r="Q58" s="383"/>
    </row>
    <row r="59" spans="1:17" s="352" customFormat="1" ht="14.4" thickTop="1">
      <c r="A59" s="430"/>
      <c r="B59" s="415">
        <f>B12</f>
        <v>111</v>
      </c>
      <c r="C59" s="426"/>
      <c r="D59" s="426"/>
      <c r="E59" s="426"/>
      <c r="F59" s="426"/>
      <c r="G59" s="431"/>
      <c r="H59" s="432"/>
      <c r="I59" s="432"/>
      <c r="J59" s="432"/>
      <c r="K59" s="432"/>
      <c r="L59" s="433"/>
      <c r="M59" s="434"/>
      <c r="N59" s="435"/>
      <c r="O59" s="435"/>
      <c r="P59" s="435"/>
      <c r="Q59" s="436"/>
    </row>
    <row r="60" spans="1:17" s="352" customFormat="1" ht="14.4" thickBot="1">
      <c r="A60" s="430"/>
      <c r="B60" s="420"/>
      <c r="C60" s="437"/>
      <c r="D60" s="412"/>
      <c r="E60" s="412"/>
      <c r="F60" s="412"/>
      <c r="G60" s="412"/>
      <c r="H60" s="412"/>
      <c r="I60" s="412"/>
      <c r="J60" s="412"/>
      <c r="K60" s="412"/>
      <c r="L60" s="412"/>
      <c r="M60" s="413"/>
      <c r="N60" s="414"/>
      <c r="O60" s="414"/>
      <c r="P60" s="435"/>
      <c r="Q60" s="436"/>
    </row>
    <row r="61" spans="1:17" s="352" customFormat="1" ht="14.4" thickTop="1">
      <c r="A61" s="430"/>
      <c r="B61" s="415">
        <f>B13</f>
        <v>111</v>
      </c>
      <c r="C61" s="431"/>
      <c r="D61" s="431"/>
      <c r="E61" s="431"/>
      <c r="F61" s="431"/>
      <c r="G61" s="431"/>
      <c r="H61" s="432"/>
      <c r="I61" s="432"/>
      <c r="J61" s="432"/>
      <c r="K61" s="432"/>
      <c r="L61" s="433"/>
      <c r="M61" s="434"/>
      <c r="N61" s="435"/>
      <c r="O61" s="435"/>
      <c r="Q61" s="438"/>
    </row>
    <row r="62" spans="1:17" s="352" customFormat="1" ht="14.4" thickBot="1">
      <c r="A62" s="430"/>
      <c r="B62" s="420"/>
      <c r="C62" s="437"/>
      <c r="D62" s="437"/>
      <c r="E62" s="437"/>
      <c r="F62" s="437"/>
      <c r="G62" s="437"/>
      <c r="H62" s="439"/>
      <c r="I62" s="439"/>
      <c r="J62" s="439"/>
      <c r="K62" s="439"/>
      <c r="L62" s="439"/>
      <c r="M62" s="440"/>
      <c r="N62" s="435"/>
      <c r="O62" s="435"/>
      <c r="P62" s="435"/>
      <c r="Q62" s="436"/>
    </row>
    <row r="63" spans="1:17" ht="15" thickTop="1">
      <c r="A63" s="324" t="s">
        <v>2030</v>
      </c>
      <c r="B63" s="404" t="s">
        <v>2074</v>
      </c>
      <c r="C63" s="450" t="s">
        <v>2069</v>
      </c>
      <c r="D63" s="450" t="s">
        <v>2070</v>
      </c>
      <c r="E63" s="450" t="s">
        <v>2071</v>
      </c>
      <c r="F63" s="450" t="s">
        <v>2072</v>
      </c>
      <c r="G63" s="450" t="s">
        <v>2073</v>
      </c>
      <c r="H63" s="405"/>
      <c r="I63" s="405"/>
      <c r="J63" s="405"/>
      <c r="K63" s="451"/>
      <c r="L63" s="452"/>
      <c r="M63" s="453"/>
      <c r="N63" s="410"/>
      <c r="O63" s="410"/>
      <c r="P63" s="454"/>
      <c r="Q63" s="383"/>
    </row>
    <row r="64" spans="1:17" ht="14.4"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 thickTop="1">
      <c r="A65" s="313"/>
      <c r="B65" s="415" t="s">
        <v>2075</v>
      </c>
      <c r="C65" s="455" t="s">
        <v>2069</v>
      </c>
      <c r="D65" s="455" t="s">
        <v>2070</v>
      </c>
      <c r="E65" s="455" t="s">
        <v>2071</v>
      </c>
      <c r="F65" s="455" t="s">
        <v>2072</v>
      </c>
      <c r="G65" s="455" t="s">
        <v>2073</v>
      </c>
      <c r="H65" s="416"/>
      <c r="I65" s="416"/>
      <c r="J65" s="416"/>
      <c r="K65" s="417"/>
      <c r="L65" s="418"/>
      <c r="M65" s="419"/>
      <c r="N65" s="410"/>
      <c r="O65" s="410"/>
      <c r="P65" s="17"/>
      <c r="Q65" s="383"/>
    </row>
    <row r="66" spans="1:17" ht="14.4"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 thickTop="1">
      <c r="A67" s="313"/>
      <c r="B67" s="423" t="s">
        <v>2147</v>
      </c>
      <c r="C67" s="416" t="s">
        <v>2076</v>
      </c>
      <c r="D67" s="416" t="s">
        <v>2077</v>
      </c>
      <c r="E67" s="416" t="s">
        <v>2078</v>
      </c>
      <c r="F67" s="416" t="s">
        <v>2079</v>
      </c>
      <c r="G67" s="416" t="s">
        <v>2080</v>
      </c>
      <c r="H67" s="416"/>
      <c r="I67" s="416"/>
      <c r="J67" s="416"/>
      <c r="K67" s="416"/>
      <c r="L67" s="416"/>
      <c r="M67" s="1010"/>
      <c r="N67" s="414"/>
      <c r="O67" s="414"/>
      <c r="P67" s="17"/>
      <c r="Q67" s="383"/>
    </row>
    <row r="68" spans="1:17" ht="14.4"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 thickTop="1">
      <c r="A69" s="313"/>
      <c r="B69" s="415" t="s">
        <v>2081</v>
      </c>
      <c r="C69" s="455" t="s">
        <v>2069</v>
      </c>
      <c r="D69" s="455" t="s">
        <v>2070</v>
      </c>
      <c r="E69" s="455" t="s">
        <v>2071</v>
      </c>
      <c r="F69" s="455" t="s">
        <v>2072</v>
      </c>
      <c r="G69" s="455" t="s">
        <v>2073</v>
      </c>
      <c r="H69" s="416"/>
      <c r="I69" s="416"/>
      <c r="J69" s="416"/>
      <c r="K69" s="417"/>
      <c r="L69" s="418"/>
      <c r="M69" s="419"/>
      <c r="N69" s="410"/>
      <c r="O69" s="410"/>
      <c r="P69" s="17"/>
      <c r="Q69" s="383"/>
    </row>
    <row r="70" spans="1:17" ht="14.4"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 thickTop="1">
      <c r="A71" s="313"/>
      <c r="B71" s="415" t="s">
        <v>2188</v>
      </c>
      <c r="C71" s="431"/>
      <c r="D71" s="431"/>
      <c r="E71" s="431"/>
      <c r="F71" s="431"/>
      <c r="G71" s="431"/>
      <c r="H71" s="459"/>
      <c r="I71" s="459"/>
      <c r="J71" s="459"/>
      <c r="K71" s="460"/>
      <c r="L71" s="461"/>
      <c r="M71" s="462"/>
      <c r="N71" s="410"/>
      <c r="O71" s="410"/>
      <c r="P71" s="17"/>
      <c r="Q71" s="383"/>
    </row>
    <row r="72" spans="1:17" ht="14.4"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4" thickTop="1">
      <c r="A73" s="316"/>
      <c r="B73" s="415">
        <f>B23</f>
        <v>111</v>
      </c>
      <c r="C73" s="426"/>
      <c r="D73" s="426"/>
      <c r="E73" s="426"/>
      <c r="F73" s="426"/>
      <c r="G73" s="431"/>
      <c r="H73" s="431"/>
      <c r="I73" s="431"/>
      <c r="J73" s="431"/>
      <c r="K73" s="431"/>
      <c r="L73" s="456"/>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24" customFormat="1" ht="14.4" thickTop="1">
      <c r="A75" s="316"/>
      <c r="B75" s="415">
        <f>B24</f>
        <v>111</v>
      </c>
      <c r="C75" s="426"/>
      <c r="D75" s="426"/>
      <c r="E75" s="426"/>
      <c r="F75" s="426"/>
      <c r="G75" s="431"/>
      <c r="H75" s="431"/>
      <c r="I75" s="431"/>
      <c r="J75" s="431"/>
      <c r="K75" s="431"/>
      <c r="L75" s="431"/>
      <c r="M75" s="457"/>
      <c r="N75" s="17"/>
      <c r="O75" s="17"/>
      <c r="P75" s="17"/>
      <c r="Q75" s="383"/>
    </row>
    <row r="76" spans="1:17" s="24" customFormat="1" ht="14.4" thickBot="1">
      <c r="A76" s="316"/>
      <c r="B76" s="420"/>
      <c r="C76" s="437"/>
      <c r="D76" s="412"/>
      <c r="E76" s="412"/>
      <c r="F76" s="412"/>
      <c r="G76" s="412"/>
      <c r="H76" s="412"/>
      <c r="I76" s="412"/>
      <c r="J76" s="412"/>
      <c r="K76" s="412"/>
      <c r="L76" s="412"/>
      <c r="M76" s="413"/>
      <c r="N76" s="414"/>
      <c r="O76" s="414"/>
      <c r="P76" s="17"/>
      <c r="Q76" s="383"/>
    </row>
    <row r="77" spans="1:17" s="352" customFormat="1" ht="14.4" thickTop="1">
      <c r="A77" s="430"/>
      <c r="B77" s="415">
        <f>B25</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37"/>
      <c r="E78" s="437"/>
      <c r="F78" s="437"/>
      <c r="G78" s="412"/>
      <c r="H78" s="412"/>
      <c r="I78" s="412"/>
      <c r="J78" s="412"/>
      <c r="K78" s="412"/>
      <c r="L78" s="412"/>
      <c r="M78" s="413"/>
      <c r="N78" s="435"/>
      <c r="O78" s="435"/>
      <c r="P78" s="435"/>
      <c r="Q78" s="436"/>
    </row>
    <row r="79" spans="1:17" ht="29.4" thickTop="1">
      <c r="A79" s="324" t="s">
        <v>2035</v>
      </c>
      <c r="B79" s="404" t="s">
        <v>2189</v>
      </c>
      <c r="C79" s="405">
        <f>C26</f>
        <v>0</v>
      </c>
      <c r="D79" s="406"/>
      <c r="E79" s="406"/>
      <c r="F79" s="406"/>
      <c r="G79" s="406"/>
      <c r="H79" s="406"/>
      <c r="I79" s="406"/>
      <c r="J79" s="406"/>
      <c r="K79" s="407"/>
      <c r="L79" s="408"/>
      <c r="M79" s="409"/>
      <c r="N79" s="410"/>
      <c r="O79" s="410"/>
      <c r="P79" s="17"/>
      <c r="Q79" s="383"/>
    </row>
    <row r="80" spans="1:17" ht="14.4"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 thickTop="1">
      <c r="A81" s="313"/>
      <c r="B81" s="415" t="s">
        <v>2190</v>
      </c>
      <c r="C81" s="523"/>
      <c r="D81" s="523"/>
      <c r="E81" s="523"/>
      <c r="F81" s="523"/>
      <c r="G81" s="523"/>
      <c r="H81" s="523"/>
      <c r="I81" s="523"/>
      <c r="J81" s="523"/>
      <c r="K81" s="524"/>
      <c r="L81" s="525"/>
      <c r="M81" s="526"/>
      <c r="N81" s="17"/>
      <c r="O81" s="17"/>
      <c r="P81" s="17"/>
      <c r="Q81" s="383"/>
    </row>
    <row r="82" spans="1:17" s="352" customFormat="1" ht="14.4"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2088</v>
      </c>
      <c r="C83" s="431"/>
      <c r="D83" s="431"/>
      <c r="E83" s="459"/>
      <c r="F83" s="459"/>
      <c r="G83" s="459"/>
      <c r="H83" s="459"/>
      <c r="I83" s="459"/>
      <c r="J83" s="459"/>
      <c r="K83" s="460"/>
      <c r="L83" s="461"/>
      <c r="M83" s="462"/>
      <c r="N83" s="410"/>
      <c r="O83" s="410"/>
      <c r="P83" s="17"/>
      <c r="Q83" s="383"/>
    </row>
    <row r="84" spans="1:17" ht="14.4"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4"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2192</v>
      </c>
      <c r="C88" s="406"/>
      <c r="D88" s="406"/>
      <c r="E88" s="406"/>
      <c r="F88" s="406"/>
      <c r="G88" s="406"/>
      <c r="H88" s="406"/>
      <c r="I88" s="406"/>
      <c r="J88" s="406"/>
      <c r="K88" s="407"/>
      <c r="L88" s="408"/>
      <c r="M88" s="409"/>
      <c r="N88" s="410"/>
      <c r="O88" s="410"/>
      <c r="P88" s="17"/>
      <c r="Q88" s="383"/>
    </row>
    <row r="89" spans="1:17" ht="14.4"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2194</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2195</v>
      </c>
      <c r="C95" s="406"/>
      <c r="D95" s="406"/>
      <c r="E95" s="406"/>
      <c r="F95" s="406"/>
      <c r="G95" s="406"/>
      <c r="H95" s="406"/>
      <c r="I95" s="406"/>
      <c r="J95" s="406"/>
      <c r="K95" s="407"/>
      <c r="L95" s="408"/>
      <c r="M95" s="409"/>
      <c r="N95" s="410"/>
      <c r="O95" s="410"/>
      <c r="P95" s="17"/>
      <c r="Q95" s="383"/>
    </row>
    <row r="96" spans="1:17" ht="14.4"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4" thickTop="1">
      <c r="A97" s="353"/>
      <c r="B97" s="503">
        <f>B34</f>
        <v>111</v>
      </c>
      <c r="C97" s="426"/>
      <c r="D97" s="426"/>
      <c r="E97" s="426"/>
      <c r="F97" s="426"/>
      <c r="G97" s="431"/>
      <c r="H97" s="432"/>
      <c r="I97" s="432"/>
      <c r="J97" s="432"/>
      <c r="K97" s="432"/>
      <c r="L97" s="433"/>
      <c r="M97" s="434"/>
      <c r="N97" s="414"/>
      <c r="O97" s="414"/>
      <c r="P97" s="414"/>
      <c r="Q97" s="504"/>
    </row>
    <row r="98" spans="1:17" ht="14.4" thickBot="1">
      <c r="A98" s="313"/>
      <c r="B98" s="420"/>
      <c r="C98" s="437"/>
      <c r="D98" s="412"/>
      <c r="E98" s="412"/>
      <c r="F98" s="412"/>
      <c r="G98" s="437"/>
      <c r="H98" s="439"/>
      <c r="I98" s="439"/>
      <c r="J98" s="439"/>
      <c r="K98" s="439"/>
      <c r="L98" s="439"/>
      <c r="M98" s="440"/>
      <c r="N98" s="414"/>
      <c r="O98" s="414"/>
      <c r="P98" s="17"/>
      <c r="Q98" s="383"/>
    </row>
    <row r="99" spans="1:17" s="352" customFormat="1" ht="14.4" thickTop="1">
      <c r="A99" s="350"/>
      <c r="B99" s="415">
        <f>B35</f>
        <v>111</v>
      </c>
      <c r="C99" s="426"/>
      <c r="D99" s="426"/>
      <c r="E99" s="426"/>
      <c r="F99" s="426"/>
      <c r="G99" s="431"/>
      <c r="H99" s="432"/>
      <c r="I99" s="432"/>
      <c r="J99" s="432"/>
      <c r="K99" s="432"/>
      <c r="L99" s="433"/>
      <c r="M99" s="434"/>
      <c r="N99" s="435"/>
      <c r="O99" s="435"/>
      <c r="P99" s="435"/>
      <c r="Q99" s="436"/>
    </row>
    <row r="100" spans="1:17" s="352" customFormat="1" ht="14.4" thickBot="1">
      <c r="A100" s="430"/>
      <c r="B100" s="411"/>
      <c r="C100" s="437"/>
      <c r="D100" s="412"/>
      <c r="E100" s="412"/>
      <c r="F100" s="412"/>
      <c r="G100" s="437"/>
      <c r="H100" s="439"/>
      <c r="I100" s="439"/>
      <c r="J100" s="439"/>
      <c r="K100" s="439"/>
      <c r="L100" s="439"/>
      <c r="M100" s="440"/>
      <c r="N100" s="435"/>
      <c r="O100" s="435"/>
      <c r="P100" s="435"/>
      <c r="Q100" s="436"/>
    </row>
    <row r="101" spans="1:17" ht="14.4" thickTop="1">
      <c r="A101" s="353"/>
      <c r="B101" s="415">
        <f>B36</f>
        <v>111</v>
      </c>
      <c r="C101" s="431"/>
      <c r="D101" s="431"/>
      <c r="E101" s="431"/>
      <c r="F101" s="431"/>
      <c r="G101" s="431"/>
      <c r="H101" s="432"/>
      <c r="I101" s="432"/>
      <c r="J101" s="432"/>
      <c r="K101" s="432"/>
      <c r="L101" s="433"/>
      <c r="M101" s="434"/>
      <c r="N101" s="410"/>
      <c r="O101" s="410"/>
      <c r="P101" s="17"/>
      <c r="Q101" s="383"/>
    </row>
    <row r="102" spans="1:17" ht="14.4" thickBot="1">
      <c r="A102" s="313"/>
      <c r="B102" s="420"/>
      <c r="C102" s="437"/>
      <c r="D102" s="437"/>
      <c r="E102" s="437"/>
      <c r="F102" s="437"/>
      <c r="G102" s="437"/>
      <c r="H102" s="439"/>
      <c r="I102" s="439"/>
      <c r="J102" s="439"/>
      <c r="K102" s="439"/>
      <c r="L102" s="439"/>
      <c r="M102" s="440"/>
      <c r="N102" s="414"/>
      <c r="O102" s="414"/>
      <c r="P102" s="17"/>
      <c r="Q102" s="383"/>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2166</v>
      </c>
      <c r="B1" s="1421"/>
      <c r="C1" s="1094"/>
      <c r="D1" s="1104"/>
      <c r="E1" s="1402" t="s">
        <v>2504</v>
      </c>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IF(D2="——",IF(C2="元",ROUND(C37*D3,0),ROUND(C37*D3/10000,0)),IF(C2="元",ROUND(C37*D3,0),ROUND(C37*D3/10000,0))-E2)</f>
        <v>#DIV/0!</v>
      </c>
      <c r="C2" s="75" t="str">
        <f>'数据-取费表'!B3</f>
        <v>元</v>
      </c>
      <c r="D2" s="1403"/>
      <c r="E2" s="1103" t="e">
        <f ca="1">SUMIF(INDIRECT("'"&amp;G2&amp;"'"&amp;"!A:A"),"承租人权益价值",INDIRECT("'"&amp;G2&amp;"'"&amp;"!c:c"))</f>
        <v>#REF!</v>
      </c>
      <c r="F2" s="1404" t="str">
        <f>C2</f>
        <v>元</v>
      </c>
      <c r="G2" s="1405"/>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 ca="1">ROUND(IF(D2="——",C37,IF(C2="万元",B2*10000/D3,B2/D3)),0)</f>
        <v>#DIV/0!</v>
      </c>
      <c r="C3" s="289" t="s">
        <v>2005</v>
      </c>
      <c r="D3" s="288">
        <f>IF(C1="仅计算典型户型",'数据-取费表'!E5,'数据-取费表'!B5)</f>
        <v>165.59</v>
      </c>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89" t="s">
        <v>2007</v>
      </c>
      <c r="D4" s="3390"/>
      <c r="E4" s="3391" t="s">
        <v>2008</v>
      </c>
      <c r="F4" s="3392"/>
      <c r="G4" s="3389" t="s">
        <v>2009</v>
      </c>
      <c r="H4" s="3390"/>
      <c r="I4" s="3389" t="s">
        <v>2010</v>
      </c>
      <c r="J4" s="3390"/>
      <c r="K4" s="482" t="s">
        <v>2011</v>
      </c>
      <c r="L4" s="2716"/>
      <c r="P4" s="3393" t="s">
        <v>2012</v>
      </c>
      <c r="Q4" s="3394"/>
      <c r="R4" s="3376" t="s">
        <v>2008</v>
      </c>
      <c r="S4" s="3377"/>
      <c r="T4" s="3376" t="s">
        <v>2009</v>
      </c>
      <c r="U4" s="3377"/>
      <c r="V4" s="3367" t="s">
        <v>2010</v>
      </c>
      <c r="W4" s="3367"/>
      <c r="X4" s="1202"/>
      <c r="Y4" s="3376" t="s">
        <v>2012</v>
      </c>
      <c r="Z4" s="3377"/>
      <c r="AA4" s="3386" t="s">
        <v>2008</v>
      </c>
      <c r="AB4" s="3387" t="s">
        <v>2009</v>
      </c>
      <c r="AC4" s="3386" t="s">
        <v>2010</v>
      </c>
    </row>
    <row r="5" spans="1:29">
      <c r="A5" s="293"/>
      <c r="B5" s="294"/>
      <c r="C5" s="3401" t="s">
        <v>2013</v>
      </c>
      <c r="D5" s="3402"/>
      <c r="E5" s="3399" t="s">
        <v>2014</v>
      </c>
      <c r="F5" s="3400"/>
      <c r="G5" s="3401" t="s">
        <v>2015</v>
      </c>
      <c r="H5" s="3402"/>
      <c r="I5" s="3401" t="s">
        <v>2016</v>
      </c>
      <c r="J5" s="3402"/>
      <c r="K5" s="482"/>
      <c r="L5" s="2716"/>
      <c r="P5" s="3395"/>
      <c r="Q5" s="3396"/>
      <c r="R5" s="3378"/>
      <c r="S5" s="3379"/>
      <c r="T5" s="3378"/>
      <c r="U5" s="3379"/>
      <c r="V5" s="3367"/>
      <c r="W5" s="3367"/>
      <c r="X5" s="1202"/>
      <c r="Y5" s="3378"/>
      <c r="Z5" s="3379"/>
      <c r="AA5" s="3387"/>
      <c r="AB5" s="3387"/>
      <c r="AC5" s="3387"/>
    </row>
    <row r="6" spans="1:29" ht="15" thickBot="1">
      <c r="A6" s="295"/>
      <c r="B6" s="296"/>
      <c r="C6" s="3403" t="s">
        <v>2017</v>
      </c>
      <c r="D6" s="3404"/>
      <c r="E6" s="3405" t="s">
        <v>2017</v>
      </c>
      <c r="F6" s="3406"/>
      <c r="G6" s="3403" t="s">
        <v>2017</v>
      </c>
      <c r="H6" s="3404"/>
      <c r="I6" s="3403" t="s">
        <v>2017</v>
      </c>
      <c r="J6" s="3404"/>
      <c r="K6" s="482" t="s">
        <v>2018</v>
      </c>
      <c r="L6" s="2716"/>
      <c r="P6" s="3397"/>
      <c r="Q6" s="3398"/>
      <c r="R6" s="3378"/>
      <c r="S6" s="3379"/>
      <c r="T6" s="3380"/>
      <c r="U6" s="3381"/>
      <c r="V6" s="3367"/>
      <c r="W6" s="3367"/>
      <c r="X6" s="1202"/>
      <c r="Y6" s="3380"/>
      <c r="Z6" s="3381"/>
      <c r="AA6" s="3388"/>
      <c r="AB6" s="3388"/>
      <c r="AC6" s="3388"/>
    </row>
    <row r="7" spans="1:29" s="24" customFormat="1" ht="15" thickBot="1">
      <c r="A7" s="297" t="s">
        <v>2019</v>
      </c>
      <c r="B7" s="298"/>
      <c r="C7" s="299">
        <f>'数据-取费表'!B2</f>
        <v>44901</v>
      </c>
      <c r="D7" s="300">
        <v>100</v>
      </c>
      <c r="E7" s="1414"/>
      <c r="F7" s="300">
        <f>SUMIF(46:46,YEAR(E7)&amp;"-"&amp;MONTH(E7),47:47)</f>
        <v>0</v>
      </c>
      <c r="G7" s="301"/>
      <c r="H7" s="300">
        <f>SUMIF(46:46,YEAR(G7)&amp;"-"&amp;MONTH(G7),47:47)</f>
        <v>0</v>
      </c>
      <c r="I7" s="301"/>
      <c r="J7" s="300">
        <f>SUMIF(46:46,YEAR(I7)&amp;"-"&amp;MONTH(I7),47:47)</f>
        <v>0</v>
      </c>
      <c r="K7" s="483"/>
      <c r="L7" s="2717"/>
      <c r="P7" s="3374" t="s">
        <v>2020</v>
      </c>
      <c r="Q7" s="3382"/>
      <c r="R7" s="601" t="s">
        <v>25</v>
      </c>
      <c r="S7" s="602">
        <f t="shared" ref="S7:S14" si="0">F7</f>
        <v>0</v>
      </c>
      <c r="T7" s="601" t="s">
        <v>25</v>
      </c>
      <c r="U7" s="602">
        <f t="shared" ref="U7:U14" si="1">H7</f>
        <v>0</v>
      </c>
      <c r="V7" s="601" t="s">
        <v>25</v>
      </c>
      <c r="W7" s="602">
        <f t="shared" ref="W7:W14" si="2">J7</f>
        <v>0</v>
      </c>
      <c r="X7" s="603"/>
      <c r="Y7" s="3374" t="s">
        <v>2020</v>
      </c>
      <c r="Z7" s="3375"/>
      <c r="AA7" s="18" t="e">
        <f>D7/F7</f>
        <v>#DIV/0!</v>
      </c>
      <c r="AB7" s="18" t="e">
        <f>D7/H7</f>
        <v>#DIV/0!</v>
      </c>
      <c r="AC7" s="18" t="e">
        <f>D7/J7</f>
        <v>#DIV/0!</v>
      </c>
    </row>
    <row r="8" spans="1:29" s="24" customFormat="1" ht="15" thickBot="1">
      <c r="A8" s="297" t="s">
        <v>2021</v>
      </c>
      <c r="B8" s="298"/>
      <c r="C8" s="303" t="s">
        <v>2022</v>
      </c>
      <c r="D8" s="300">
        <v>100</v>
      </c>
      <c r="E8" s="303"/>
      <c r="F8" s="302">
        <f>SUMIF(49:49,E8,50:50)-SUMIF(49:49,C8,50:50)+100</f>
        <v>0</v>
      </c>
      <c r="G8" s="303"/>
      <c r="H8" s="300">
        <f>SUMIF(49:49,G8,50:50)-SUMIF(49:49,C8,50:50)+100</f>
        <v>0</v>
      </c>
      <c r="I8" s="303"/>
      <c r="J8" s="300">
        <f>SUMIF(49:49,I8,50:50)-SUMIF(49:49,C8,50:50)+100</f>
        <v>0</v>
      </c>
      <c r="K8" s="483"/>
      <c r="L8" s="2717"/>
      <c r="P8" s="3374" t="s">
        <v>2023</v>
      </c>
      <c r="Q8" s="3375"/>
      <c r="R8" s="601" t="s">
        <v>25</v>
      </c>
      <c r="S8" s="602">
        <f t="shared" si="0"/>
        <v>0</v>
      </c>
      <c r="T8" s="601" t="s">
        <v>25</v>
      </c>
      <c r="U8" s="602">
        <f t="shared" si="1"/>
        <v>0</v>
      </c>
      <c r="V8" s="601" t="s">
        <v>25</v>
      </c>
      <c r="W8" s="602">
        <f t="shared" si="2"/>
        <v>0</v>
      </c>
      <c r="X8" s="603"/>
      <c r="Y8" s="3374" t="s">
        <v>2023</v>
      </c>
      <c r="Z8" s="3375"/>
      <c r="AA8" s="18" t="e">
        <f t="shared" ref="AA8:AA34" si="3">D8/F8</f>
        <v>#DIV/0!</v>
      </c>
      <c r="AB8" s="18" t="e">
        <f t="shared" ref="AB8:AB34" si="4">D8/H8</f>
        <v>#DIV/0!</v>
      </c>
      <c r="AC8" s="18" t="e">
        <f t="shared" ref="AC8:AC34" si="5">D8/J8</f>
        <v>#DIV/0!</v>
      </c>
    </row>
    <row r="9" spans="1:29" s="24" customFormat="1" ht="14.4">
      <c r="A9" s="304" t="s">
        <v>2024</v>
      </c>
      <c r="B9" s="23" t="s">
        <v>2025</v>
      </c>
      <c r="C9" s="305"/>
      <c r="D9" s="22">
        <v>100</v>
      </c>
      <c r="E9" s="307"/>
      <c r="F9" s="22">
        <f>SUMIF(51:51,E9,52:52)-SUMIF(51:51,C9,52:52)+100</f>
        <v>100</v>
      </c>
      <c r="G9" s="307"/>
      <c r="H9" s="22">
        <f>SUMIF(51:51,G9,52:52)-SUMIF(51:51,C9,52:52)+100</f>
        <v>100</v>
      </c>
      <c r="I9" s="307"/>
      <c r="J9" s="22">
        <f>SUMIF(51:51,I9,52:52)-SUMIF(51:51,C9,52:52)+100</f>
        <v>100</v>
      </c>
      <c r="K9" s="483"/>
      <c r="L9" s="2717"/>
      <c r="O9" s="2718"/>
      <c r="P9" s="3366" t="s">
        <v>2026</v>
      </c>
      <c r="Q9" s="477" t="str">
        <f t="shared" ref="Q9:Q14" si="6">B9</f>
        <v>用途</v>
      </c>
      <c r="R9" s="601" t="s">
        <v>25</v>
      </c>
      <c r="S9" s="602">
        <f t="shared" si="0"/>
        <v>100</v>
      </c>
      <c r="T9" s="601" t="s">
        <v>25</v>
      </c>
      <c r="U9" s="602">
        <f t="shared" si="1"/>
        <v>100</v>
      </c>
      <c r="V9" s="601" t="s">
        <v>25</v>
      </c>
      <c r="W9" s="602">
        <f t="shared" si="2"/>
        <v>100</v>
      </c>
      <c r="X9" s="603"/>
      <c r="Y9" s="3385" t="s">
        <v>2027</v>
      </c>
      <c r="Z9" s="18" t="str">
        <f t="shared" ref="Z9:Z14" si="7">Q9</f>
        <v>用途</v>
      </c>
      <c r="AA9" s="18">
        <f t="shared" si="3"/>
        <v>1</v>
      </c>
      <c r="AB9" s="18">
        <f t="shared" si="4"/>
        <v>1</v>
      </c>
      <c r="AC9" s="18">
        <f t="shared" si="5"/>
        <v>1</v>
      </c>
    </row>
    <row r="10" spans="1:29" s="312" customFormat="1" ht="28.8">
      <c r="A10" s="308"/>
      <c r="B10" s="309" t="s">
        <v>2028</v>
      </c>
      <c r="C10" s="310"/>
      <c r="D10" s="25">
        <v>100</v>
      </c>
      <c r="E10" s="310"/>
      <c r="F10" s="25">
        <f>SUMIF(53:53,E10,54:54)-SUMIF(53:53,C10,54:54)+100</f>
        <v>100</v>
      </c>
      <c r="G10" s="311"/>
      <c r="H10" s="25">
        <f>SUMIF(53:53,G10,54:54)-SUMIF(53:53,C10,54:54)+100</f>
        <v>100</v>
      </c>
      <c r="I10" s="310"/>
      <c r="J10" s="25">
        <f>SUMIF(53:53,I10,54:54)-SUMIF(53:53,C10,54:54)+100</f>
        <v>100</v>
      </c>
      <c r="K10" s="484"/>
      <c r="L10" s="2719"/>
      <c r="O10" s="2720"/>
      <c r="P10" s="3366"/>
      <c r="Q10" s="477" t="str">
        <f t="shared" si="6"/>
        <v>土地使用年限（年）</v>
      </c>
      <c r="R10" s="601" t="s">
        <v>25</v>
      </c>
      <c r="S10" s="602">
        <f t="shared" si="0"/>
        <v>100</v>
      </c>
      <c r="T10" s="601" t="s">
        <v>25</v>
      </c>
      <c r="U10" s="602">
        <f t="shared" si="1"/>
        <v>100</v>
      </c>
      <c r="V10" s="601" t="s">
        <v>25</v>
      </c>
      <c r="W10" s="602">
        <f t="shared" si="2"/>
        <v>100</v>
      </c>
      <c r="X10" s="603"/>
      <c r="Y10" s="3385"/>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21"/>
      <c r="O11" s="2722"/>
      <c r="P11" s="3366"/>
      <c r="Q11" s="477">
        <f t="shared" si="6"/>
        <v>111</v>
      </c>
      <c r="R11" s="601" t="s">
        <v>25</v>
      </c>
      <c r="S11" s="602">
        <f t="shared" si="0"/>
        <v>100</v>
      </c>
      <c r="T11" s="601" t="s">
        <v>25</v>
      </c>
      <c r="U11" s="602">
        <f t="shared" si="1"/>
        <v>100</v>
      </c>
      <c r="V11" s="601" t="s">
        <v>25</v>
      </c>
      <c r="W11" s="602">
        <f t="shared" si="2"/>
        <v>100</v>
      </c>
      <c r="X11" s="603"/>
      <c r="Y11" s="3385"/>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7"/>
      <c r="O12" s="2718"/>
      <c r="P12" s="3366"/>
      <c r="Q12" s="477">
        <f t="shared" si="6"/>
        <v>111</v>
      </c>
      <c r="R12" s="601" t="s">
        <v>25</v>
      </c>
      <c r="S12" s="602">
        <f t="shared" si="0"/>
        <v>100</v>
      </c>
      <c r="T12" s="601" t="s">
        <v>25</v>
      </c>
      <c r="U12" s="602">
        <f t="shared" si="1"/>
        <v>100</v>
      </c>
      <c r="V12" s="601" t="s">
        <v>25</v>
      </c>
      <c r="W12" s="602">
        <f t="shared" si="2"/>
        <v>100</v>
      </c>
      <c r="X12" s="603"/>
      <c r="Y12" s="3385"/>
      <c r="Z12" s="18">
        <f t="shared" si="7"/>
        <v>111</v>
      </c>
      <c r="AA12" s="18">
        <f>D12/F12</f>
        <v>1</v>
      </c>
      <c r="AB12" s="18">
        <f>D12/H12</f>
        <v>1</v>
      </c>
      <c r="AC12" s="18">
        <f>D12/J12</f>
        <v>1</v>
      </c>
    </row>
    <row r="13" spans="1:29" ht="15.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3"/>
      <c r="O13" s="2722"/>
      <c r="P13" s="3366"/>
      <c r="Q13" s="477">
        <f t="shared" si="6"/>
        <v>111</v>
      </c>
      <c r="R13" s="601" t="s">
        <v>25</v>
      </c>
      <c r="S13" s="602">
        <f t="shared" si="0"/>
        <v>100</v>
      </c>
      <c r="T13" s="601" t="s">
        <v>25</v>
      </c>
      <c r="U13" s="602">
        <f t="shared" si="1"/>
        <v>100</v>
      </c>
      <c r="V13" s="601" t="s">
        <v>25</v>
      </c>
      <c r="W13" s="602">
        <f t="shared" si="2"/>
        <v>100</v>
      </c>
      <c r="X13" s="603"/>
      <c r="Y13" s="3385"/>
      <c r="Z13" s="18">
        <f t="shared" si="7"/>
        <v>111</v>
      </c>
      <c r="AA13" s="18">
        <f t="shared" si="3"/>
        <v>1</v>
      </c>
      <c r="AB13" s="18">
        <f t="shared" si="4"/>
        <v>1</v>
      </c>
      <c r="AC13" s="18">
        <f t="shared" si="5"/>
        <v>1</v>
      </c>
    </row>
    <row r="14" spans="1:29" ht="96.6">
      <c r="A14" s="324" t="s">
        <v>2030</v>
      </c>
      <c r="B14" s="21" t="s">
        <v>2168</v>
      </c>
      <c r="C14" s="1420"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3"/>
      <c r="O14" s="2722"/>
      <c r="P14" s="3383" t="s">
        <v>2031</v>
      </c>
      <c r="Q14" s="636" t="str">
        <f t="shared" si="6"/>
        <v>交通便捷度</v>
      </c>
      <c r="R14" s="604" t="s">
        <v>25</v>
      </c>
      <c r="S14" s="605">
        <f t="shared" si="0"/>
        <v>100</v>
      </c>
      <c r="T14" s="604" t="s">
        <v>25</v>
      </c>
      <c r="U14" s="605">
        <f t="shared" si="1"/>
        <v>100</v>
      </c>
      <c r="V14" s="604" t="s">
        <v>25</v>
      </c>
      <c r="W14" s="605">
        <f t="shared" si="2"/>
        <v>100</v>
      </c>
      <c r="X14" s="1202"/>
      <c r="Y14" s="3383" t="s">
        <v>2031</v>
      </c>
      <c r="Z14" s="1203" t="str">
        <f t="shared" si="7"/>
        <v>交通便捷度</v>
      </c>
      <c r="AA14" s="1203">
        <f t="shared" si="3"/>
        <v>1</v>
      </c>
      <c r="AB14" s="1203">
        <f t="shared" si="4"/>
        <v>1</v>
      </c>
      <c r="AC14" s="1203">
        <f t="shared" si="5"/>
        <v>1</v>
      </c>
    </row>
    <row r="15" spans="1:29" ht="15">
      <c r="A15" s="313"/>
      <c r="B15" s="329"/>
      <c r="C15" s="330"/>
      <c r="D15" s="331"/>
      <c r="E15" s="330"/>
      <c r="F15" s="333"/>
      <c r="G15" s="330"/>
      <c r="H15" s="334"/>
      <c r="I15" s="330"/>
      <c r="J15" s="331"/>
      <c r="K15" s="487"/>
      <c r="L15" s="2723"/>
      <c r="O15" s="2722"/>
      <c r="P15" s="3384"/>
      <c r="Q15" s="636"/>
      <c r="R15" s="604"/>
      <c r="S15" s="605"/>
      <c r="T15" s="604"/>
      <c r="U15" s="605"/>
      <c r="V15" s="604"/>
      <c r="W15" s="605"/>
      <c r="X15" s="1202"/>
      <c r="Y15" s="3384"/>
      <c r="Z15" s="1203"/>
      <c r="AA15" s="1203">
        <v>1</v>
      </c>
      <c r="AB15" s="1203">
        <v>1</v>
      </c>
      <c r="AC15" s="1203">
        <v>1</v>
      </c>
    </row>
    <row r="16" spans="1:29" ht="41.4">
      <c r="A16" s="313"/>
      <c r="B16" s="499" t="s">
        <v>2146</v>
      </c>
      <c r="C16" s="1409"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3"/>
      <c r="O16" s="2722"/>
      <c r="P16" s="3384"/>
      <c r="Q16" s="636" t="str">
        <f>B16</f>
        <v>公共配套设施</v>
      </c>
      <c r="R16" s="604" t="s">
        <v>25</v>
      </c>
      <c r="S16" s="605">
        <f>F16</f>
        <v>100</v>
      </c>
      <c r="T16" s="604" t="s">
        <v>25</v>
      </c>
      <c r="U16" s="605">
        <f>H16</f>
        <v>100</v>
      </c>
      <c r="V16" s="604" t="s">
        <v>25</v>
      </c>
      <c r="W16" s="605">
        <f>J16</f>
        <v>100</v>
      </c>
      <c r="X16" s="1202"/>
      <c r="Y16" s="3384"/>
      <c r="Z16" s="1203" t="str">
        <f>Q16</f>
        <v>公共配套设施</v>
      </c>
      <c r="AA16" s="1203">
        <f t="shared" si="3"/>
        <v>1</v>
      </c>
      <c r="AB16" s="1203">
        <f t="shared" si="4"/>
        <v>1</v>
      </c>
      <c r="AC16" s="1203">
        <f t="shared" si="5"/>
        <v>1</v>
      </c>
    </row>
    <row r="17" spans="1:29" ht="15">
      <c r="A17" s="313"/>
      <c r="B17" s="347"/>
      <c r="C17" s="341"/>
      <c r="D17" s="331"/>
      <c r="E17" s="330"/>
      <c r="F17" s="333"/>
      <c r="G17" s="330"/>
      <c r="H17" s="331"/>
      <c r="I17" s="330"/>
      <c r="J17" s="331"/>
      <c r="K17" s="487"/>
      <c r="L17" s="2723"/>
      <c r="O17" s="2722"/>
      <c r="P17" s="3384"/>
      <c r="Q17" s="636"/>
      <c r="R17" s="604"/>
      <c r="S17" s="605"/>
      <c r="T17" s="604"/>
      <c r="U17" s="605"/>
      <c r="V17" s="604"/>
      <c r="W17" s="605"/>
      <c r="X17" s="1202"/>
      <c r="Y17" s="3384"/>
      <c r="Z17" s="1203"/>
      <c r="AA17" s="1203">
        <v>1</v>
      </c>
      <c r="AB17" s="1203">
        <v>1</v>
      </c>
      <c r="AC17" s="1203">
        <v>1</v>
      </c>
    </row>
    <row r="18" spans="1:29" ht="41.4">
      <c r="A18" s="313"/>
      <c r="B18" s="500" t="s">
        <v>2147</v>
      </c>
      <c r="C18" s="1409"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3"/>
      <c r="O18" s="2722"/>
      <c r="P18" s="3384"/>
      <c r="Q18" s="636" t="str">
        <f>B18</f>
        <v>基础设施水平</v>
      </c>
      <c r="R18" s="604" t="s">
        <v>25</v>
      </c>
      <c r="S18" s="605">
        <f>F18</f>
        <v>100</v>
      </c>
      <c r="T18" s="604" t="s">
        <v>25</v>
      </c>
      <c r="U18" s="605">
        <f>H18</f>
        <v>100</v>
      </c>
      <c r="V18" s="604" t="s">
        <v>25</v>
      </c>
      <c r="W18" s="605">
        <f>J18</f>
        <v>100</v>
      </c>
      <c r="X18" s="1202"/>
      <c r="Y18" s="3384"/>
      <c r="Z18" s="1203" t="str">
        <f>Q18</f>
        <v>基础设施水平</v>
      </c>
      <c r="AA18" s="1203">
        <f t="shared" ref="AA18" si="8">D18/F18</f>
        <v>1</v>
      </c>
      <c r="AB18" s="1203">
        <f t="shared" ref="AB18" si="9">D18/H18</f>
        <v>1</v>
      </c>
      <c r="AC18" s="1203">
        <f t="shared" ref="AC18" si="10">D18/J18</f>
        <v>1</v>
      </c>
    </row>
    <row r="19" spans="1:29" ht="15">
      <c r="A19" s="313"/>
      <c r="B19" s="500"/>
      <c r="C19" s="341"/>
      <c r="D19" s="331"/>
      <c r="E19" s="341"/>
      <c r="F19" s="337"/>
      <c r="G19" s="341"/>
      <c r="H19" s="331"/>
      <c r="I19" s="330"/>
      <c r="J19" s="331"/>
      <c r="K19" s="1012"/>
      <c r="L19" s="2723"/>
      <c r="O19" s="2722"/>
      <c r="P19" s="3384"/>
      <c r="Q19" s="636"/>
      <c r="R19" s="604"/>
      <c r="S19" s="605"/>
      <c r="T19" s="604"/>
      <c r="U19" s="605"/>
      <c r="V19" s="604"/>
      <c r="W19" s="605"/>
      <c r="X19" s="1202"/>
      <c r="Y19" s="3384"/>
      <c r="Z19" s="1203"/>
      <c r="AA19" s="1203">
        <v>1</v>
      </c>
      <c r="AB19" s="1203">
        <v>1</v>
      </c>
      <c r="AC19" s="1203">
        <v>1</v>
      </c>
    </row>
    <row r="20" spans="1:29" ht="55.2">
      <c r="A20" s="313"/>
      <c r="B20" s="335" t="s">
        <v>2169</v>
      </c>
      <c r="C20" s="1409"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3"/>
      <c r="O20" s="2722"/>
      <c r="P20" s="3384"/>
      <c r="Q20" s="636" t="str">
        <f>B20</f>
        <v>自然及人文环境</v>
      </c>
      <c r="R20" s="604" t="s">
        <v>25</v>
      </c>
      <c r="S20" s="605">
        <f>F20</f>
        <v>100</v>
      </c>
      <c r="T20" s="604" t="s">
        <v>25</v>
      </c>
      <c r="U20" s="605">
        <f>H20</f>
        <v>100</v>
      </c>
      <c r="V20" s="604" t="s">
        <v>25</v>
      </c>
      <c r="W20" s="605">
        <f>J20</f>
        <v>100</v>
      </c>
      <c r="X20" s="1202"/>
      <c r="Y20" s="3384"/>
      <c r="Z20" s="1203" t="str">
        <f>Q20</f>
        <v>自然及人文环境</v>
      </c>
      <c r="AA20" s="1203">
        <f t="shared" si="3"/>
        <v>1</v>
      </c>
      <c r="AB20" s="1203">
        <f t="shared" si="4"/>
        <v>1</v>
      </c>
      <c r="AC20" s="1203">
        <f t="shared" si="5"/>
        <v>1</v>
      </c>
    </row>
    <row r="21" spans="1:29" ht="15">
      <c r="A21" s="313"/>
      <c r="B21" s="340"/>
      <c r="C21" s="330"/>
      <c r="D21" s="331"/>
      <c r="E21" s="330"/>
      <c r="F21" s="333"/>
      <c r="G21" s="330"/>
      <c r="H21" s="331"/>
      <c r="I21" s="330"/>
      <c r="J21" s="331"/>
      <c r="K21" s="487"/>
      <c r="L21" s="2723"/>
      <c r="O21" s="2722"/>
      <c r="P21" s="3384"/>
      <c r="Q21" s="636"/>
      <c r="R21" s="604"/>
      <c r="S21" s="605"/>
      <c r="T21" s="604"/>
      <c r="U21" s="605"/>
      <c r="V21" s="604"/>
      <c r="W21" s="605"/>
      <c r="X21" s="1202"/>
      <c r="Y21" s="3384"/>
      <c r="Z21" s="1203"/>
      <c r="AA21" s="1203">
        <v>1</v>
      </c>
      <c r="AB21" s="1203">
        <v>1</v>
      </c>
      <c r="AC21" s="1203">
        <v>1</v>
      </c>
    </row>
    <row r="22" spans="1:29" ht="15">
      <c r="A22" s="313"/>
      <c r="B22" s="335" t="s">
        <v>2170</v>
      </c>
      <c r="C22" s="488"/>
      <c r="D22" s="334">
        <v>100</v>
      </c>
      <c r="E22" s="488"/>
      <c r="F22" s="346">
        <f>SUMIF(69:69,E22,70:70)-SUMIF(69:69,C22,70:70)+100</f>
        <v>100</v>
      </c>
      <c r="G22" s="488"/>
      <c r="H22" s="320">
        <f>SUMIF(69:69,G22,70:70)-SUMIF(69:69,C22,70:70)+100</f>
        <v>100</v>
      </c>
      <c r="I22" s="488"/>
      <c r="J22" s="320">
        <f>SUMIF(69:69,I22,70:70)-SUMIF(69:69,C22,70:70)+100</f>
        <v>100</v>
      </c>
      <c r="K22" s="484"/>
      <c r="L22" s="2723"/>
      <c r="O22" s="2722"/>
      <c r="P22" s="3384"/>
      <c r="Q22" s="636" t="str">
        <f>B22</f>
        <v>楼层</v>
      </c>
      <c r="R22" s="604" t="s">
        <v>25</v>
      </c>
      <c r="S22" s="605">
        <f>F22</f>
        <v>100</v>
      </c>
      <c r="T22" s="604" t="s">
        <v>25</v>
      </c>
      <c r="U22" s="605">
        <f>H22</f>
        <v>100</v>
      </c>
      <c r="V22" s="604" t="s">
        <v>25</v>
      </c>
      <c r="W22" s="605">
        <f>J22</f>
        <v>100</v>
      </c>
      <c r="X22" s="1202"/>
      <c r="Y22" s="3384"/>
      <c r="Z22" s="1203" t="str">
        <f>Q22</f>
        <v>楼层</v>
      </c>
      <c r="AA22" s="1203">
        <f t="shared" si="3"/>
        <v>1</v>
      </c>
      <c r="AB22" s="1203">
        <f t="shared" si="4"/>
        <v>1</v>
      </c>
      <c r="AC22" s="1203">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3"/>
      <c r="O23" s="2722"/>
      <c r="P23" s="3384"/>
      <c r="Q23" s="636">
        <f>B23</f>
        <v>111</v>
      </c>
      <c r="R23" s="604" t="s">
        <v>25</v>
      </c>
      <c r="S23" s="605">
        <f>F23</f>
        <v>100</v>
      </c>
      <c r="T23" s="604" t="s">
        <v>25</v>
      </c>
      <c r="U23" s="605">
        <f>H23</f>
        <v>100</v>
      </c>
      <c r="V23" s="604" t="s">
        <v>25</v>
      </c>
      <c r="W23" s="605">
        <f>J23</f>
        <v>100</v>
      </c>
      <c r="X23" s="1202"/>
      <c r="Y23" s="3384"/>
      <c r="Z23" s="1203">
        <f>Q23</f>
        <v>111</v>
      </c>
      <c r="AA23" s="1203">
        <f t="shared" si="3"/>
        <v>1</v>
      </c>
      <c r="AB23" s="1203">
        <f t="shared" si="4"/>
        <v>1</v>
      </c>
      <c r="AC23" s="1203">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3"/>
      <c r="O24" s="2722"/>
      <c r="P24" s="3384"/>
      <c r="Q24" s="636">
        <f t="shared" ref="Q24:Q34" si="11">B24</f>
        <v>111</v>
      </c>
      <c r="R24" s="604" t="s">
        <v>25</v>
      </c>
      <c r="S24" s="605">
        <f>F24</f>
        <v>100</v>
      </c>
      <c r="T24" s="604" t="s">
        <v>25</v>
      </c>
      <c r="U24" s="605">
        <f>H24</f>
        <v>100</v>
      </c>
      <c r="V24" s="604" t="s">
        <v>25</v>
      </c>
      <c r="W24" s="605">
        <f>J24</f>
        <v>100</v>
      </c>
      <c r="X24" s="1202"/>
      <c r="Y24" s="3384"/>
      <c r="Z24" s="1203">
        <f>Q24</f>
        <v>111</v>
      </c>
      <c r="AA24" s="1203">
        <f t="shared" si="3"/>
        <v>1</v>
      </c>
      <c r="AB24" s="1203">
        <f t="shared" si="4"/>
        <v>1</v>
      </c>
      <c r="AC24" s="1203">
        <f t="shared" si="5"/>
        <v>1</v>
      </c>
    </row>
    <row r="25" spans="1:29" s="24" customFormat="1" ht="15.6" thickBot="1">
      <c r="A25" s="316"/>
      <c r="B25" s="390">
        <v>111</v>
      </c>
      <c r="C25" s="1423"/>
      <c r="D25" s="500">
        <v>100</v>
      </c>
      <c r="E25" s="1423"/>
      <c r="F25" s="527">
        <f>SUMIF(75:75,E25,76:76)-SUMIF(75:75,C25,76:76)+100</f>
        <v>100</v>
      </c>
      <c r="G25" s="1423"/>
      <c r="H25" s="500">
        <f>SUMIF(75:75,G25,76:76)-SUMIF(75:75,C25,76:76)+100</f>
        <v>100</v>
      </c>
      <c r="I25" s="1423"/>
      <c r="J25" s="500">
        <f>SUMIF(75:75,I25,76:76)-SUMIF(75:75,C25,76:76)+100</f>
        <v>100</v>
      </c>
      <c r="K25" s="485"/>
      <c r="L25" s="2717"/>
      <c r="O25" s="2718"/>
      <c r="P25" s="3384"/>
      <c r="Q25" s="477">
        <f t="shared" si="11"/>
        <v>111</v>
      </c>
      <c r="R25" s="601" t="s">
        <v>25</v>
      </c>
      <c r="S25" s="602">
        <f>F25</f>
        <v>100</v>
      </c>
      <c r="T25" s="601" t="s">
        <v>25</v>
      </c>
      <c r="U25" s="602">
        <f>H25</f>
        <v>100</v>
      </c>
      <c r="V25" s="601" t="s">
        <v>25</v>
      </c>
      <c r="W25" s="602">
        <f>J25</f>
        <v>100</v>
      </c>
      <c r="X25" s="603"/>
      <c r="Y25" s="3384"/>
      <c r="Z25" s="18">
        <f>Q25</f>
        <v>111</v>
      </c>
      <c r="AA25" s="1203">
        <f>D25/F25</f>
        <v>1</v>
      </c>
      <c r="AB25" s="1203">
        <f>D25/H25</f>
        <v>1</v>
      </c>
      <c r="AC25" s="1203">
        <f>D25/J25</f>
        <v>1</v>
      </c>
    </row>
    <row r="26" spans="1:29" ht="30">
      <c r="A26" s="348" t="s">
        <v>2035</v>
      </c>
      <c r="B26" s="23" t="s">
        <v>2173</v>
      </c>
      <c r="C26" s="1416"/>
      <c r="D26" s="349">
        <v>100</v>
      </c>
      <c r="E26" s="1416"/>
      <c r="F26" s="528">
        <f>SUMIF(77:77,E26,78:78)-SUMIF(77:77,C26,78:78)+100</f>
        <v>100</v>
      </c>
      <c r="G26" s="1416"/>
      <c r="H26" s="349">
        <f>SUMIF(77:77,G26,78:78)-SUMIF(77:77,C26,78:78)+100</f>
        <v>100</v>
      </c>
      <c r="I26" s="1416"/>
      <c r="J26" s="349">
        <f>SUMIF(77:77,I26,78:78)-SUMIF(77:77,C26,78:78)+100</f>
        <v>100</v>
      </c>
      <c r="K26" s="484"/>
      <c r="L26" s="2723"/>
      <c r="O26" s="2722"/>
      <c r="P26" s="3371" t="s">
        <v>2037</v>
      </c>
      <c r="Q26" s="636" t="str">
        <f t="shared" si="11"/>
        <v>公共部分装修</v>
      </c>
      <c r="R26" s="604" t="s">
        <v>25</v>
      </c>
      <c r="S26" s="605">
        <f t="shared" ref="S26:S34" si="12">F26</f>
        <v>100</v>
      </c>
      <c r="T26" s="604" t="s">
        <v>25</v>
      </c>
      <c r="U26" s="605">
        <f t="shared" ref="U26:U34" si="13">H26</f>
        <v>100</v>
      </c>
      <c r="V26" s="604" t="s">
        <v>25</v>
      </c>
      <c r="W26" s="605">
        <f t="shared" ref="W26:W34" si="14">J26</f>
        <v>100</v>
      </c>
      <c r="X26" s="1202"/>
      <c r="Y26" s="3372" t="s">
        <v>2037</v>
      </c>
      <c r="Z26" s="1203" t="str">
        <f t="shared" ref="Z26:Z34" si="15">Q26</f>
        <v>公共部分装修</v>
      </c>
      <c r="AA26" s="1203">
        <f t="shared" si="3"/>
        <v>1</v>
      </c>
      <c r="AB26" s="1203">
        <f t="shared" si="4"/>
        <v>1</v>
      </c>
      <c r="AC26" s="1203">
        <f t="shared" si="5"/>
        <v>1</v>
      </c>
    </row>
    <row r="27" spans="1:29" s="352" customFormat="1" ht="15">
      <c r="A27" s="350"/>
      <c r="B27" s="309" t="s">
        <v>2174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21"/>
      <c r="O27" s="2724"/>
      <c r="P27" s="3372"/>
      <c r="Q27" s="606" t="str">
        <f t="shared" si="11"/>
        <v>成新率</v>
      </c>
      <c r="R27" s="607" t="s">
        <v>25</v>
      </c>
      <c r="S27" s="608" t="e">
        <f t="shared" si="12"/>
        <v>#N/A</v>
      </c>
      <c r="T27" s="607" t="s">
        <v>25</v>
      </c>
      <c r="U27" s="608" t="e">
        <f t="shared" si="13"/>
        <v>#N/A</v>
      </c>
      <c r="V27" s="607" t="s">
        <v>25</v>
      </c>
      <c r="W27" s="608" t="e">
        <f t="shared" si="14"/>
        <v>#N/A</v>
      </c>
      <c r="X27" s="609"/>
      <c r="Y27" s="3372"/>
      <c r="Z27" s="610" t="str">
        <f t="shared" si="15"/>
        <v>成新率</v>
      </c>
      <c r="AA27" s="1203" t="e">
        <f t="shared" si="3"/>
        <v>#N/A</v>
      </c>
      <c r="AB27" s="1203" t="e">
        <f t="shared" si="4"/>
        <v>#N/A</v>
      </c>
      <c r="AC27" s="1203" t="e">
        <f t="shared" si="5"/>
        <v>#N/A</v>
      </c>
    </row>
    <row r="28" spans="1:29" ht="15">
      <c r="A28" s="353"/>
      <c r="B28" s="309" t="s">
        <v>2175</v>
      </c>
      <c r="C28" s="345"/>
      <c r="D28" s="320">
        <v>100</v>
      </c>
      <c r="E28" s="345"/>
      <c r="F28" s="346">
        <f>SUMIF(82:82,E28,83:83)-SUMIF(82:82,C28,83:83)+100</f>
        <v>100</v>
      </c>
      <c r="G28" s="345"/>
      <c r="H28" s="320">
        <f>SUMIF(82:82,G28,83:83)-SUMIF(82:82,C28,83:83)+100</f>
        <v>100</v>
      </c>
      <c r="I28" s="345"/>
      <c r="J28" s="320">
        <f>SUMIF(82:82,I28,83:83)-SUMIF(82:82,C28,83:83)+100</f>
        <v>100</v>
      </c>
      <c r="K28" s="484"/>
      <c r="L28" s="2723"/>
      <c r="O28" s="2722"/>
      <c r="P28" s="3372"/>
      <c r="Q28" s="636" t="str">
        <f t="shared" si="11"/>
        <v>物业等级</v>
      </c>
      <c r="R28" s="604" t="s">
        <v>25</v>
      </c>
      <c r="S28" s="605">
        <f t="shared" si="12"/>
        <v>100</v>
      </c>
      <c r="T28" s="604" t="s">
        <v>25</v>
      </c>
      <c r="U28" s="605">
        <f t="shared" si="13"/>
        <v>100</v>
      </c>
      <c r="V28" s="604" t="s">
        <v>25</v>
      </c>
      <c r="W28" s="605">
        <f t="shared" si="14"/>
        <v>100</v>
      </c>
      <c r="X28" s="1202"/>
      <c r="Y28" s="3372"/>
      <c r="Z28" s="1203" t="str">
        <f t="shared" si="15"/>
        <v>物业等级</v>
      </c>
      <c r="AA28" s="1203">
        <f t="shared" si="3"/>
        <v>1</v>
      </c>
      <c r="AB28" s="1203">
        <f t="shared" si="4"/>
        <v>1</v>
      </c>
      <c r="AC28" s="1203">
        <f t="shared" si="5"/>
        <v>1</v>
      </c>
    </row>
    <row r="29" spans="1:29" ht="15">
      <c r="A29" s="353"/>
      <c r="B29" s="309" t="s">
        <v>2196</v>
      </c>
      <c r="C29" s="519"/>
      <c r="D29" s="320">
        <v>100</v>
      </c>
      <c r="E29" s="519"/>
      <c r="F29" s="346">
        <f>SUMIF(84:84,E29,85:85)-SUMIF(84:84,C29,85:85)+100</f>
        <v>100</v>
      </c>
      <c r="G29" s="519"/>
      <c r="H29" s="320">
        <f>SUMIF(84:84,G29,85:85)-SUMIF(84:84,C29,85:85)+100</f>
        <v>100</v>
      </c>
      <c r="I29" s="519"/>
      <c r="J29" s="320">
        <f>SUMIF(84:84,I29,85:85)-SUMIF(84:84,C29,85:85)+100</f>
        <v>100</v>
      </c>
      <c r="K29" s="484"/>
      <c r="L29" s="2723"/>
      <c r="O29" s="2722"/>
      <c r="P29" s="3372"/>
      <c r="Q29" s="636" t="str">
        <f t="shared" si="11"/>
        <v>有无电梯</v>
      </c>
      <c r="R29" s="604" t="s">
        <v>25</v>
      </c>
      <c r="S29" s="605">
        <f t="shared" si="12"/>
        <v>100</v>
      </c>
      <c r="T29" s="604" t="s">
        <v>25</v>
      </c>
      <c r="U29" s="605">
        <f t="shared" si="13"/>
        <v>100</v>
      </c>
      <c r="V29" s="604" t="s">
        <v>25</v>
      </c>
      <c r="W29" s="605">
        <f t="shared" si="14"/>
        <v>100</v>
      </c>
      <c r="X29" s="1202"/>
      <c r="Y29" s="3372"/>
      <c r="Z29" s="1203" t="str">
        <f t="shared" si="15"/>
        <v>有无电梯</v>
      </c>
      <c r="AA29" s="1203">
        <f t="shared" si="3"/>
        <v>1</v>
      </c>
      <c r="AB29" s="1203">
        <f t="shared" si="4"/>
        <v>1</v>
      </c>
      <c r="AC29" s="1203">
        <f t="shared" si="5"/>
        <v>1</v>
      </c>
    </row>
    <row r="30" spans="1:29" ht="15">
      <c r="A30" s="353"/>
      <c r="B30" s="309" t="s">
        <v>2197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3"/>
      <c r="O30" s="2722"/>
      <c r="P30" s="3372"/>
      <c r="Q30" s="636" t="str">
        <f t="shared" si="11"/>
        <v>建筑面积</v>
      </c>
      <c r="R30" s="604" t="s">
        <v>25</v>
      </c>
      <c r="S30" s="605" t="e">
        <f t="shared" si="12"/>
        <v>#N/A</v>
      </c>
      <c r="T30" s="604" t="s">
        <v>25</v>
      </c>
      <c r="U30" s="605" t="e">
        <f t="shared" si="13"/>
        <v>#N/A</v>
      </c>
      <c r="V30" s="604" t="s">
        <v>25</v>
      </c>
      <c r="W30" s="605" t="e">
        <f t="shared" si="14"/>
        <v>#N/A</v>
      </c>
      <c r="X30" s="1202"/>
      <c r="Y30" s="3372"/>
      <c r="Z30" s="1203" t="str">
        <f t="shared" si="15"/>
        <v>建筑面积</v>
      </c>
      <c r="AA30" s="1203" t="e">
        <f t="shared" si="3"/>
        <v>#N/A</v>
      </c>
      <c r="AB30" s="1203" t="e">
        <f t="shared" si="4"/>
        <v>#N/A</v>
      </c>
      <c r="AC30" s="1203" t="e">
        <f t="shared" si="5"/>
        <v>#N/A</v>
      </c>
    </row>
    <row r="31" spans="1:29" s="24" customFormat="1" ht="15">
      <c r="A31" s="354"/>
      <c r="B31" s="309" t="s">
        <v>2198</v>
      </c>
      <c r="C31" s="519"/>
      <c r="D31" s="25">
        <v>100</v>
      </c>
      <c r="E31" s="519"/>
      <c r="F31" s="346">
        <f>SUMIF(89:89,E31,90:90)-SUMIF(89:89,C31,90:90)+100</f>
        <v>100</v>
      </c>
      <c r="G31" s="519"/>
      <c r="H31" s="320">
        <f>SUMIF(89:89,G31,90:90)-SUMIF(89:89,C31,90:90)+100</f>
        <v>100</v>
      </c>
      <c r="I31" s="519"/>
      <c r="J31" s="320">
        <f>SUMIF(89:89,I31,90:90)-SUMIF(89:89,C31,90:90)+100</f>
        <v>100</v>
      </c>
      <c r="K31" s="484"/>
      <c r="L31" s="2717"/>
      <c r="O31" s="2718"/>
      <c r="P31" s="3372"/>
      <c r="Q31" s="477" t="str">
        <f t="shared" si="11"/>
        <v>是否封闭</v>
      </c>
      <c r="R31" s="601" t="s">
        <v>25</v>
      </c>
      <c r="S31" s="602">
        <f t="shared" si="12"/>
        <v>100</v>
      </c>
      <c r="T31" s="601" t="s">
        <v>25</v>
      </c>
      <c r="U31" s="602">
        <f t="shared" si="13"/>
        <v>100</v>
      </c>
      <c r="V31" s="601" t="s">
        <v>25</v>
      </c>
      <c r="W31" s="602">
        <f t="shared" si="14"/>
        <v>100</v>
      </c>
      <c r="X31" s="603"/>
      <c r="Y31" s="3372"/>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3"/>
      <c r="O32" s="2722"/>
      <c r="P32" s="3372" t="s">
        <v>2037</v>
      </c>
      <c r="Q32" s="636">
        <f t="shared" si="11"/>
        <v>111</v>
      </c>
      <c r="R32" s="604" t="s">
        <v>25</v>
      </c>
      <c r="S32" s="605">
        <f t="shared" si="12"/>
        <v>100</v>
      </c>
      <c r="T32" s="604" t="s">
        <v>25</v>
      </c>
      <c r="U32" s="605">
        <f t="shared" si="13"/>
        <v>100</v>
      </c>
      <c r="V32" s="604" t="s">
        <v>25</v>
      </c>
      <c r="W32" s="605">
        <f t="shared" si="14"/>
        <v>100</v>
      </c>
      <c r="X32" s="1202"/>
      <c r="Y32" s="3372" t="s">
        <v>2037</v>
      </c>
      <c r="Z32" s="1203">
        <f t="shared" si="15"/>
        <v>111</v>
      </c>
      <c r="AA32" s="1203">
        <f t="shared" si="3"/>
        <v>1</v>
      </c>
      <c r="AB32" s="1203">
        <f t="shared" si="4"/>
        <v>1</v>
      </c>
      <c r="AC32" s="1203">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3"/>
      <c r="O33" s="2722"/>
      <c r="P33" s="3372"/>
      <c r="Q33" s="636">
        <f t="shared" si="11"/>
        <v>111</v>
      </c>
      <c r="R33" s="604" t="s">
        <v>25</v>
      </c>
      <c r="S33" s="605">
        <f t="shared" si="12"/>
        <v>100</v>
      </c>
      <c r="T33" s="604" t="s">
        <v>25</v>
      </c>
      <c r="U33" s="605">
        <f t="shared" si="13"/>
        <v>100</v>
      </c>
      <c r="V33" s="604" t="s">
        <v>25</v>
      </c>
      <c r="W33" s="605">
        <f t="shared" si="14"/>
        <v>100</v>
      </c>
      <c r="X33" s="1202"/>
      <c r="Y33" s="3372"/>
      <c r="Z33" s="1203">
        <f t="shared" si="15"/>
        <v>111</v>
      </c>
      <c r="AA33" s="1203">
        <f t="shared" si="3"/>
        <v>1</v>
      </c>
      <c r="AB33" s="1203">
        <f t="shared" si="4"/>
        <v>1</v>
      </c>
      <c r="AC33" s="1203">
        <f t="shared" si="5"/>
        <v>1</v>
      </c>
    </row>
    <row r="34" spans="1:29" ht="15.6" thickBot="1">
      <c r="A34" s="359"/>
      <c r="B34" s="1406">
        <v>111</v>
      </c>
      <c r="C34" s="1407"/>
      <c r="D34" s="322">
        <v>100</v>
      </c>
      <c r="E34" s="1424"/>
      <c r="F34" s="323">
        <f>SUMIF(95:95,E34,96:96)-SUMIF(95:95,C34,96:96)+100</f>
        <v>100</v>
      </c>
      <c r="G34" s="1424"/>
      <c r="H34" s="322">
        <f>SUMIF(95:95,G34,96:96)-SUMIF(95:95,C34,96:96)+100</f>
        <v>100</v>
      </c>
      <c r="I34" s="1424"/>
      <c r="J34" s="322">
        <f>SUMIF(95:95,I34,96:96)-SUMIF(95:95,C34,96:96)+100</f>
        <v>100</v>
      </c>
      <c r="K34" s="485"/>
      <c r="L34" s="2723"/>
      <c r="O34" s="2722"/>
      <c r="P34" s="3372"/>
      <c r="Q34" s="636">
        <f t="shared" si="11"/>
        <v>111</v>
      </c>
      <c r="R34" s="604" t="s">
        <v>25</v>
      </c>
      <c r="S34" s="605">
        <f t="shared" si="12"/>
        <v>100</v>
      </c>
      <c r="T34" s="604" t="s">
        <v>25</v>
      </c>
      <c r="U34" s="605">
        <f t="shared" si="13"/>
        <v>100</v>
      </c>
      <c r="V34" s="604" t="s">
        <v>25</v>
      </c>
      <c r="W34" s="605">
        <f t="shared" si="14"/>
        <v>100</v>
      </c>
      <c r="X34" s="1202"/>
      <c r="Y34" s="3372"/>
      <c r="Z34" s="1203">
        <f t="shared" si="15"/>
        <v>111</v>
      </c>
      <c r="AA34" s="1203">
        <f t="shared" si="3"/>
        <v>1</v>
      </c>
      <c r="AB34" s="1203">
        <f t="shared" si="4"/>
        <v>1</v>
      </c>
      <c r="AC34" s="1203">
        <f t="shared" si="5"/>
        <v>1</v>
      </c>
    </row>
    <row r="35" spans="1:29" ht="14.4">
      <c r="A35" s="360" t="s">
        <v>2049</v>
      </c>
      <c r="B35" s="361"/>
      <c r="C35" s="1033" t="s">
        <v>1</v>
      </c>
      <c r="D35" s="362"/>
      <c r="E35" s="363"/>
      <c r="F35" s="364"/>
      <c r="G35" s="365"/>
      <c r="H35" s="366"/>
      <c r="I35" s="363"/>
      <c r="J35" s="366"/>
      <c r="K35" s="612"/>
      <c r="L35" s="2725"/>
      <c r="P35" s="3366" t="str">
        <f>A35</f>
        <v>成交单价（元/平方米）</v>
      </c>
      <c r="Q35" s="3366"/>
      <c r="R35" s="3367">
        <f>E35</f>
        <v>0</v>
      </c>
      <c r="S35" s="3367"/>
      <c r="T35" s="3367">
        <f>G35</f>
        <v>0</v>
      </c>
      <c r="U35" s="3367"/>
      <c r="V35" s="3367">
        <f>I35</f>
        <v>0</v>
      </c>
      <c r="W35" s="3367"/>
      <c r="X35" s="329"/>
      <c r="Y35" s="611"/>
      <c r="Z35" s="329"/>
      <c r="AA35" s="329"/>
      <c r="AB35" s="329"/>
      <c r="AC35" s="329"/>
    </row>
    <row r="36" spans="1:29" ht="15" thickBot="1">
      <c r="A36" s="367" t="s">
        <v>2132</v>
      </c>
      <c r="B36" s="368"/>
      <c r="C36" s="1034" t="e">
        <f>R37</f>
        <v>#DIV/0!</v>
      </c>
      <c r="D36" s="1624" t="s">
        <v>2503</v>
      </c>
      <c r="E36" s="1035" t="e">
        <f>R36</f>
        <v>#DIV/0!</v>
      </c>
      <c r="F36" s="1626"/>
      <c r="G36" s="1034" t="e">
        <f>T36</f>
        <v>#DIV/0!</v>
      </c>
      <c r="H36" s="1626"/>
      <c r="I36" s="1035" t="e">
        <f>V36</f>
        <v>#DIV/0!</v>
      </c>
      <c r="J36" s="1626"/>
      <c r="K36" s="2251">
        <f>F36+H36+J36</f>
        <v>0</v>
      </c>
      <c r="L36" s="2725"/>
      <c r="P36" s="3366" t="str">
        <f>A36</f>
        <v>比较价值（元/平方米）</v>
      </c>
      <c r="Q36" s="3366"/>
      <c r="R36" s="3367" t="e">
        <f>IF(E1="售价",ROUND(PRODUCT(R35,AA7:AA34),0),ROUND(PRODUCT(R35,AA7:AA34),1))</f>
        <v>#DIV/0!</v>
      </c>
      <c r="S36" s="3367"/>
      <c r="T36" s="3367" t="e">
        <f>IF(E1="售价",ROUND(PRODUCT(T35,AB7:AB34),0),ROUND(PRODUCT(T35,AB7:AB34),1))</f>
        <v>#DIV/0!</v>
      </c>
      <c r="U36" s="3367"/>
      <c r="V36" s="3367" t="e">
        <f>IF(E1="售价",ROUND(PRODUCT(V35,AC7:AC34),0),ROUND(PRODUCT(V35,AC7:AC34),1))</f>
        <v>#DIV/0!</v>
      </c>
      <c r="W36" s="3367"/>
      <c r="X36" s="329"/>
      <c r="Y36" s="329"/>
      <c r="Z36" s="329"/>
      <c r="AA36" s="329"/>
      <c r="AB36" s="329"/>
      <c r="AC36" s="329"/>
    </row>
    <row r="37" spans="1:29" ht="15" thickBot="1">
      <c r="A37" s="371" t="s">
        <v>2155</v>
      </c>
      <c r="B37" s="372"/>
      <c r="C37" s="296" t="e">
        <f>R37</f>
        <v>#DIV/0!</v>
      </c>
      <c r="D37" s="296"/>
      <c r="E37" s="296"/>
      <c r="F37" s="296"/>
      <c r="G37" s="296"/>
      <c r="H37" s="296"/>
      <c r="I37" s="296"/>
      <c r="J37" s="296"/>
      <c r="K37" s="613"/>
      <c r="L37" s="2725"/>
      <c r="P37" s="3368" t="str">
        <f>A37</f>
        <v>估价对象XX用房的比较价值（楼面单价，元/平方米）</v>
      </c>
      <c r="Q37" s="3369"/>
      <c r="R37" s="3370" t="e">
        <f>IF(E1="售价",ROUND(IF(D36="简单平均",AVERAGE(R36:W36),R36*F36+T36*H36+V36*J36),0),ROUND(IF(D36="简单平均",AVERAGE(R36:V36),R36*F36+T36*H36+V36*J36),1))</f>
        <v>#DIV/0!</v>
      </c>
      <c r="S37" s="3370"/>
      <c r="T37" s="3370"/>
      <c r="U37" s="3370"/>
      <c r="V37" s="3370"/>
      <c r="W37" s="3370"/>
      <c r="X37" s="329"/>
      <c r="Y37" s="329"/>
      <c r="Z37" s="329"/>
      <c r="AA37" s="329"/>
      <c r="AB37" s="329"/>
      <c r="AC37" s="329"/>
    </row>
    <row r="38" spans="1:29">
      <c r="G38" s="2728"/>
    </row>
    <row r="40" spans="1:29" ht="13.5" customHeight="1">
      <c r="C40" s="376" t="s">
        <v>2134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9"/>
      <c r="L42" s="2726"/>
    </row>
    <row r="43" spans="1:29" s="381" customFormat="1">
      <c r="B43" s="2727"/>
      <c r="C43" s="2730"/>
      <c r="K43" s="2729"/>
      <c r="L43" s="2726"/>
    </row>
    <row r="44" spans="1:29">
      <c r="B44" s="2727"/>
      <c r="C44" s="2730"/>
    </row>
    <row r="45" spans="1:29" ht="22.2" thickBot="1">
      <c r="A45" s="595" t="s">
        <v>2137</v>
      </c>
      <c r="B45" s="329"/>
      <c r="C45" s="596"/>
      <c r="D45" s="596"/>
      <c r="E45" s="596"/>
      <c r="F45" s="597"/>
      <c r="G45" s="597"/>
      <c r="H45" s="596"/>
      <c r="I45" s="596"/>
      <c r="J45" s="596"/>
      <c r="K45" s="598"/>
      <c r="L45" s="599"/>
      <c r="M45" s="596"/>
      <c r="N45" s="382"/>
      <c r="O45" s="382"/>
      <c r="P45" s="382"/>
      <c r="Q45" s="383"/>
    </row>
    <row r="46" spans="1:29" s="386" customFormat="1" ht="14.4">
      <c r="A46" s="384" t="s">
        <v>2019</v>
      </c>
      <c r="B46" s="385"/>
      <c r="C46" s="1061" t="str">
        <f>YEAR(C7)&amp;"-"&amp;MONTH(C7)</f>
        <v>2022-12</v>
      </c>
      <c r="D46" s="1062">
        <f>EDATE(C46,-1)</f>
        <v>44866</v>
      </c>
      <c r="E46" s="1062">
        <f t="shared" ref="E46:O46" si="16">EDATE(D46,-1)</f>
        <v>44835</v>
      </c>
      <c r="F46" s="1062">
        <f t="shared" si="16"/>
        <v>44805</v>
      </c>
      <c r="G46" s="1062">
        <f t="shared" si="16"/>
        <v>44774</v>
      </c>
      <c r="H46" s="1062">
        <f t="shared" si="16"/>
        <v>44743</v>
      </c>
      <c r="I46" s="1062">
        <f t="shared" si="16"/>
        <v>44713</v>
      </c>
      <c r="J46" s="1062">
        <f t="shared" si="16"/>
        <v>44682</v>
      </c>
      <c r="K46" s="1062">
        <f t="shared" si="16"/>
        <v>44652</v>
      </c>
      <c r="L46" s="1062">
        <f t="shared" si="16"/>
        <v>44621</v>
      </c>
      <c r="M46" s="1062">
        <f t="shared" si="16"/>
        <v>44593</v>
      </c>
      <c r="N46" s="1062">
        <f t="shared" si="16"/>
        <v>44562</v>
      </c>
      <c r="O46" s="1062">
        <f t="shared" si="16"/>
        <v>44531</v>
      </c>
    </row>
    <row r="47" spans="1:29" s="24" customFormat="1">
      <c r="A47" s="387"/>
      <c r="B47" s="388"/>
      <c r="C47" s="1060">
        <v>100</v>
      </c>
      <c r="D47" s="389"/>
      <c r="E47" s="389"/>
      <c r="F47" s="389"/>
      <c r="G47" s="389"/>
      <c r="H47" s="389"/>
      <c r="I47" s="389"/>
      <c r="J47" s="389"/>
      <c r="K47" s="389"/>
      <c r="L47" s="389"/>
      <c r="M47" s="390"/>
      <c r="N47" s="389"/>
      <c r="O47" s="391"/>
      <c r="P47" s="383"/>
    </row>
    <row r="48" spans="1:29" s="24" customFormat="1" ht="15" thickBot="1">
      <c r="A48" s="392" t="s">
        <v>2057</v>
      </c>
      <c r="B48" s="393"/>
      <c r="C48" s="394"/>
      <c r="D48" s="395"/>
      <c r="E48" s="395"/>
      <c r="F48" s="395"/>
      <c r="G48" s="395"/>
      <c r="H48" s="395"/>
      <c r="I48" s="395"/>
      <c r="J48" s="395"/>
      <c r="K48" s="395"/>
      <c r="L48" s="395"/>
      <c r="M48" s="396"/>
      <c r="N48" s="395"/>
      <c r="O48" s="397"/>
      <c r="P48" s="383"/>
      <c r="Q48" s="383"/>
    </row>
    <row r="49" spans="1:17" s="24" customFormat="1" ht="14.4">
      <c r="A49" s="398" t="s">
        <v>2021</v>
      </c>
      <c r="B49" s="388"/>
      <c r="C49" s="399" t="s">
        <v>2022</v>
      </c>
      <c r="D49" s="400"/>
      <c r="E49" s="400"/>
      <c r="F49" s="400"/>
      <c r="G49" s="400"/>
      <c r="H49" s="400"/>
      <c r="I49" s="400"/>
      <c r="J49" s="400"/>
      <c r="K49" s="400"/>
      <c r="L49" s="401"/>
      <c r="M49" s="402"/>
      <c r="N49" s="17"/>
      <c r="O49" s="17"/>
      <c r="P49" s="403"/>
      <c r="Q49" s="383"/>
    </row>
    <row r="50" spans="1:17" s="24" customFormat="1" ht="14.4" thickBot="1">
      <c r="A50" s="398"/>
      <c r="B50" s="388"/>
      <c r="C50" s="505">
        <v>100</v>
      </c>
      <c r="D50" s="389"/>
      <c r="E50" s="389"/>
      <c r="F50" s="389"/>
      <c r="G50" s="389"/>
      <c r="H50" s="389"/>
      <c r="I50" s="389"/>
      <c r="J50" s="389"/>
      <c r="K50" s="389"/>
      <c r="L50" s="389"/>
      <c r="M50" s="391"/>
      <c r="N50" s="17"/>
      <c r="O50" s="17"/>
      <c r="P50" s="383"/>
      <c r="Q50" s="383"/>
    </row>
    <row r="51" spans="1:17" ht="14.4">
      <c r="A51" s="324" t="s">
        <v>2060</v>
      </c>
      <c r="B51" s="404" t="s">
        <v>2025</v>
      </c>
      <c r="C51" s="405">
        <f>C9</f>
        <v>0</v>
      </c>
      <c r="D51" s="406"/>
      <c r="E51" s="406"/>
      <c r="F51" s="406"/>
      <c r="G51" s="406"/>
      <c r="H51" s="406"/>
      <c r="I51" s="406"/>
      <c r="J51" s="406"/>
      <c r="K51" s="407"/>
      <c r="L51" s="408"/>
      <c r="M51" s="409"/>
      <c r="N51" s="410"/>
      <c r="O51" s="410"/>
      <c r="P51" s="17"/>
      <c r="Q51" s="383"/>
    </row>
    <row r="52" spans="1:17" ht="14.4" thickBot="1">
      <c r="A52" s="313"/>
      <c r="B52" s="411"/>
      <c r="C52" s="412">
        <v>100</v>
      </c>
      <c r="D52" s="412"/>
      <c r="E52" s="412"/>
      <c r="F52" s="412"/>
      <c r="G52" s="412"/>
      <c r="H52" s="412"/>
      <c r="I52" s="412"/>
      <c r="J52" s="412"/>
      <c r="K52" s="412"/>
      <c r="L52" s="412"/>
      <c r="M52" s="413"/>
      <c r="N52" s="414"/>
      <c r="O52" s="414"/>
      <c r="P52" s="17"/>
      <c r="Q52" s="383"/>
    </row>
    <row r="53" spans="1:17" ht="29.4" thickTop="1">
      <c r="A53" s="313"/>
      <c r="B53" s="415" t="s">
        <v>2028</v>
      </c>
      <c r="C53" s="416" t="s">
        <v>2061</v>
      </c>
      <c r="D53" s="416" t="s">
        <v>2062</v>
      </c>
      <c r="E53" s="416" t="s">
        <v>2063</v>
      </c>
      <c r="F53" s="416" t="s">
        <v>2064</v>
      </c>
      <c r="G53" s="416" t="s">
        <v>2065</v>
      </c>
      <c r="H53" s="416" t="s">
        <v>2066</v>
      </c>
      <c r="I53" s="416" t="s">
        <v>2067</v>
      </c>
      <c r="J53" s="416"/>
      <c r="K53" s="417"/>
      <c r="L53" s="418"/>
      <c r="M53" s="419"/>
      <c r="N53" s="410"/>
      <c r="O53" s="410"/>
      <c r="P53" s="17"/>
      <c r="Q53" s="383"/>
    </row>
    <row r="54" spans="1:17" ht="14.4"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4" thickTop="1">
      <c r="A55" s="313"/>
      <c r="B55" s="522">
        <f>B11</f>
        <v>111</v>
      </c>
      <c r="C55" s="426"/>
      <c r="D55" s="426"/>
      <c r="E55" s="426"/>
      <c r="F55" s="426"/>
      <c r="G55" s="426"/>
      <c r="H55" s="426"/>
      <c r="I55" s="426"/>
      <c r="J55" s="426"/>
      <c r="K55" s="427"/>
      <c r="L55" s="428"/>
      <c r="M55" s="429"/>
      <c r="N55" s="410"/>
      <c r="O55" s="410"/>
      <c r="P55" s="17"/>
      <c r="Q55" s="383"/>
    </row>
    <row r="56" spans="1:17" ht="14.4" thickBot="1">
      <c r="A56" s="313"/>
      <c r="B56" s="411"/>
      <c r="C56" s="437"/>
      <c r="D56" s="412"/>
      <c r="E56" s="412"/>
      <c r="F56" s="412"/>
      <c r="G56" s="412"/>
      <c r="H56" s="412"/>
      <c r="I56" s="412"/>
      <c r="J56" s="412"/>
      <c r="K56" s="412"/>
      <c r="L56" s="412"/>
      <c r="M56" s="413"/>
      <c r="N56" s="414"/>
      <c r="O56" s="414"/>
      <c r="P56" s="17"/>
      <c r="Q56" s="383"/>
    </row>
    <row r="57" spans="1:17" s="352" customFormat="1" ht="14.4" thickTop="1">
      <c r="A57" s="430"/>
      <c r="B57" s="415">
        <f>B12</f>
        <v>111</v>
      </c>
      <c r="C57" s="426"/>
      <c r="D57" s="426"/>
      <c r="E57" s="426"/>
      <c r="F57" s="426"/>
      <c r="G57" s="431"/>
      <c r="H57" s="432"/>
      <c r="I57" s="432"/>
      <c r="J57" s="432"/>
      <c r="K57" s="432"/>
      <c r="L57" s="433"/>
      <c r="M57" s="434"/>
      <c r="N57" s="435"/>
      <c r="O57" s="435"/>
      <c r="P57" s="435"/>
      <c r="Q57" s="436"/>
    </row>
    <row r="58" spans="1:17" s="352" customFormat="1" ht="14.4" thickBot="1">
      <c r="A58" s="430"/>
      <c r="B58" s="420"/>
      <c r="C58" s="437"/>
      <c r="D58" s="412"/>
      <c r="E58" s="412"/>
      <c r="F58" s="412"/>
      <c r="G58" s="412"/>
      <c r="H58" s="412"/>
      <c r="I58" s="412"/>
      <c r="J58" s="412"/>
      <c r="K58" s="412"/>
      <c r="L58" s="412"/>
      <c r="M58" s="413"/>
      <c r="N58" s="414"/>
      <c r="O58" s="414"/>
      <c r="P58" s="435"/>
      <c r="Q58" s="436"/>
    </row>
    <row r="59" spans="1:17" s="352" customFormat="1" ht="14.4" thickTop="1">
      <c r="A59" s="430"/>
      <c r="B59" s="415">
        <f>B13</f>
        <v>111</v>
      </c>
      <c r="C59" s="426"/>
      <c r="D59" s="426"/>
      <c r="E59" s="426"/>
      <c r="F59" s="426"/>
      <c r="G59" s="431"/>
      <c r="H59" s="432"/>
      <c r="I59" s="432"/>
      <c r="J59" s="432"/>
      <c r="K59" s="432"/>
      <c r="L59" s="433"/>
      <c r="M59" s="434"/>
      <c r="N59" s="435"/>
      <c r="O59" s="435"/>
      <c r="Q59" s="438"/>
    </row>
    <row r="60" spans="1:17" s="352" customFormat="1" ht="14.4" thickBot="1">
      <c r="A60" s="430"/>
      <c r="B60" s="420"/>
      <c r="C60" s="437"/>
      <c r="D60" s="437"/>
      <c r="E60" s="437"/>
      <c r="F60" s="437"/>
      <c r="G60" s="437"/>
      <c r="H60" s="439"/>
      <c r="I60" s="439"/>
      <c r="J60" s="439"/>
      <c r="K60" s="439"/>
      <c r="L60" s="439"/>
      <c r="M60" s="440"/>
      <c r="N60" s="435"/>
      <c r="O60" s="435"/>
      <c r="P60" s="435"/>
      <c r="Q60" s="436"/>
    </row>
    <row r="61" spans="1:17" ht="15" thickTop="1">
      <c r="A61" s="324" t="s">
        <v>2030</v>
      </c>
      <c r="B61" s="404" t="s">
        <v>2074</v>
      </c>
      <c r="C61" s="450" t="s">
        <v>2069</v>
      </c>
      <c r="D61" s="450" t="s">
        <v>2070</v>
      </c>
      <c r="E61" s="450" t="s">
        <v>2071</v>
      </c>
      <c r="F61" s="450" t="s">
        <v>2072</v>
      </c>
      <c r="G61" s="450" t="s">
        <v>2073</v>
      </c>
      <c r="H61" s="405"/>
      <c r="I61" s="405"/>
      <c r="J61" s="405"/>
      <c r="K61" s="451"/>
      <c r="L61" s="452"/>
      <c r="M61" s="453"/>
      <c r="N61" s="410"/>
      <c r="O61" s="410"/>
      <c r="P61" s="454"/>
      <c r="Q61" s="383"/>
    </row>
    <row r="62" spans="1:17" ht="14.4"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 thickTop="1">
      <c r="A63" s="313"/>
      <c r="B63" s="415" t="s">
        <v>2075</v>
      </c>
      <c r="C63" s="455" t="s">
        <v>2069</v>
      </c>
      <c r="D63" s="455" t="s">
        <v>2070</v>
      </c>
      <c r="E63" s="455" t="s">
        <v>2071</v>
      </c>
      <c r="F63" s="455" t="s">
        <v>2072</v>
      </c>
      <c r="G63" s="455" t="s">
        <v>2073</v>
      </c>
      <c r="H63" s="416"/>
      <c r="I63" s="416"/>
      <c r="J63" s="416"/>
      <c r="K63" s="417"/>
      <c r="L63" s="418"/>
      <c r="M63" s="419"/>
      <c r="N63" s="410"/>
      <c r="O63" s="410"/>
      <c r="P63" s="17"/>
      <c r="Q63" s="383"/>
    </row>
    <row r="64" spans="1:17" ht="14.4"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 thickTop="1">
      <c r="A65" s="313"/>
      <c r="B65" s="423" t="s">
        <v>2147</v>
      </c>
      <c r="C65" s="416" t="s">
        <v>2076</v>
      </c>
      <c r="D65" s="416" t="s">
        <v>2077</v>
      </c>
      <c r="E65" s="416" t="s">
        <v>2078</v>
      </c>
      <c r="F65" s="416" t="s">
        <v>2079</v>
      </c>
      <c r="G65" s="416" t="s">
        <v>2080</v>
      </c>
      <c r="H65" s="416"/>
      <c r="I65" s="416"/>
      <c r="J65" s="416"/>
      <c r="K65" s="416"/>
      <c r="L65" s="416"/>
      <c r="M65" s="1010"/>
      <c r="N65" s="414"/>
      <c r="O65" s="414"/>
      <c r="P65" s="17"/>
      <c r="Q65" s="383"/>
    </row>
    <row r="66" spans="1:17" ht="14.4"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 thickTop="1">
      <c r="A67" s="313"/>
      <c r="B67" s="415" t="s">
        <v>2081</v>
      </c>
      <c r="C67" s="455" t="s">
        <v>2069</v>
      </c>
      <c r="D67" s="455" t="s">
        <v>2070</v>
      </c>
      <c r="E67" s="455" t="s">
        <v>2071</v>
      </c>
      <c r="F67" s="455" t="s">
        <v>2072</v>
      </c>
      <c r="G67" s="455" t="s">
        <v>2073</v>
      </c>
      <c r="H67" s="416"/>
      <c r="I67" s="416"/>
      <c r="J67" s="416"/>
      <c r="K67" s="417"/>
      <c r="L67" s="418"/>
      <c r="M67" s="419"/>
      <c r="N67" s="410"/>
      <c r="O67" s="410"/>
      <c r="P67" s="17"/>
      <c r="Q67" s="383"/>
    </row>
    <row r="68" spans="1:17" ht="14.4"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 thickTop="1">
      <c r="A69" s="313"/>
      <c r="B69" s="415" t="s">
        <v>2188</v>
      </c>
      <c r="C69" s="431"/>
      <c r="D69" s="431"/>
      <c r="E69" s="431"/>
      <c r="F69" s="431"/>
      <c r="G69" s="431"/>
      <c r="H69" s="459"/>
      <c r="I69" s="459"/>
      <c r="J69" s="459"/>
      <c r="K69" s="460"/>
      <c r="L69" s="461"/>
      <c r="M69" s="462"/>
      <c r="N69" s="410"/>
      <c r="O69" s="410"/>
      <c r="P69" s="17"/>
      <c r="Q69" s="383"/>
    </row>
    <row r="70" spans="1:17" ht="14.4"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4" thickTop="1">
      <c r="A71" s="316"/>
      <c r="B71" s="415">
        <f>B23</f>
        <v>111</v>
      </c>
      <c r="C71" s="426"/>
      <c r="D71" s="426"/>
      <c r="E71" s="426"/>
      <c r="F71" s="426"/>
      <c r="G71" s="431"/>
      <c r="H71" s="431"/>
      <c r="I71" s="431"/>
      <c r="J71" s="431"/>
      <c r="K71" s="431"/>
      <c r="L71" s="456"/>
      <c r="M71" s="457"/>
      <c r="N71" s="17"/>
      <c r="O71" s="17"/>
      <c r="P71" s="17"/>
      <c r="Q71" s="383"/>
    </row>
    <row r="72" spans="1:17" s="24" customFormat="1" ht="14.4" thickBot="1">
      <c r="A72" s="316"/>
      <c r="B72" s="420"/>
      <c r="C72" s="437"/>
      <c r="D72" s="412"/>
      <c r="E72" s="412"/>
      <c r="F72" s="412"/>
      <c r="G72" s="412"/>
      <c r="H72" s="412"/>
      <c r="I72" s="412"/>
      <c r="J72" s="412"/>
      <c r="K72" s="412"/>
      <c r="L72" s="412"/>
      <c r="M72" s="413"/>
      <c r="N72" s="414"/>
      <c r="O72" s="414"/>
      <c r="P72" s="17"/>
      <c r="Q72" s="383"/>
    </row>
    <row r="73" spans="1:17" s="24" customFormat="1" ht="14.4" thickTop="1">
      <c r="A73" s="316"/>
      <c r="B73" s="415">
        <f>B24</f>
        <v>111</v>
      </c>
      <c r="C73" s="426"/>
      <c r="D73" s="426"/>
      <c r="E73" s="426"/>
      <c r="F73" s="426"/>
      <c r="G73" s="431"/>
      <c r="H73" s="431"/>
      <c r="I73" s="431"/>
      <c r="J73" s="431"/>
      <c r="K73" s="431"/>
      <c r="L73" s="431"/>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352" customFormat="1" ht="14.4" thickTop="1">
      <c r="A75" s="430"/>
      <c r="B75" s="415">
        <f>B25</f>
        <v>111</v>
      </c>
      <c r="C75" s="426"/>
      <c r="D75" s="426"/>
      <c r="E75" s="426"/>
      <c r="F75" s="426"/>
      <c r="G75" s="431"/>
      <c r="H75" s="432"/>
      <c r="I75" s="432"/>
      <c r="J75" s="432"/>
      <c r="K75" s="432"/>
      <c r="L75" s="433"/>
      <c r="M75" s="434"/>
      <c r="N75" s="435"/>
      <c r="O75" s="435"/>
      <c r="P75" s="435"/>
      <c r="Q75" s="436"/>
    </row>
    <row r="76" spans="1:17" s="352" customFormat="1" ht="14.4" thickBot="1">
      <c r="A76" s="430"/>
      <c r="B76" s="420"/>
      <c r="C76" s="437"/>
      <c r="D76" s="437"/>
      <c r="E76" s="437"/>
      <c r="F76" s="437"/>
      <c r="G76" s="412"/>
      <c r="H76" s="412"/>
      <c r="I76" s="412"/>
      <c r="J76" s="412"/>
      <c r="K76" s="412"/>
      <c r="L76" s="412"/>
      <c r="M76" s="413"/>
      <c r="N76" s="435"/>
      <c r="O76" s="435"/>
      <c r="P76" s="435"/>
      <c r="Q76" s="436"/>
    </row>
    <row r="77" spans="1:17" ht="15" thickTop="1">
      <c r="A77" s="324" t="s">
        <v>2035</v>
      </c>
      <c r="B77" s="404" t="s">
        <v>2088</v>
      </c>
      <c r="C77" s="431"/>
      <c r="D77" s="431"/>
      <c r="E77" s="406"/>
      <c r="F77" s="406"/>
      <c r="G77" s="406"/>
      <c r="H77" s="406"/>
      <c r="I77" s="406"/>
      <c r="J77" s="406"/>
      <c r="K77" s="407"/>
      <c r="L77" s="408"/>
      <c r="M77" s="409"/>
      <c r="N77" s="410"/>
      <c r="O77" s="410"/>
      <c r="P77" s="17"/>
      <c r="Q77" s="383"/>
    </row>
    <row r="78" spans="1:17" ht="14.4"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 thickTop="1">
      <c r="A79" s="313"/>
      <c r="B79" s="415" t="s">
        <v>2191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4"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2192</v>
      </c>
      <c r="C82" s="431"/>
      <c r="D82" s="431"/>
      <c r="E82" s="459"/>
      <c r="F82" s="459"/>
      <c r="G82" s="459"/>
      <c r="H82" s="459"/>
      <c r="I82" s="459"/>
      <c r="J82" s="459"/>
      <c r="K82" s="460"/>
      <c r="L82" s="461"/>
      <c r="M82" s="462"/>
      <c r="N82" s="410"/>
      <c r="O82" s="410"/>
      <c r="P82" s="17"/>
      <c r="Q82" s="383"/>
    </row>
    <row r="83" spans="1:17" ht="14.4"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2199</v>
      </c>
      <c r="C84" s="431"/>
      <c r="D84" s="431"/>
      <c r="E84" s="431"/>
      <c r="F84" s="431"/>
      <c r="G84" s="431"/>
      <c r="H84" s="431"/>
      <c r="I84" s="459"/>
      <c r="J84" s="459"/>
      <c r="K84" s="460"/>
      <c r="L84" s="461"/>
      <c r="M84" s="462"/>
      <c r="N84" s="410"/>
      <c r="O84" s="410"/>
      <c r="P84" s="17"/>
      <c r="Q84" s="383"/>
    </row>
    <row r="85" spans="1:17" ht="14.4"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2200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4"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2201</v>
      </c>
      <c r="C89" s="431"/>
      <c r="D89" s="431"/>
      <c r="E89" s="431"/>
      <c r="F89" s="431"/>
      <c r="G89" s="431"/>
      <c r="H89" s="431"/>
      <c r="I89" s="431"/>
      <c r="J89" s="431"/>
      <c r="K89" s="431"/>
      <c r="L89" s="431"/>
      <c r="M89" s="457"/>
      <c r="N89" s="435"/>
      <c r="O89" s="435"/>
      <c r="P89" s="435"/>
      <c r="Q89" s="436"/>
    </row>
    <row r="90" spans="1:17" s="352" customFormat="1" ht="14.4" thickBot="1">
      <c r="A90" s="430"/>
      <c r="B90" s="420"/>
      <c r="C90" s="437"/>
      <c r="D90" s="412"/>
      <c r="E90" s="412"/>
      <c r="F90" s="412"/>
      <c r="G90" s="412"/>
      <c r="H90" s="412"/>
      <c r="I90" s="412"/>
      <c r="J90" s="412"/>
      <c r="K90" s="412"/>
      <c r="L90" s="412"/>
      <c r="M90" s="413"/>
      <c r="N90" s="435"/>
      <c r="O90" s="435"/>
      <c r="P90" s="435"/>
      <c r="Q90" s="436"/>
    </row>
    <row r="91" spans="1:17" ht="14.4" thickTop="1">
      <c r="A91" s="353"/>
      <c r="B91" s="415">
        <f>B32</f>
        <v>111</v>
      </c>
      <c r="C91" s="426"/>
      <c r="D91" s="426"/>
      <c r="E91" s="426"/>
      <c r="F91" s="426"/>
      <c r="G91" s="431"/>
      <c r="H91" s="432"/>
      <c r="I91" s="432"/>
      <c r="J91" s="432"/>
      <c r="K91" s="432"/>
      <c r="L91" s="433"/>
      <c r="M91" s="434"/>
      <c r="N91" s="410"/>
      <c r="O91" s="410"/>
      <c r="P91" s="17"/>
      <c r="Q91" s="383"/>
    </row>
    <row r="92" spans="1:17" ht="14.4" thickBot="1">
      <c r="A92" s="313"/>
      <c r="B92" s="420"/>
      <c r="C92" s="437"/>
      <c r="D92" s="412"/>
      <c r="E92" s="412"/>
      <c r="F92" s="412"/>
      <c r="G92" s="437"/>
      <c r="H92" s="439"/>
      <c r="I92" s="439"/>
      <c r="J92" s="439"/>
      <c r="K92" s="439"/>
      <c r="L92" s="439"/>
      <c r="M92" s="440"/>
      <c r="N92" s="414"/>
      <c r="O92" s="414"/>
      <c r="P92" s="17"/>
      <c r="Q92" s="383"/>
    </row>
    <row r="93" spans="1:17" ht="14.4" thickTop="1">
      <c r="A93" s="353"/>
      <c r="B93" s="415">
        <f>B33</f>
        <v>111</v>
      </c>
      <c r="C93" s="426"/>
      <c r="D93" s="426"/>
      <c r="E93" s="426"/>
      <c r="F93" s="426"/>
      <c r="G93" s="431"/>
      <c r="H93" s="432"/>
      <c r="I93" s="432"/>
      <c r="J93" s="432"/>
      <c r="K93" s="432"/>
      <c r="L93" s="433"/>
      <c r="M93" s="434"/>
      <c r="N93" s="410"/>
      <c r="O93" s="410"/>
      <c r="P93" s="17"/>
      <c r="Q93" s="383"/>
    </row>
    <row r="94" spans="1:17" ht="14.4" thickBot="1">
      <c r="A94" s="313"/>
      <c r="B94" s="420"/>
      <c r="C94" s="437"/>
      <c r="D94" s="412"/>
      <c r="E94" s="412"/>
      <c r="F94" s="412"/>
      <c r="G94" s="437"/>
      <c r="H94" s="439"/>
      <c r="I94" s="439"/>
      <c r="J94" s="439"/>
      <c r="K94" s="439"/>
      <c r="L94" s="439"/>
      <c r="M94" s="440"/>
      <c r="N94" s="414"/>
      <c r="O94" s="414"/>
      <c r="P94" s="17"/>
      <c r="Q94" s="383"/>
    </row>
    <row r="95" spans="1:17" ht="14.4" thickTop="1">
      <c r="A95" s="353"/>
      <c r="B95" s="503">
        <f>B34</f>
        <v>111</v>
      </c>
      <c r="C95" s="426"/>
      <c r="D95" s="426"/>
      <c r="E95" s="426"/>
      <c r="F95" s="426"/>
      <c r="G95" s="431"/>
      <c r="H95" s="432"/>
      <c r="I95" s="432"/>
      <c r="J95" s="432"/>
      <c r="K95" s="432"/>
      <c r="L95" s="433"/>
      <c r="M95" s="434"/>
      <c r="N95" s="414"/>
      <c r="O95" s="414"/>
      <c r="P95" s="414"/>
      <c r="Q95" s="504"/>
    </row>
    <row r="96" spans="1:17" ht="14.4" thickBot="1">
      <c r="A96" s="313"/>
      <c r="B96" s="420"/>
      <c r="C96" s="437"/>
      <c r="D96" s="437"/>
      <c r="E96" s="437"/>
      <c r="F96" s="437"/>
      <c r="G96" s="437"/>
      <c r="H96" s="439"/>
      <c r="I96" s="439"/>
      <c r="J96" s="439"/>
      <c r="K96" s="439"/>
      <c r="L96" s="439"/>
      <c r="M96" s="440"/>
      <c r="N96" s="414"/>
      <c r="O96" s="414"/>
      <c r="P96" s="17"/>
      <c r="Q96" s="383"/>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1"/>
  <sheetViews>
    <sheetView view="pageBreakPreview" topLeftCell="A31" zoomScale="70" zoomScaleNormal="60" zoomScaleSheetLayoutView="70" workbookViewId="0">
      <selection activeCell="F47" sqref="F47"/>
    </sheetView>
  </sheetViews>
  <sheetFormatPr defaultColWidth="9" defaultRowHeight="13.8"/>
  <cols>
    <col min="1" max="1" width="11.8867187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50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776" customFormat="1" ht="28.5" customHeight="1">
      <c r="A1" s="1769" t="s">
        <v>2202</v>
      </c>
      <c r="B1" s="1770"/>
      <c r="C1" s="1771" t="s">
        <v>2203</v>
      </c>
      <c r="D1" s="1770"/>
      <c r="E1" s="1770"/>
      <c r="F1" s="1772" t="s">
        <v>2004</v>
      </c>
      <c r="G1" s="1770"/>
      <c r="H1" s="1770"/>
      <c r="I1" s="1770"/>
      <c r="J1" s="1770"/>
      <c r="K1" s="1773"/>
      <c r="L1" s="1774"/>
      <c r="M1" s="1770"/>
      <c r="N1" s="1770"/>
      <c r="O1" s="1770"/>
      <c r="P1" s="1771"/>
      <c r="Q1" s="1771"/>
      <c r="R1" s="1771"/>
      <c r="S1" s="1771"/>
      <c r="T1" s="1771"/>
      <c r="U1" s="1771"/>
      <c r="V1" s="1771"/>
      <c r="W1" s="1771"/>
      <c r="X1" s="1771"/>
      <c r="Y1" s="1771"/>
      <c r="Z1" s="1771"/>
      <c r="AA1" s="1771"/>
      <c r="AB1" s="1771"/>
      <c r="AC1" s="1775"/>
    </row>
    <row r="2" spans="1:29" s="1776" customFormat="1" ht="28.5" customHeight="1">
      <c r="A2" s="1777" t="s">
        <v>1674</v>
      </c>
      <c r="B2" s="1778" t="e">
        <f>F65</f>
        <v>#DIV/0!</v>
      </c>
      <c r="C2" s="1494" t="s">
        <v>2204</v>
      </c>
      <c r="D2" s="2706"/>
      <c r="E2" s="2706"/>
      <c r="F2" s="2705"/>
      <c r="G2" s="2706"/>
      <c r="H2" s="2706"/>
      <c r="I2" s="2706"/>
      <c r="J2" s="2706"/>
      <c r="K2" s="2707"/>
      <c r="L2" s="2708"/>
      <c r="M2" s="2706"/>
      <c r="N2" s="2706"/>
      <c r="O2" s="2706"/>
      <c r="P2" s="1771"/>
      <c r="Q2" s="1771"/>
      <c r="R2" s="1771"/>
      <c r="S2" s="1771"/>
      <c r="T2" s="1771"/>
      <c r="U2" s="1771"/>
      <c r="V2" s="1771"/>
      <c r="W2" s="1771"/>
      <c r="X2" s="1771"/>
      <c r="Y2" s="1771"/>
      <c r="Z2" s="1771"/>
      <c r="AA2" s="1771"/>
      <c r="AB2" s="1771"/>
      <c r="AC2" s="1775"/>
    </row>
    <row r="3" spans="1:29" s="1776" customFormat="1" ht="28.5" customHeight="1" thickBot="1">
      <c r="A3" s="1496" t="s">
        <v>1675</v>
      </c>
      <c r="B3" s="1779" t="e">
        <f>ROUND(B2/'数据-取费表'!B5,0)</f>
        <v>#DIV/0!</v>
      </c>
      <c r="C3" s="1494" t="s">
        <v>2205</v>
      </c>
      <c r="D3" s="2706"/>
      <c r="E3" s="2706"/>
      <c r="F3" s="2705"/>
      <c r="G3" s="2706"/>
      <c r="H3" s="2706"/>
      <c r="I3" s="2706"/>
      <c r="J3" s="2706"/>
      <c r="K3" s="2707"/>
      <c r="L3" s="2708"/>
      <c r="M3" s="2706"/>
      <c r="N3" s="2706"/>
      <c r="O3" s="2706"/>
      <c r="P3" s="1771"/>
      <c r="Q3" s="1771"/>
      <c r="R3" s="1771"/>
      <c r="S3" s="1771"/>
      <c r="T3" s="1771"/>
      <c r="U3" s="1771"/>
      <c r="V3" s="1771"/>
      <c r="W3" s="1771"/>
      <c r="X3" s="1771"/>
      <c r="Y3" s="1771"/>
      <c r="Z3" s="1771"/>
      <c r="AA3" s="1771"/>
      <c r="AB3" s="1780"/>
      <c r="AC3" s="1775"/>
    </row>
    <row r="4" spans="1:29" ht="14.4">
      <c r="A4" s="1499" t="s">
        <v>2006</v>
      </c>
      <c r="B4" s="1500"/>
      <c r="C4" s="3351" t="s">
        <v>2007</v>
      </c>
      <c r="D4" s="3352"/>
      <c r="E4" s="3353" t="s">
        <v>2008</v>
      </c>
      <c r="F4" s="3354"/>
      <c r="G4" s="3351" t="s">
        <v>2009</v>
      </c>
      <c r="H4" s="3352"/>
      <c r="I4" s="3351" t="s">
        <v>2010</v>
      </c>
      <c r="J4" s="3352"/>
      <c r="K4" s="1781" t="s">
        <v>2011</v>
      </c>
      <c r="L4" s="2694"/>
      <c r="P4" s="3355" t="s">
        <v>2012</v>
      </c>
      <c r="Q4" s="3356"/>
      <c r="R4" s="3340" t="s">
        <v>2008</v>
      </c>
      <c r="S4" s="3341"/>
      <c r="T4" s="3340" t="s">
        <v>2009</v>
      </c>
      <c r="U4" s="3341"/>
      <c r="V4" s="3320" t="s">
        <v>2010</v>
      </c>
      <c r="W4" s="3320"/>
      <c r="X4" s="1502"/>
      <c r="Y4" s="3340" t="s">
        <v>2012</v>
      </c>
      <c r="Z4" s="3341"/>
      <c r="AA4" s="3348" t="s">
        <v>2008</v>
      </c>
      <c r="AB4" s="3349" t="s">
        <v>2009</v>
      </c>
      <c r="AC4" s="3348" t="s">
        <v>2010</v>
      </c>
    </row>
    <row r="5" spans="1:29">
      <c r="A5" s="1504"/>
      <c r="B5" s="1505"/>
      <c r="C5" s="3336" t="s">
        <v>2013</v>
      </c>
      <c r="D5" s="3337"/>
      <c r="E5" s="3361" t="s">
        <v>2014</v>
      </c>
      <c r="F5" s="3362"/>
      <c r="G5" s="3336" t="s">
        <v>2015</v>
      </c>
      <c r="H5" s="3337"/>
      <c r="I5" s="3336" t="s">
        <v>2016</v>
      </c>
      <c r="J5" s="3337"/>
      <c r="K5" s="1781"/>
      <c r="L5" s="2694"/>
      <c r="P5" s="3357"/>
      <c r="Q5" s="3358"/>
      <c r="R5" s="3342"/>
      <c r="S5" s="3343"/>
      <c r="T5" s="3342"/>
      <c r="U5" s="3343"/>
      <c r="V5" s="3320"/>
      <c r="W5" s="3320"/>
      <c r="X5" s="1502"/>
      <c r="Y5" s="3342"/>
      <c r="Z5" s="3343"/>
      <c r="AA5" s="3349"/>
      <c r="AB5" s="3349"/>
      <c r="AC5" s="3349"/>
    </row>
    <row r="6" spans="1:29" ht="15" thickBot="1">
      <c r="A6" s="1507"/>
      <c r="B6" s="1508"/>
      <c r="C6" s="3334" t="s">
        <v>2017</v>
      </c>
      <c r="D6" s="3335"/>
      <c r="E6" s="3363" t="s">
        <v>2017</v>
      </c>
      <c r="F6" s="3364"/>
      <c r="G6" s="3334" t="s">
        <v>2017</v>
      </c>
      <c r="H6" s="3335"/>
      <c r="I6" s="3334" t="s">
        <v>2017</v>
      </c>
      <c r="J6" s="3335"/>
      <c r="K6" s="1781" t="s">
        <v>2018</v>
      </c>
      <c r="L6" s="2694"/>
      <c r="P6" s="3359"/>
      <c r="Q6" s="3360"/>
      <c r="R6" s="3342"/>
      <c r="S6" s="3343"/>
      <c r="T6" s="3344"/>
      <c r="U6" s="3345"/>
      <c r="V6" s="3320"/>
      <c r="W6" s="3320"/>
      <c r="X6" s="1502"/>
      <c r="Y6" s="3344"/>
      <c r="Z6" s="3345"/>
      <c r="AA6" s="3350"/>
      <c r="AB6" s="3350"/>
      <c r="AC6" s="3350"/>
    </row>
    <row r="7" spans="1:29" s="1520" customFormat="1" ht="15" thickBot="1">
      <c r="A7" s="1509" t="s">
        <v>2019</v>
      </c>
      <c r="B7" s="1510"/>
      <c r="C7" s="1511">
        <f>'数据-取费表'!B2</f>
        <v>44901</v>
      </c>
      <c r="D7" s="1512">
        <v>100</v>
      </c>
      <c r="E7" s="1513"/>
      <c r="F7" s="1514">
        <f>SUMIF(69:69,YEAR(E7)&amp;"-"&amp;INT((MONTH(E7)+2)/3),70:70)</f>
        <v>0</v>
      </c>
      <c r="G7" s="1782"/>
      <c r="H7" s="1512">
        <f>SUMIF(69:69,YEAR(G7)&amp;"-"&amp;INT((MONTH(G7)+2)/3),70:70)</f>
        <v>0</v>
      </c>
      <c r="I7" s="1782"/>
      <c r="J7" s="1512">
        <f>SUMIF(69:69,YEAR(I7)&amp;"-"&amp;INT((MONTH(I7)+2)/3),70:70)</f>
        <v>0</v>
      </c>
      <c r="K7" s="1783"/>
      <c r="L7" s="2694"/>
      <c r="P7" s="3338" t="s">
        <v>2020</v>
      </c>
      <c r="Q7" s="3346"/>
      <c r="R7" s="1516" t="s">
        <v>25</v>
      </c>
      <c r="S7" s="1517">
        <f t="shared" ref="S7:S15" si="0">F7</f>
        <v>0</v>
      </c>
      <c r="T7" s="1516" t="s">
        <v>25</v>
      </c>
      <c r="U7" s="1517">
        <f t="shared" ref="U7:U15" si="1">H7</f>
        <v>0</v>
      </c>
      <c r="V7" s="1516" t="s">
        <v>25</v>
      </c>
      <c r="W7" s="1517">
        <f t="shared" ref="W7:W15" si="2">J7</f>
        <v>0</v>
      </c>
      <c r="X7" s="1518"/>
      <c r="Y7" s="3338" t="s">
        <v>2020</v>
      </c>
      <c r="Z7" s="3339"/>
      <c r="AA7" s="1519" t="e">
        <f>D7/F7</f>
        <v>#DIV/0!</v>
      </c>
      <c r="AB7" s="1519" t="e">
        <f>D7/H7</f>
        <v>#DIV/0!</v>
      </c>
      <c r="AC7" s="1519" t="e">
        <f>D7/J7</f>
        <v>#DIV/0!</v>
      </c>
    </row>
    <row r="8" spans="1:29" s="1520" customFormat="1" ht="15" thickBot="1">
      <c r="A8" s="1509" t="s">
        <v>2021</v>
      </c>
      <c r="B8" s="1510"/>
      <c r="C8" s="1521" t="s">
        <v>2206</v>
      </c>
      <c r="D8" s="1512">
        <v>100</v>
      </c>
      <c r="E8" s="1521"/>
      <c r="F8" s="1514">
        <f>SUMIF(72:72,E8,73:73)-SUMIF(72:72,C8,73:73)+100</f>
        <v>0</v>
      </c>
      <c r="G8" s="1521"/>
      <c r="H8" s="1512">
        <f>SUMIF(72:72,G8,73:73)-SUMIF(72:72,C8,73:73)+100</f>
        <v>0</v>
      </c>
      <c r="I8" s="1521"/>
      <c r="J8" s="1512">
        <f>SUMIF(72:72,I8,73:73)-SUMIF(72:72,C8,73:73)+100</f>
        <v>0</v>
      </c>
      <c r="K8" s="1783"/>
      <c r="L8" s="2694"/>
      <c r="P8" s="3338" t="s">
        <v>2023</v>
      </c>
      <c r="Q8" s="3339"/>
      <c r="R8" s="1516" t="s">
        <v>25</v>
      </c>
      <c r="S8" s="1517">
        <f t="shared" si="0"/>
        <v>0</v>
      </c>
      <c r="T8" s="1516" t="s">
        <v>25</v>
      </c>
      <c r="U8" s="1517">
        <f t="shared" si="1"/>
        <v>0</v>
      </c>
      <c r="V8" s="1516" t="s">
        <v>25</v>
      </c>
      <c r="W8" s="1517">
        <f t="shared" si="2"/>
        <v>0</v>
      </c>
      <c r="X8" s="1518"/>
      <c r="Y8" s="3338" t="s">
        <v>2023</v>
      </c>
      <c r="Z8" s="3339"/>
      <c r="AA8" s="1519" t="e">
        <f t="shared" ref="AA8:AA45" si="3">D8/F8</f>
        <v>#DIV/0!</v>
      </c>
      <c r="AB8" s="1519" t="e">
        <f t="shared" ref="AB8:AB45" si="4">D8/H8</f>
        <v>#DIV/0!</v>
      </c>
      <c r="AC8" s="1519" t="e">
        <f t="shared" ref="AC8:AC45" si="5">D8/J8</f>
        <v>#DIV/0!</v>
      </c>
    </row>
    <row r="9" spans="1:29" s="1520" customFormat="1" ht="14.4">
      <c r="A9" s="1473" t="s">
        <v>2024</v>
      </c>
      <c r="B9" s="1523" t="s">
        <v>2025</v>
      </c>
      <c r="C9" s="1784"/>
      <c r="D9" s="1525">
        <v>100</v>
      </c>
      <c r="E9" s="1784"/>
      <c r="F9" s="1525">
        <f>SUMIF(74:74,E9,75:75)-SUMIF(74:74,C9,75:75)+100</f>
        <v>100</v>
      </c>
      <c r="G9" s="1784"/>
      <c r="H9" s="1525">
        <f>SUMIF(74:74,G9,75:75)-SUMIF(74:74,C9,75:75)+100</f>
        <v>100</v>
      </c>
      <c r="I9" s="1784"/>
      <c r="J9" s="1525">
        <f>SUMIF(74:74,I9,75:75)-SUMIF(74:74,C9,75:75)+100</f>
        <v>100</v>
      </c>
      <c r="K9" s="1783"/>
      <c r="L9" s="2694"/>
      <c r="O9" s="2731"/>
      <c r="P9" s="3324" t="s">
        <v>2026</v>
      </c>
      <c r="Q9" s="1472" t="str">
        <f t="shared" ref="Q9:Q15" si="6">B9</f>
        <v>用途</v>
      </c>
      <c r="R9" s="1516" t="s">
        <v>25</v>
      </c>
      <c r="S9" s="1517">
        <f t="shared" si="0"/>
        <v>100</v>
      </c>
      <c r="T9" s="1516" t="s">
        <v>25</v>
      </c>
      <c r="U9" s="1517">
        <f t="shared" si="1"/>
        <v>100</v>
      </c>
      <c r="V9" s="1516" t="s">
        <v>25</v>
      </c>
      <c r="W9" s="1517">
        <f t="shared" si="2"/>
        <v>100</v>
      </c>
      <c r="X9" s="1518"/>
      <c r="Y9" s="3184" t="s">
        <v>2027</v>
      </c>
      <c r="Z9" s="1519" t="str">
        <f t="shared" ref="Z9:Z15" si="7">Q9</f>
        <v>用途</v>
      </c>
      <c r="AA9" s="1519">
        <f t="shared" si="3"/>
        <v>1</v>
      </c>
      <c r="AB9" s="1519">
        <f t="shared" si="4"/>
        <v>1</v>
      </c>
      <c r="AC9" s="1519">
        <f t="shared" si="5"/>
        <v>1</v>
      </c>
    </row>
    <row r="10" spans="1:29" s="1534" customFormat="1" ht="28.8">
      <c r="A10" s="1528"/>
      <c r="B10" s="1529" t="s">
        <v>2028</v>
      </c>
      <c r="C10" s="1540"/>
      <c r="D10" s="1531">
        <v>100</v>
      </c>
      <c r="E10" s="1590"/>
      <c r="F10" s="1531">
        <f>ROUND(100/'数据-取费表'!B14,0)</f>
        <v>130</v>
      </c>
      <c r="G10" s="1589"/>
      <c r="H10" s="1531">
        <f>ROUND(100/'数据-取费表'!B14,0)</f>
        <v>130</v>
      </c>
      <c r="I10" s="1589"/>
      <c r="J10" s="1531">
        <f>ROUND(100/'数据-取费表'!B14,0)</f>
        <v>130</v>
      </c>
      <c r="K10" s="1785"/>
      <c r="L10" s="2695"/>
      <c r="O10" s="2732"/>
      <c r="P10" s="3324"/>
      <c r="Q10" s="1472" t="str">
        <f t="shared" si="6"/>
        <v>土地使用年限（年）</v>
      </c>
      <c r="R10" s="1516" t="s">
        <v>25</v>
      </c>
      <c r="S10" s="1517">
        <f t="shared" si="0"/>
        <v>130</v>
      </c>
      <c r="T10" s="1516" t="s">
        <v>25</v>
      </c>
      <c r="U10" s="1517">
        <f t="shared" si="1"/>
        <v>130</v>
      </c>
      <c r="V10" s="1516" t="s">
        <v>25</v>
      </c>
      <c r="W10" s="1517">
        <f t="shared" si="2"/>
        <v>130</v>
      </c>
      <c r="X10" s="1518"/>
      <c r="Y10" s="3184"/>
      <c r="Z10" s="1519" t="str">
        <f t="shared" si="7"/>
        <v>土地使用年限（年）</v>
      </c>
      <c r="AA10" s="1519">
        <f t="shared" si="3"/>
        <v>0.76923076923076927</v>
      </c>
      <c r="AB10" s="1519">
        <f t="shared" si="4"/>
        <v>0.76923076923076927</v>
      </c>
      <c r="AC10" s="1519">
        <f t="shared" si="5"/>
        <v>0.76923076923076927</v>
      </c>
    </row>
    <row r="11" spans="1:29" ht="15">
      <c r="A11" s="1535"/>
      <c r="B11" s="1529" t="s">
        <v>2029</v>
      </c>
      <c r="C11" s="1536"/>
      <c r="D11" s="1531">
        <v>100</v>
      </c>
      <c r="E11" s="1536"/>
      <c r="F11" s="1531" t="e">
        <f>LOOKUP(E11,79:79,80:80)-LOOKUP(C11,79:79,80:80)+100</f>
        <v>#N/A</v>
      </c>
      <c r="G11" s="1537"/>
      <c r="H11" s="1531" t="e">
        <f>LOOKUP(G11,79:79,80:80)-LOOKUP(C11,79:79,80:80)+100</f>
        <v>#N/A</v>
      </c>
      <c r="I11" s="1536"/>
      <c r="J11" s="1531" t="e">
        <f>LOOKUP(I11,79:79,80:80)-LOOKUP(C11,79:79,80:80)+100</f>
        <v>#N/A</v>
      </c>
      <c r="K11" s="1786"/>
      <c r="L11" s="2696"/>
      <c r="O11" s="2733"/>
      <c r="P11" s="3324"/>
      <c r="Q11" s="1472" t="str">
        <f t="shared" si="6"/>
        <v>容积率</v>
      </c>
      <c r="R11" s="1516" t="s">
        <v>25</v>
      </c>
      <c r="S11" s="1517" t="e">
        <f t="shared" si="0"/>
        <v>#N/A</v>
      </c>
      <c r="T11" s="1516" t="s">
        <v>25</v>
      </c>
      <c r="U11" s="1517" t="e">
        <f t="shared" si="1"/>
        <v>#N/A</v>
      </c>
      <c r="V11" s="1516" t="s">
        <v>25</v>
      </c>
      <c r="W11" s="1517" t="e">
        <f t="shared" si="2"/>
        <v>#N/A</v>
      </c>
      <c r="X11" s="1518"/>
      <c r="Y11" s="3184"/>
      <c r="Z11" s="1519" t="str">
        <f t="shared" si="7"/>
        <v>容积率</v>
      </c>
      <c r="AA11" s="1519" t="e">
        <f t="shared" si="3"/>
        <v>#N/A</v>
      </c>
      <c r="AB11" s="1519" t="e">
        <f t="shared" si="4"/>
        <v>#N/A</v>
      </c>
      <c r="AC11" s="1519" t="e">
        <f t="shared" si="5"/>
        <v>#N/A</v>
      </c>
    </row>
    <row r="12" spans="1:29" s="1520" customFormat="1" ht="15">
      <c r="A12" s="1538"/>
      <c r="B12" s="1539" t="s">
        <v>2207</v>
      </c>
      <c r="C12" s="1540"/>
      <c r="D12" s="1541">
        <v>100</v>
      </c>
      <c r="E12" s="1590"/>
      <c r="F12" s="1531">
        <f>SUMIF(81:81,E12,82:82)-SUMIF(81:81,C12,82:82)+100</f>
        <v>100</v>
      </c>
      <c r="G12" s="1589"/>
      <c r="H12" s="1531">
        <f>SUMIF(81:81,G12,82:82)-SUMIF(81:81,C12,82:82)+100</f>
        <v>100</v>
      </c>
      <c r="I12" s="1590"/>
      <c r="J12" s="1531">
        <f>SUMIF(81:81,I12,82:82)-SUMIF(81:81,C12,82:82)+100</f>
        <v>100</v>
      </c>
      <c r="K12" s="1785"/>
      <c r="L12" s="2694"/>
      <c r="O12" s="2731"/>
      <c r="P12" s="3324"/>
      <c r="Q12" s="1472" t="str">
        <f t="shared" si="6"/>
        <v>配建</v>
      </c>
      <c r="R12" s="1516" t="s">
        <v>25</v>
      </c>
      <c r="S12" s="1517">
        <f t="shared" si="0"/>
        <v>100</v>
      </c>
      <c r="T12" s="1516" t="s">
        <v>25</v>
      </c>
      <c r="U12" s="1517">
        <f t="shared" si="1"/>
        <v>100</v>
      </c>
      <c r="V12" s="1516" t="s">
        <v>25</v>
      </c>
      <c r="W12" s="1517">
        <f t="shared" si="2"/>
        <v>100</v>
      </c>
      <c r="X12" s="1518"/>
      <c r="Y12" s="3184"/>
      <c r="Z12" s="1519" t="str">
        <f t="shared" si="7"/>
        <v>配建</v>
      </c>
      <c r="AA12" s="1519">
        <f>D12/F12</f>
        <v>1</v>
      </c>
      <c r="AB12" s="1519">
        <f>D12/H12</f>
        <v>1</v>
      </c>
      <c r="AC12" s="1519">
        <f>D12/J12</f>
        <v>1</v>
      </c>
    </row>
    <row r="13" spans="1:29" ht="15">
      <c r="A13" s="1535"/>
      <c r="B13" s="1539">
        <v>111</v>
      </c>
      <c r="C13" s="1543"/>
      <c r="D13" s="1544">
        <v>100</v>
      </c>
      <c r="E13" s="1691"/>
      <c r="F13" s="1531">
        <f>SUMIF(83:83,E13,84:84)-SUMIF(83:83,C13,84:84)+100</f>
        <v>100</v>
      </c>
      <c r="G13" s="1787"/>
      <c r="H13" s="1544">
        <f>SUMIF(83:83,G13,84:84)-SUMIF(83:83,C13,84:84)+100</f>
        <v>100</v>
      </c>
      <c r="I13" s="1787"/>
      <c r="J13" s="1544">
        <f>SUMIF(83:83,I13,84:84)-SUMIF(83:83,C13,84:84)+100</f>
        <v>100</v>
      </c>
      <c r="K13" s="1785"/>
      <c r="L13" s="2697"/>
      <c r="O13" s="2733"/>
      <c r="P13" s="3324"/>
      <c r="Q13" s="1472">
        <f t="shared" si="6"/>
        <v>111</v>
      </c>
      <c r="R13" s="1516" t="s">
        <v>25</v>
      </c>
      <c r="S13" s="1517">
        <f t="shared" si="0"/>
        <v>100</v>
      </c>
      <c r="T13" s="1516" t="s">
        <v>25</v>
      </c>
      <c r="U13" s="1517">
        <f t="shared" si="1"/>
        <v>100</v>
      </c>
      <c r="V13" s="1516" t="s">
        <v>25</v>
      </c>
      <c r="W13" s="1517">
        <f t="shared" si="2"/>
        <v>100</v>
      </c>
      <c r="X13" s="1518"/>
      <c r="Y13" s="3184"/>
      <c r="Z13" s="1519">
        <f t="shared" si="7"/>
        <v>111</v>
      </c>
      <c r="AA13" s="1519">
        <f>D13/F13</f>
        <v>1</v>
      </c>
      <c r="AB13" s="1519">
        <f>D13/H13</f>
        <v>1</v>
      </c>
      <c r="AC13" s="1519">
        <f>D13/J13</f>
        <v>1</v>
      </c>
    </row>
    <row r="14" spans="1:29" ht="15.6" thickBot="1">
      <c r="A14" s="1545"/>
      <c r="B14" s="1546">
        <v>111</v>
      </c>
      <c r="C14" s="1547"/>
      <c r="D14" s="1548">
        <v>100</v>
      </c>
      <c r="E14" s="1691"/>
      <c r="F14" s="1548">
        <f>SUMIF(85:85,E14,86:86)-SUMIF(85:85,C14,86:86)+100</f>
        <v>100</v>
      </c>
      <c r="G14" s="1787"/>
      <c r="H14" s="1548">
        <f>SUMIF(85:85,G14,86:86)-SUMIF(85:85,C14,86:86)+100</f>
        <v>100</v>
      </c>
      <c r="I14" s="1787"/>
      <c r="J14" s="1548">
        <f>SUMIF(85:85,I14,86:86)-SUMIF(85:85,C14,86:86)+100</f>
        <v>100</v>
      </c>
      <c r="K14" s="1785"/>
      <c r="L14" s="2697"/>
      <c r="O14" s="2733"/>
      <c r="P14" s="3324"/>
      <c r="Q14" s="1472">
        <f t="shared" si="6"/>
        <v>111</v>
      </c>
      <c r="R14" s="1516" t="s">
        <v>25</v>
      </c>
      <c r="S14" s="1517">
        <f t="shared" si="0"/>
        <v>100</v>
      </c>
      <c r="T14" s="1516" t="s">
        <v>25</v>
      </c>
      <c r="U14" s="1517">
        <f t="shared" si="1"/>
        <v>100</v>
      </c>
      <c r="V14" s="1516" t="s">
        <v>25</v>
      </c>
      <c r="W14" s="1517">
        <f t="shared" si="2"/>
        <v>100</v>
      </c>
      <c r="X14" s="1518"/>
      <c r="Y14" s="3184"/>
      <c r="Z14" s="1519">
        <f t="shared" si="7"/>
        <v>111</v>
      </c>
      <c r="AA14" s="1519">
        <f>D14/F14</f>
        <v>1</v>
      </c>
      <c r="AB14" s="1519">
        <f>D14/H14</f>
        <v>1</v>
      </c>
      <c r="AC14" s="1519">
        <f>D14/J14</f>
        <v>1</v>
      </c>
    </row>
    <row r="15" spans="1:29" ht="96.6">
      <c r="A15" s="1499" t="s">
        <v>2030</v>
      </c>
      <c r="B15" s="1788" t="s">
        <v>1464</v>
      </c>
      <c r="C15" s="1789" t="str">
        <f>估价对象房地状况!C15</f>
        <v>估价对象周边居住用地比例、居住小区规模和社区发展完善程度，综合评价居住社区成熟度一般</v>
      </c>
      <c r="D15" s="1553">
        <v>100</v>
      </c>
      <c r="E15" s="1554"/>
      <c r="F15" s="1553">
        <f>SUMIF(87:87,E16,88:88)-SUMIF(87:87,C16,88:88)+100</f>
        <v>100</v>
      </c>
      <c r="G15" s="1554"/>
      <c r="H15" s="1553">
        <f>SUMIF(87:87,G16,88:88)-SUMIF(87:87,C16,88:88)+100</f>
        <v>100</v>
      </c>
      <c r="I15" s="1556"/>
      <c r="J15" s="1553">
        <f>SUMIF(87:87,I16,88:88)-SUMIF(87:87,C16,88:88)+100</f>
        <v>100</v>
      </c>
      <c r="K15" s="1786"/>
      <c r="L15" s="2697"/>
      <c r="O15" s="2733"/>
      <c r="P15" s="3327" t="s">
        <v>2031</v>
      </c>
      <c r="Q15" s="1454" t="str">
        <f t="shared" si="6"/>
        <v>居住社区成熟度</v>
      </c>
      <c r="R15" s="1558" t="s">
        <v>25</v>
      </c>
      <c r="S15" s="1559">
        <f t="shared" si="0"/>
        <v>100</v>
      </c>
      <c r="T15" s="1558" t="s">
        <v>25</v>
      </c>
      <c r="U15" s="1559">
        <f t="shared" si="1"/>
        <v>100</v>
      </c>
      <c r="V15" s="1558" t="s">
        <v>25</v>
      </c>
      <c r="W15" s="1559">
        <f t="shared" si="2"/>
        <v>100</v>
      </c>
      <c r="X15" s="1502"/>
      <c r="Y15" s="3327" t="s">
        <v>2031</v>
      </c>
      <c r="Z15" s="1560" t="str">
        <f t="shared" si="7"/>
        <v>居住社区成熟度</v>
      </c>
      <c r="AA15" s="1560">
        <f t="shared" si="3"/>
        <v>1</v>
      </c>
      <c r="AB15" s="1560">
        <f t="shared" si="4"/>
        <v>1</v>
      </c>
      <c r="AC15" s="1560">
        <f t="shared" si="5"/>
        <v>1</v>
      </c>
    </row>
    <row r="16" spans="1:29" ht="15">
      <c r="A16" s="1504"/>
      <c r="B16" s="1790"/>
      <c r="C16" s="1791"/>
      <c r="D16" s="1563"/>
      <c r="E16" s="1564"/>
      <c r="F16" s="1563"/>
      <c r="G16" s="1564"/>
      <c r="H16" s="1567"/>
      <c r="I16" s="1566"/>
      <c r="J16" s="1563"/>
      <c r="K16" s="1785"/>
      <c r="L16" s="2697"/>
      <c r="O16" s="2733"/>
      <c r="P16" s="3328"/>
      <c r="Q16" s="1454"/>
      <c r="R16" s="1558"/>
      <c r="S16" s="1559"/>
      <c r="T16" s="1558"/>
      <c r="U16" s="1559"/>
      <c r="V16" s="1558"/>
      <c r="W16" s="1559"/>
      <c r="X16" s="1502"/>
      <c r="Y16" s="3328"/>
      <c r="Z16" s="1560"/>
      <c r="AA16" s="1560">
        <v>1</v>
      </c>
      <c r="AB16" s="1560">
        <v>1</v>
      </c>
      <c r="AC16" s="1560">
        <v>1</v>
      </c>
    </row>
    <row r="17" spans="1:29" ht="82.8">
      <c r="A17" s="1504"/>
      <c r="B17" s="1792" t="s">
        <v>2116</v>
      </c>
      <c r="C17" s="1793" t="str">
        <f>估价对象房地状况!C16</f>
        <v>估价对象位于XX商圈，周边商业氛围成熟，人流量大，商业繁华度好</v>
      </c>
      <c r="D17" s="1567">
        <v>100</v>
      </c>
      <c r="E17" s="1571"/>
      <c r="F17" s="1567">
        <f>SUMIF(89:89,E18,90:90)-SUMIF(89:89,C18,90:90)+100</f>
        <v>100</v>
      </c>
      <c r="G17" s="1571"/>
      <c r="H17" s="1574">
        <f>SUMIF(89:89,G18,90:90)-SUMIF(89:89,C18,90:90)+100</f>
        <v>100</v>
      </c>
      <c r="I17" s="1573"/>
      <c r="J17" s="1574">
        <f>SUMIF(89:89,I18,90:90)-SUMIF(89:89,C18,90:90)+100</f>
        <v>100</v>
      </c>
      <c r="K17" s="1786"/>
      <c r="L17" s="2697"/>
      <c r="O17" s="2733"/>
      <c r="P17" s="3328"/>
      <c r="Q17" s="1454" t="str">
        <f>B17</f>
        <v>商业繁华度</v>
      </c>
      <c r="R17" s="1558" t="s">
        <v>25</v>
      </c>
      <c r="S17" s="1559">
        <f>F17</f>
        <v>100</v>
      </c>
      <c r="T17" s="1558" t="s">
        <v>25</v>
      </c>
      <c r="U17" s="1559">
        <f>H17</f>
        <v>100</v>
      </c>
      <c r="V17" s="1558" t="s">
        <v>25</v>
      </c>
      <c r="W17" s="1559">
        <f>J17</f>
        <v>100</v>
      </c>
      <c r="X17" s="1502"/>
      <c r="Y17" s="3328"/>
      <c r="Z17" s="1560" t="str">
        <f>Q17</f>
        <v>商业繁华度</v>
      </c>
      <c r="AA17" s="1560">
        <f t="shared" si="3"/>
        <v>1</v>
      </c>
      <c r="AB17" s="1560">
        <f t="shared" si="4"/>
        <v>1</v>
      </c>
      <c r="AC17" s="1560">
        <f t="shared" si="5"/>
        <v>1</v>
      </c>
    </row>
    <row r="18" spans="1:29" ht="15">
      <c r="A18" s="1504"/>
      <c r="B18" s="1794"/>
      <c r="C18" s="1795"/>
      <c r="D18" s="1567"/>
      <c r="E18" s="1577"/>
      <c r="F18" s="1567"/>
      <c r="G18" s="1577"/>
      <c r="H18" s="1563"/>
      <c r="I18" s="1578"/>
      <c r="J18" s="1563"/>
      <c r="K18" s="1785"/>
      <c r="L18" s="2697"/>
      <c r="O18" s="2733"/>
      <c r="P18" s="3328"/>
      <c r="Q18" s="1454"/>
      <c r="R18" s="1558"/>
      <c r="S18" s="1559"/>
      <c r="T18" s="1558"/>
      <c r="U18" s="1559"/>
      <c r="V18" s="1558"/>
      <c r="W18" s="1559"/>
      <c r="X18" s="1502"/>
      <c r="Y18" s="3328"/>
      <c r="Z18" s="1560"/>
      <c r="AA18" s="1560">
        <v>1</v>
      </c>
      <c r="AB18" s="1560">
        <v>1</v>
      </c>
      <c r="AC18" s="1560">
        <v>1</v>
      </c>
    </row>
    <row r="19" spans="1:29" ht="82.8">
      <c r="A19" s="1504"/>
      <c r="B19" s="1792" t="s">
        <v>2145</v>
      </c>
      <c r="C19" s="1793" t="str">
        <f>估价对象房地状况!C17</f>
        <v>估价对象位于XX商圈，周边办公楼项目较多，入驻率高，办公集聚程度较好</v>
      </c>
      <c r="D19" s="1574">
        <v>100</v>
      </c>
      <c r="E19" s="1579"/>
      <c r="F19" s="1574">
        <f>SUMIF(91:91,E20,92:92)-SUMIF(91:91,C20,92:92)+100</f>
        <v>100</v>
      </c>
      <c r="G19" s="1579"/>
      <c r="H19" s="1567">
        <f>SUMIF(91:91,G20,92:92)-SUMIF(91:91,C20,92:92)+100</f>
        <v>100</v>
      </c>
      <c r="I19" s="1581"/>
      <c r="J19" s="1567">
        <f>SUMIF(91:91,I20,92:92)-SUMIF(91:91,C20,92:92)+100</f>
        <v>100</v>
      </c>
      <c r="K19" s="1786"/>
      <c r="L19" s="2697"/>
      <c r="O19" s="2733"/>
      <c r="P19" s="3328"/>
      <c r="Q19" s="1454" t="str">
        <f>B19</f>
        <v>办公集聚程度</v>
      </c>
      <c r="R19" s="1558" t="s">
        <v>25</v>
      </c>
      <c r="S19" s="1559">
        <f>F19</f>
        <v>100</v>
      </c>
      <c r="T19" s="1558" t="s">
        <v>25</v>
      </c>
      <c r="U19" s="1559">
        <f>H19</f>
        <v>100</v>
      </c>
      <c r="V19" s="1558" t="s">
        <v>25</v>
      </c>
      <c r="W19" s="1559">
        <f>J19</f>
        <v>100</v>
      </c>
      <c r="X19" s="1502"/>
      <c r="Y19" s="3328"/>
      <c r="Z19" s="1560" t="str">
        <f>Q19</f>
        <v>办公集聚程度</v>
      </c>
      <c r="AA19" s="1560">
        <f t="shared" si="3"/>
        <v>1</v>
      </c>
      <c r="AB19" s="1560">
        <f t="shared" si="4"/>
        <v>1</v>
      </c>
      <c r="AC19" s="1560">
        <f t="shared" si="5"/>
        <v>1</v>
      </c>
    </row>
    <row r="20" spans="1:29" ht="15">
      <c r="A20" s="1504"/>
      <c r="B20" s="1794"/>
      <c r="C20" s="1791"/>
      <c r="D20" s="1563"/>
      <c r="E20" s="1564"/>
      <c r="F20" s="1563"/>
      <c r="G20" s="1564"/>
      <c r="H20" s="1563"/>
      <c r="I20" s="1566"/>
      <c r="J20" s="1563"/>
      <c r="K20" s="1785"/>
      <c r="L20" s="2697"/>
      <c r="O20" s="2733"/>
      <c r="P20" s="3328"/>
      <c r="Q20" s="1454"/>
      <c r="R20" s="1558"/>
      <c r="S20" s="1559"/>
      <c r="T20" s="1558"/>
      <c r="U20" s="1559"/>
      <c r="V20" s="1558"/>
      <c r="W20" s="1559"/>
      <c r="X20" s="1502"/>
      <c r="Y20" s="3328"/>
      <c r="Z20" s="1560"/>
      <c r="AA20" s="1560">
        <v>1</v>
      </c>
      <c r="AB20" s="1560">
        <v>1</v>
      </c>
      <c r="AC20" s="1560">
        <v>1</v>
      </c>
    </row>
    <row r="21" spans="1:29" ht="96.6">
      <c r="A21" s="1504"/>
      <c r="B21" s="1792" t="s">
        <v>2168</v>
      </c>
      <c r="C21" s="1796" t="str">
        <f>估价对象房地状况!C18</f>
        <v>估价对象周边道路状况、公共交通通达情况、停车便捷程度，综合评价交通便捷度较好</v>
      </c>
      <c r="D21" s="1567">
        <v>100</v>
      </c>
      <c r="E21" s="1571"/>
      <c r="F21" s="1574">
        <f>SUMIF(93:93,E22,94:94)-SUMIF(93:93,C22,94:94)+100</f>
        <v>100</v>
      </c>
      <c r="G21" s="1571"/>
      <c r="H21" s="1567">
        <f>SUMIF(93:93,G22,94:94)-SUMIF(93:93,C22,94:94)+100</f>
        <v>100</v>
      </c>
      <c r="I21" s="1573"/>
      <c r="J21" s="1567">
        <f>SUMIF(93:93,I22,94:94)-SUMIF(93:93,C22,94:94)+100</f>
        <v>100</v>
      </c>
      <c r="K21" s="1786"/>
      <c r="L21" s="2697"/>
      <c r="O21" s="2733"/>
      <c r="P21" s="3328"/>
      <c r="Q21" s="1454" t="str">
        <f>B21</f>
        <v>交通便捷度</v>
      </c>
      <c r="R21" s="1558" t="s">
        <v>25</v>
      </c>
      <c r="S21" s="1559">
        <f>F21</f>
        <v>100</v>
      </c>
      <c r="T21" s="1558" t="s">
        <v>25</v>
      </c>
      <c r="U21" s="1559">
        <f>H21</f>
        <v>100</v>
      </c>
      <c r="V21" s="1558" t="s">
        <v>25</v>
      </c>
      <c r="W21" s="1559">
        <f>J21</f>
        <v>100</v>
      </c>
      <c r="X21" s="1502"/>
      <c r="Y21" s="3328"/>
      <c r="Z21" s="1560" t="str">
        <f>Q21</f>
        <v>交通便捷度</v>
      </c>
      <c r="AA21" s="1560">
        <f t="shared" si="3"/>
        <v>1</v>
      </c>
      <c r="AB21" s="1560">
        <f t="shared" si="4"/>
        <v>1</v>
      </c>
      <c r="AC21" s="1560">
        <f t="shared" si="5"/>
        <v>1</v>
      </c>
    </row>
    <row r="22" spans="1:29" ht="15">
      <c r="A22" s="1504"/>
      <c r="B22" s="1797"/>
      <c r="C22" s="1791"/>
      <c r="D22" s="1567"/>
      <c r="E22" s="1564"/>
      <c r="F22" s="1563"/>
      <c r="G22" s="1564"/>
      <c r="H22" s="1563"/>
      <c r="I22" s="1566"/>
      <c r="J22" s="1563"/>
      <c r="K22" s="1785"/>
      <c r="L22" s="2697"/>
      <c r="O22" s="2733"/>
      <c r="P22" s="3328"/>
      <c r="Q22" s="1454"/>
      <c r="R22" s="1558"/>
      <c r="S22" s="1559"/>
      <c r="T22" s="1558"/>
      <c r="U22" s="1559"/>
      <c r="V22" s="1558"/>
      <c r="W22" s="1559"/>
      <c r="X22" s="1502"/>
      <c r="Y22" s="3328"/>
      <c r="Z22" s="1560"/>
      <c r="AA22" s="1560">
        <v>1</v>
      </c>
      <c r="AB22" s="1560">
        <v>1</v>
      </c>
      <c r="AC22" s="1560">
        <v>1</v>
      </c>
    </row>
    <row r="23" spans="1:29" ht="28.8">
      <c r="A23" s="1504"/>
      <c r="B23" s="1310" t="s">
        <v>2208</v>
      </c>
      <c r="C23" s="1798">
        <f>估价对象房地状况!C19</f>
        <v>0</v>
      </c>
      <c r="D23" s="1574">
        <v>100</v>
      </c>
      <c r="E23" s="1571"/>
      <c r="F23" s="1574">
        <f>SUMIF(95:95,E24,96:96)-SUMIF(95:95,C24,96:96)+100</f>
        <v>100</v>
      </c>
      <c r="G23" s="1573"/>
      <c r="H23" s="1574">
        <f>SUMIF(95:95,G24,96:96)-SUMIF(95:95,C24,96:96)+100</f>
        <v>100</v>
      </c>
      <c r="I23" s="1573"/>
      <c r="J23" s="1574">
        <f>SUMIF(95:95,I24,96:96)-SUMIF(95:95,C24,96:96)+100</f>
        <v>100</v>
      </c>
      <c r="K23" s="1786"/>
      <c r="L23" s="2697"/>
      <c r="O23" s="2733"/>
      <c r="P23" s="3328"/>
      <c r="Q23" s="1454" t="str">
        <f t="shared" ref="Q23:Q37" si="8">B23</f>
        <v>区域土地利用方向</v>
      </c>
      <c r="R23" s="1558" t="s">
        <v>25</v>
      </c>
      <c r="S23" s="1559">
        <f>F23</f>
        <v>100</v>
      </c>
      <c r="T23" s="1558" t="s">
        <v>25</v>
      </c>
      <c r="U23" s="1559">
        <f>H23</f>
        <v>100</v>
      </c>
      <c r="V23" s="1558" t="s">
        <v>25</v>
      </c>
      <c r="W23" s="1559">
        <f>J23</f>
        <v>100</v>
      </c>
      <c r="X23" s="1502"/>
      <c r="Y23" s="3328"/>
      <c r="Z23" s="1560" t="str">
        <f>Q23</f>
        <v>区域土地利用方向</v>
      </c>
      <c r="AA23" s="1560">
        <f t="shared" si="3"/>
        <v>1</v>
      </c>
      <c r="AB23" s="1560">
        <f t="shared" si="4"/>
        <v>1</v>
      </c>
      <c r="AC23" s="1560">
        <f t="shared" si="5"/>
        <v>1</v>
      </c>
    </row>
    <row r="24" spans="1:29" ht="15">
      <c r="A24" s="1504"/>
      <c r="B24" s="1311"/>
      <c r="C24" s="1799"/>
      <c r="D24" s="1563"/>
      <c r="E24" s="1564"/>
      <c r="F24" s="1563"/>
      <c r="G24" s="1566"/>
      <c r="H24" s="1563"/>
      <c r="I24" s="1566"/>
      <c r="J24" s="1563"/>
      <c r="K24" s="1800"/>
      <c r="L24" s="2697"/>
      <c r="O24" s="2733"/>
      <c r="P24" s="3328"/>
      <c r="Q24" s="1454"/>
      <c r="R24" s="1558"/>
      <c r="S24" s="1559"/>
      <c r="T24" s="1558"/>
      <c r="U24" s="1559"/>
      <c r="V24" s="1558"/>
      <c r="W24" s="1559"/>
      <c r="X24" s="1502"/>
      <c r="Y24" s="3328"/>
      <c r="Z24" s="1560"/>
      <c r="AA24" s="1560"/>
      <c r="AB24" s="1560"/>
      <c r="AC24" s="1560"/>
    </row>
    <row r="25" spans="1:29" ht="55.2">
      <c r="A25" s="1504"/>
      <c r="B25" s="1797" t="s">
        <v>2209</v>
      </c>
      <c r="C25" s="1793" t="str">
        <f>估价对象房地状况!C20</f>
        <v>区域自然环境：；人文环境；综合评价环境状况一般</v>
      </c>
      <c r="D25" s="1567">
        <v>100</v>
      </c>
      <c r="E25" s="1571"/>
      <c r="F25" s="1567">
        <f>SUMIF(97:97,E26,98:98)-SUMIF(97:97,C26,98:98)+100</f>
        <v>100</v>
      </c>
      <c r="G25" s="1571"/>
      <c r="H25" s="1567">
        <f>SUMIF(97:97,G26,98:98)-SUMIF(97:97,C26,98:98)+100</f>
        <v>100</v>
      </c>
      <c r="I25" s="1573"/>
      <c r="J25" s="1567">
        <f>SUMIF(97:97,I26,98:98)-SUMIF(97:97,C26,98:98)+100</f>
        <v>100</v>
      </c>
      <c r="K25" s="1786"/>
      <c r="L25" s="2697"/>
      <c r="O25" s="2733"/>
      <c r="P25" s="3328"/>
      <c r="Q25" s="1454" t="str">
        <f t="shared" si="8"/>
        <v>自然及人文环境状况</v>
      </c>
      <c r="R25" s="1558" t="s">
        <v>25</v>
      </c>
      <c r="S25" s="1559">
        <f>F25</f>
        <v>100</v>
      </c>
      <c r="T25" s="1558" t="s">
        <v>25</v>
      </c>
      <c r="U25" s="1559">
        <f>H25</f>
        <v>100</v>
      </c>
      <c r="V25" s="1558" t="s">
        <v>25</v>
      </c>
      <c r="W25" s="1559">
        <f>J25</f>
        <v>100</v>
      </c>
      <c r="X25" s="1502"/>
      <c r="Y25" s="3328"/>
      <c r="Z25" s="1560" t="str">
        <f>Q25</f>
        <v>自然及人文环境状况</v>
      </c>
      <c r="AA25" s="1560">
        <f t="shared" si="3"/>
        <v>1</v>
      </c>
      <c r="AB25" s="1560">
        <f t="shared" si="4"/>
        <v>1</v>
      </c>
      <c r="AC25" s="1560">
        <f t="shared" si="5"/>
        <v>1</v>
      </c>
    </row>
    <row r="26" spans="1:29" ht="15">
      <c r="A26" s="1504"/>
      <c r="B26" s="1794"/>
      <c r="C26" s="1791"/>
      <c r="D26" s="1563"/>
      <c r="E26" s="1791"/>
      <c r="F26" s="1563"/>
      <c r="G26" s="1791"/>
      <c r="H26" s="1563"/>
      <c r="I26" s="1562"/>
      <c r="J26" s="1563"/>
      <c r="K26" s="1785"/>
      <c r="L26" s="2697"/>
      <c r="O26" s="2733"/>
      <c r="P26" s="3328"/>
      <c r="Q26" s="1454"/>
      <c r="R26" s="1558"/>
      <c r="S26" s="1559"/>
      <c r="T26" s="1558"/>
      <c r="U26" s="1559"/>
      <c r="V26" s="1558"/>
      <c r="W26" s="1559"/>
      <c r="X26" s="1502"/>
      <c r="Y26" s="3328"/>
      <c r="Z26" s="1560"/>
      <c r="AA26" s="1560">
        <v>1</v>
      </c>
      <c r="AB26" s="1560">
        <v>1</v>
      </c>
      <c r="AC26" s="1560">
        <v>1</v>
      </c>
    </row>
    <row r="27" spans="1:29" ht="41.4">
      <c r="A27" s="1504"/>
      <c r="B27" s="1797" t="s">
        <v>2117</v>
      </c>
      <c r="C27" s="1796" t="str">
        <f>估价对象房地状况!C21</f>
        <v>估价对象所在区域公共配套设施齐备情况</v>
      </c>
      <c r="D27" s="1567">
        <v>100</v>
      </c>
      <c r="E27" s="1571"/>
      <c r="F27" s="1567">
        <f>SUMIF(99:99,E28,100:100)-SUMIF(99:99,C28,100:100)+100</f>
        <v>100</v>
      </c>
      <c r="G27" s="1571"/>
      <c r="H27" s="1567">
        <f>SUMIF(99:99,G28,100:100)-SUMIF(99:99,C28,100:100)+100</f>
        <v>100</v>
      </c>
      <c r="I27" s="1573"/>
      <c r="J27" s="1567">
        <f>SUMIF(99:99,I28,100:100)-SUMIF(99:99,C28,100:100)+100</f>
        <v>100</v>
      </c>
      <c r="K27" s="1801"/>
      <c r="L27" s="2697"/>
      <c r="O27" s="2733"/>
      <c r="P27" s="3328"/>
      <c r="Q27" s="1472" t="str">
        <f t="shared" ref="Q27" si="9">B27</f>
        <v>公共配套设施</v>
      </c>
      <c r="R27" s="1516" t="s">
        <v>25</v>
      </c>
      <c r="S27" s="1517">
        <f>F27</f>
        <v>100</v>
      </c>
      <c r="T27" s="1516" t="s">
        <v>25</v>
      </c>
      <c r="U27" s="1517">
        <f>H27</f>
        <v>100</v>
      </c>
      <c r="V27" s="1516" t="s">
        <v>25</v>
      </c>
      <c r="W27" s="1517">
        <f>J27</f>
        <v>100</v>
      </c>
      <c r="X27" s="1502"/>
      <c r="Y27" s="3328"/>
      <c r="Z27" s="1519" t="str">
        <f>Q27</f>
        <v>公共配套设施</v>
      </c>
      <c r="AA27" s="1560">
        <f>D27/F27</f>
        <v>1</v>
      </c>
      <c r="AB27" s="1560">
        <f>D27/H27</f>
        <v>1</v>
      </c>
      <c r="AC27" s="1560">
        <f>D27/J27</f>
        <v>1</v>
      </c>
    </row>
    <row r="28" spans="1:29" ht="15">
      <c r="A28" s="1504"/>
      <c r="B28" s="1794"/>
      <c r="C28" s="1802"/>
      <c r="D28" s="1563"/>
      <c r="E28" s="1802"/>
      <c r="F28" s="1563"/>
      <c r="G28" s="1802"/>
      <c r="H28" s="1563"/>
      <c r="I28" s="1802"/>
      <c r="J28" s="1563"/>
      <c r="K28" s="1785"/>
      <c r="L28" s="2697"/>
      <c r="O28" s="2733"/>
      <c r="P28" s="3328"/>
      <c r="Q28" s="1454"/>
      <c r="R28" s="1558"/>
      <c r="S28" s="1559"/>
      <c r="T28" s="1558"/>
      <c r="U28" s="1559"/>
      <c r="V28" s="1558"/>
      <c r="W28" s="1559"/>
      <c r="X28" s="1502"/>
      <c r="Y28" s="3328"/>
      <c r="Z28" s="1519"/>
      <c r="AA28" s="1560">
        <v>1</v>
      </c>
      <c r="AB28" s="1560">
        <v>1</v>
      </c>
      <c r="AC28" s="1560">
        <v>1</v>
      </c>
    </row>
    <row r="29" spans="1:29" s="1520" customFormat="1" ht="41.4">
      <c r="A29" s="1655"/>
      <c r="B29" s="1797" t="s">
        <v>2118</v>
      </c>
      <c r="C29" s="1803" t="str">
        <f>估价对象房地状况!C22</f>
        <v>估价对象所在区域基础设施水平</v>
      </c>
      <c r="D29" s="1567">
        <v>100</v>
      </c>
      <c r="E29" s="1571"/>
      <c r="F29" s="1567">
        <f>SUMIF(101:101,E30,102:102)-SUMIF(101:101,C30,102:102)+100</f>
        <v>100</v>
      </c>
      <c r="G29" s="1571"/>
      <c r="H29" s="1567">
        <f>SUMIF(101:101,G30,102:102)-SUMIF(101:101,C30,102:102)+100</f>
        <v>100</v>
      </c>
      <c r="I29" s="1573"/>
      <c r="J29" s="1567">
        <f>SUMIF(101:101,I30,102:102)-SUMIF(101:101,C30,102:102)+100</f>
        <v>100</v>
      </c>
      <c r="K29" s="1801"/>
      <c r="L29" s="2694"/>
      <c r="O29" s="2731"/>
      <c r="P29" s="3328"/>
      <c r="Q29" s="1472" t="str">
        <f t="shared" si="8"/>
        <v>基础设施水平</v>
      </c>
      <c r="R29" s="1516" t="s">
        <v>25</v>
      </c>
      <c r="S29" s="1517">
        <f>F29</f>
        <v>100</v>
      </c>
      <c r="T29" s="1516" t="s">
        <v>25</v>
      </c>
      <c r="U29" s="1517">
        <f>H29</f>
        <v>100</v>
      </c>
      <c r="V29" s="1516" t="s">
        <v>25</v>
      </c>
      <c r="W29" s="1517">
        <f>J29</f>
        <v>100</v>
      </c>
      <c r="X29" s="1518"/>
      <c r="Y29" s="3328"/>
      <c r="Z29" s="1519" t="str">
        <f>Q29</f>
        <v>基础设施水平</v>
      </c>
      <c r="AA29" s="1560">
        <f>D29/F29</f>
        <v>1</v>
      </c>
      <c r="AB29" s="1560">
        <f>D29/H29</f>
        <v>1</v>
      </c>
      <c r="AC29" s="1560">
        <f>D29/J29</f>
        <v>1</v>
      </c>
    </row>
    <row r="30" spans="1:29" s="1520" customFormat="1" ht="15">
      <c r="A30" s="1655"/>
      <c r="B30" s="1794"/>
      <c r="C30" s="1802"/>
      <c r="D30" s="1563"/>
      <c r="E30" s="1802"/>
      <c r="F30" s="1563"/>
      <c r="G30" s="1802"/>
      <c r="H30" s="1563"/>
      <c r="I30" s="1802"/>
      <c r="J30" s="1563"/>
      <c r="K30" s="1785"/>
      <c r="L30" s="2694"/>
      <c r="O30" s="2731"/>
      <c r="P30" s="3328"/>
      <c r="Q30" s="1472"/>
      <c r="R30" s="1516"/>
      <c r="S30" s="1517"/>
      <c r="T30" s="1516"/>
      <c r="U30" s="1517"/>
      <c r="V30" s="1516"/>
      <c r="W30" s="1517"/>
      <c r="X30" s="1518"/>
      <c r="Y30" s="3328"/>
      <c r="Z30" s="1519"/>
      <c r="AA30" s="1560">
        <v>1</v>
      </c>
      <c r="AB30" s="1560">
        <v>1</v>
      </c>
      <c r="AC30" s="1560">
        <v>1</v>
      </c>
    </row>
    <row r="31" spans="1:29" ht="15">
      <c r="A31" s="1504"/>
      <c r="B31" s="1794" t="s">
        <v>2119</v>
      </c>
      <c r="C31" s="1799"/>
      <c r="D31" s="1544">
        <v>100</v>
      </c>
      <c r="E31" s="1799"/>
      <c r="F31" s="1544">
        <f>SUMIF(103:103,E31,104:104)-SUMIF(103:103,C31,104:104)+100</f>
        <v>100</v>
      </c>
      <c r="G31" s="1799"/>
      <c r="H31" s="1544">
        <f>SUMIF(103:103,G31,104:104)-SUMIF(103:103,C31,104:104)+100</f>
        <v>100</v>
      </c>
      <c r="I31" s="1799"/>
      <c r="J31" s="1544">
        <f>SUMIF(103:103,I31,104:104)-SUMIF(103:103,C31,104:104)+100</f>
        <v>100</v>
      </c>
      <c r="K31" s="1786"/>
      <c r="L31" s="2697"/>
      <c r="O31" s="2733"/>
      <c r="P31" s="3328"/>
      <c r="Q31" s="1454" t="str">
        <f t="shared" si="8"/>
        <v>临街状况</v>
      </c>
      <c r="R31" s="1558" t="s">
        <v>25</v>
      </c>
      <c r="S31" s="1559">
        <f t="shared" ref="S31:S45" si="10">F31</f>
        <v>100</v>
      </c>
      <c r="T31" s="1558" t="s">
        <v>25</v>
      </c>
      <c r="U31" s="1559">
        <f t="shared" ref="U31:U45" si="11">H31</f>
        <v>100</v>
      </c>
      <c r="V31" s="1558" t="s">
        <v>25</v>
      </c>
      <c r="W31" s="1559">
        <f t="shared" ref="W31:W45" si="12">J31</f>
        <v>100</v>
      </c>
      <c r="X31" s="1502"/>
      <c r="Y31" s="3328"/>
      <c r="Z31" s="1560" t="str">
        <f t="shared" ref="Z31:Z45" si="13">Q31</f>
        <v>临街状况</v>
      </c>
      <c r="AA31" s="1560">
        <f t="shared" si="3"/>
        <v>1</v>
      </c>
      <c r="AB31" s="1560">
        <f t="shared" si="4"/>
        <v>1</v>
      </c>
      <c r="AC31" s="1560">
        <f t="shared" si="5"/>
        <v>1</v>
      </c>
    </row>
    <row r="32" spans="1:29" ht="28.8">
      <c r="A32" s="1504"/>
      <c r="B32" s="1797" t="s">
        <v>2149</v>
      </c>
      <c r="C32" s="1571"/>
      <c r="D32" s="1567">
        <v>100</v>
      </c>
      <c r="E32" s="1571"/>
      <c r="F32" s="1567">
        <f>SUMIF(105:105,E33,106:106)-SUMIF(105:105,C33,106:106)+100</f>
        <v>100</v>
      </c>
      <c r="G32" s="1571"/>
      <c r="H32" s="1567">
        <f>SUMIF(105:105,G33,106:106)-SUMIF(105:105,C33,106:106)+100</f>
        <v>100</v>
      </c>
      <c r="I32" s="1573"/>
      <c r="J32" s="1567">
        <f>SUMIF(105:105,I33,106:106)-SUMIF(105:105,C33,106:106)+100</f>
        <v>100</v>
      </c>
      <c r="K32" s="1786"/>
      <c r="L32" s="2697"/>
      <c r="O32" s="2733"/>
      <c r="P32" s="3328"/>
      <c r="Q32" s="1454" t="str">
        <f t="shared" si="8"/>
        <v>毗邻道路的类型与等级</v>
      </c>
      <c r="R32" s="1558" t="s">
        <v>25</v>
      </c>
      <c r="S32" s="1559">
        <f t="shared" si="10"/>
        <v>100</v>
      </c>
      <c r="T32" s="1558" t="s">
        <v>25</v>
      </c>
      <c r="U32" s="1559">
        <f t="shared" si="11"/>
        <v>100</v>
      </c>
      <c r="V32" s="1558" t="s">
        <v>25</v>
      </c>
      <c r="W32" s="1559">
        <f t="shared" si="12"/>
        <v>100</v>
      </c>
      <c r="X32" s="1502"/>
      <c r="Y32" s="3328"/>
      <c r="Z32" s="1560" t="str">
        <f t="shared" si="13"/>
        <v>毗邻道路的类型与等级</v>
      </c>
      <c r="AA32" s="1560">
        <f t="shared" si="3"/>
        <v>1</v>
      </c>
      <c r="AB32" s="1560">
        <f t="shared" si="4"/>
        <v>1</v>
      </c>
      <c r="AC32" s="1560">
        <f t="shared" si="5"/>
        <v>1</v>
      </c>
    </row>
    <row r="33" spans="1:29" ht="15">
      <c r="A33" s="1504"/>
      <c r="B33" s="1794"/>
      <c r="C33" s="1791"/>
      <c r="D33" s="1563"/>
      <c r="E33" s="1791"/>
      <c r="F33" s="1563"/>
      <c r="G33" s="1791"/>
      <c r="H33" s="1563"/>
      <c r="I33" s="1562"/>
      <c r="J33" s="1563"/>
      <c r="K33" s="1804"/>
      <c r="L33" s="2697"/>
      <c r="O33" s="2733"/>
      <c r="P33" s="3328"/>
      <c r="Q33" s="1454"/>
      <c r="R33" s="1558"/>
      <c r="S33" s="1559"/>
      <c r="T33" s="1558"/>
      <c r="U33" s="1559"/>
      <c r="V33" s="1558"/>
      <c r="W33" s="1559"/>
      <c r="X33" s="1502"/>
      <c r="Y33" s="3328"/>
      <c r="Z33" s="1560"/>
      <c r="AA33" s="1560">
        <v>1</v>
      </c>
      <c r="AB33" s="1560">
        <v>1</v>
      </c>
      <c r="AC33" s="1560">
        <v>1</v>
      </c>
    </row>
    <row r="34" spans="1:29" ht="15">
      <c r="A34" s="1504"/>
      <c r="B34" s="1805" t="s">
        <v>2210</v>
      </c>
      <c r="C34" s="1799"/>
      <c r="D34" s="1544">
        <v>100</v>
      </c>
      <c r="E34" s="1799"/>
      <c r="F34" s="1544">
        <f>SUMIF(107:107,E34,108:108)-SUMIF(107:107,C34,108:108)+100</f>
        <v>100</v>
      </c>
      <c r="G34" s="1799"/>
      <c r="H34" s="1544">
        <f>SUMIF(107:107,G34,108:108)-SUMIF(107:107,C34,108:108)+100</f>
        <v>100</v>
      </c>
      <c r="I34" s="1806"/>
      <c r="J34" s="1544">
        <f>SUMIF(107:107,I34,108:108)-SUMIF(107:107,C34,108:108)+100</f>
        <v>100</v>
      </c>
      <c r="K34" s="1807"/>
      <c r="L34" s="2697"/>
      <c r="O34" s="2733"/>
      <c r="P34" s="3328"/>
      <c r="Q34" s="1454" t="str">
        <f t="shared" si="8"/>
        <v>土地级别</v>
      </c>
      <c r="R34" s="1558" t="s">
        <v>25</v>
      </c>
      <c r="S34" s="1559">
        <f t="shared" si="10"/>
        <v>100</v>
      </c>
      <c r="T34" s="1558" t="s">
        <v>25</v>
      </c>
      <c r="U34" s="1559">
        <f t="shared" si="11"/>
        <v>100</v>
      </c>
      <c r="V34" s="1558" t="s">
        <v>25</v>
      </c>
      <c r="W34" s="1559">
        <f t="shared" si="12"/>
        <v>100</v>
      </c>
      <c r="X34" s="1502"/>
      <c r="Y34" s="3328"/>
      <c r="Z34" s="1560" t="str">
        <f t="shared" si="13"/>
        <v>土地级别</v>
      </c>
      <c r="AA34" s="1560">
        <f t="shared" si="3"/>
        <v>1</v>
      </c>
      <c r="AB34" s="1560">
        <f t="shared" si="4"/>
        <v>1</v>
      </c>
      <c r="AC34" s="1560">
        <f t="shared" si="5"/>
        <v>1</v>
      </c>
    </row>
    <row r="35" spans="1:29" ht="15">
      <c r="A35" s="1504"/>
      <c r="B35" s="1808">
        <v>111</v>
      </c>
      <c r="C35" s="1608"/>
      <c r="D35" s="1544">
        <v>100</v>
      </c>
      <c r="E35" s="1608"/>
      <c r="F35" s="1544">
        <f>SUMIF(109:109,E35,110:110)-SUMIF(109:109,C35,110:110)+100</f>
        <v>100</v>
      </c>
      <c r="G35" s="1608"/>
      <c r="H35" s="1544">
        <f>SUMIF(109:109,G35,110:110)-SUMIF(109:109,C35,110:110)+100</f>
        <v>100</v>
      </c>
      <c r="I35" s="1787"/>
      <c r="J35" s="1544">
        <f>SUMIF(109:109,I35,110:110)-SUMIF(109:109,C35,110:110)+100</f>
        <v>100</v>
      </c>
      <c r="K35" s="1804"/>
      <c r="L35" s="2697"/>
      <c r="O35" s="2733"/>
      <c r="P35" s="3328"/>
      <c r="Q35" s="1454">
        <f t="shared" si="8"/>
        <v>111</v>
      </c>
      <c r="R35" s="1558" t="s">
        <v>25</v>
      </c>
      <c r="S35" s="1559">
        <f t="shared" si="10"/>
        <v>100</v>
      </c>
      <c r="T35" s="1558" t="s">
        <v>25</v>
      </c>
      <c r="U35" s="1559">
        <f t="shared" si="11"/>
        <v>100</v>
      </c>
      <c r="V35" s="1558" t="s">
        <v>25</v>
      </c>
      <c r="W35" s="1559">
        <f t="shared" si="12"/>
        <v>100</v>
      </c>
      <c r="X35" s="1502"/>
      <c r="Y35" s="3328"/>
      <c r="Z35" s="1560">
        <f t="shared" si="13"/>
        <v>111</v>
      </c>
      <c r="AA35" s="1560">
        <f t="shared" si="3"/>
        <v>1</v>
      </c>
      <c r="AB35" s="1560">
        <f t="shared" si="4"/>
        <v>1</v>
      </c>
      <c r="AC35" s="1560">
        <f t="shared" si="5"/>
        <v>1</v>
      </c>
    </row>
    <row r="36" spans="1:29" ht="15">
      <c r="A36" s="1809"/>
      <c r="B36" s="1810">
        <v>111</v>
      </c>
      <c r="C36" s="1608"/>
      <c r="D36" s="1544">
        <v>100</v>
      </c>
      <c r="E36" s="1608"/>
      <c r="F36" s="1544">
        <f>SUMIF(111:111,E37,112:112)-SUMIF(111:111,C37,112:112)+100</f>
        <v>100</v>
      </c>
      <c r="G36" s="1608"/>
      <c r="H36" s="1544">
        <f>SUMIF(111:111,G36,112:112)-SUMIF(111:111,C36,112:112)+100</f>
        <v>100</v>
      </c>
      <c r="I36" s="1787"/>
      <c r="J36" s="1544">
        <f>SUMIF(111:111,I36,112:112)-SUMIF(111:111,C36,112:112)+100</f>
        <v>100</v>
      </c>
      <c r="K36" s="1804"/>
      <c r="L36" s="2697"/>
      <c r="O36" s="2733"/>
      <c r="P36" s="3365" t="s">
        <v>2037</v>
      </c>
      <c r="Q36" s="1454">
        <f t="shared" si="8"/>
        <v>111</v>
      </c>
      <c r="R36" s="1558" t="s">
        <v>25</v>
      </c>
      <c r="S36" s="1559">
        <f t="shared" si="10"/>
        <v>100</v>
      </c>
      <c r="T36" s="1558" t="s">
        <v>25</v>
      </c>
      <c r="U36" s="1559">
        <f t="shared" si="11"/>
        <v>100</v>
      </c>
      <c r="V36" s="1558" t="s">
        <v>25</v>
      </c>
      <c r="W36" s="1559">
        <f t="shared" si="12"/>
        <v>100</v>
      </c>
      <c r="X36" s="1502"/>
      <c r="Y36" s="3332" t="s">
        <v>2037</v>
      </c>
      <c r="Z36" s="1560">
        <f t="shared" si="13"/>
        <v>111</v>
      </c>
      <c r="AA36" s="1560">
        <f t="shared" si="3"/>
        <v>1</v>
      </c>
      <c r="AB36" s="1560">
        <f t="shared" si="4"/>
        <v>1</v>
      </c>
      <c r="AC36" s="1560">
        <f t="shared" si="5"/>
        <v>1</v>
      </c>
    </row>
    <row r="37" spans="1:29" s="1601" customFormat="1" ht="15.6" thickBot="1">
      <c r="A37" s="1811"/>
      <c r="B37" s="1812">
        <v>111</v>
      </c>
      <c r="C37" s="1813"/>
      <c r="D37" s="1814">
        <v>100</v>
      </c>
      <c r="E37" s="1813"/>
      <c r="F37" s="1548">
        <f>SUMIF(113:113,E37,114:114)-SUMIF(113:113,C37,114:114)+100</f>
        <v>100</v>
      </c>
      <c r="G37" s="1813"/>
      <c r="H37" s="1548">
        <f>SUMIF(113:113,G37,114:114)-SUMIF(113:113,C37,114:114)+100</f>
        <v>100</v>
      </c>
      <c r="I37" s="1815"/>
      <c r="J37" s="1548">
        <f>SUMIF(113:113,I37,114:114)-SUMIF(113:113,C37,114:114)+100</f>
        <v>100</v>
      </c>
      <c r="K37" s="1804"/>
      <c r="L37" s="2696"/>
      <c r="O37" s="2734"/>
      <c r="P37" s="3332"/>
      <c r="Q37" s="1454">
        <f t="shared" si="8"/>
        <v>111</v>
      </c>
      <c r="R37" s="1597" t="s">
        <v>25</v>
      </c>
      <c r="S37" s="1598">
        <f t="shared" si="10"/>
        <v>100</v>
      </c>
      <c r="T37" s="1597" t="s">
        <v>25</v>
      </c>
      <c r="U37" s="1598">
        <f t="shared" si="11"/>
        <v>100</v>
      </c>
      <c r="V37" s="1597" t="s">
        <v>25</v>
      </c>
      <c r="W37" s="1598">
        <f t="shared" si="12"/>
        <v>100</v>
      </c>
      <c r="X37" s="1599"/>
      <c r="Y37" s="3332"/>
      <c r="Z37" s="1600">
        <f t="shared" si="13"/>
        <v>111</v>
      </c>
      <c r="AA37" s="1560">
        <f t="shared" si="3"/>
        <v>1</v>
      </c>
      <c r="AB37" s="1560">
        <f t="shared" si="4"/>
        <v>1</v>
      </c>
      <c r="AC37" s="1560">
        <f t="shared" si="5"/>
        <v>1</v>
      </c>
    </row>
    <row r="38" spans="1:29" ht="15">
      <c r="A38" s="1499" t="s">
        <v>2035</v>
      </c>
      <c r="B38" s="1575" t="s">
        <v>2211</v>
      </c>
      <c r="C38" s="1816"/>
      <c r="D38" s="1593">
        <v>100</v>
      </c>
      <c r="E38" s="1816"/>
      <c r="F38" s="1593" t="e">
        <f>LOOKUP(E38,116:116,117:117)-LOOKUP(C38,116:116,117:117)+100</f>
        <v>#N/A</v>
      </c>
      <c r="G38" s="1816"/>
      <c r="H38" s="1593" t="e">
        <f>LOOKUP(G38,116:116,117:117)-LOOKUP(C38,116:116,117:117)+100</f>
        <v>#N/A</v>
      </c>
      <c r="I38" s="1674"/>
      <c r="J38" s="1593" t="e">
        <f>LOOKUP(I38,116:116,117:117)-LOOKUP(C38,116:116,117:117)+100</f>
        <v>#N/A</v>
      </c>
      <c r="K38" s="1804"/>
      <c r="L38" s="2697"/>
      <c r="O38" s="2733"/>
      <c r="P38" s="3332"/>
      <c r="Q38" s="1454" t="str">
        <f>B38</f>
        <v>宗地面积</v>
      </c>
      <c r="R38" s="1558" t="s">
        <v>25</v>
      </c>
      <c r="S38" s="1559" t="e">
        <f t="shared" si="10"/>
        <v>#N/A</v>
      </c>
      <c r="T38" s="1558" t="s">
        <v>25</v>
      </c>
      <c r="U38" s="1559" t="e">
        <f t="shared" si="11"/>
        <v>#N/A</v>
      </c>
      <c r="V38" s="1558" t="s">
        <v>25</v>
      </c>
      <c r="W38" s="1559" t="e">
        <f t="shared" si="12"/>
        <v>#N/A</v>
      </c>
      <c r="X38" s="1502"/>
      <c r="Y38" s="3332"/>
      <c r="Z38" s="1560" t="str">
        <f t="shared" si="13"/>
        <v>宗地面积</v>
      </c>
      <c r="AA38" s="1560" t="e">
        <f t="shared" si="3"/>
        <v>#N/A</v>
      </c>
      <c r="AB38" s="1560" t="e">
        <f t="shared" si="4"/>
        <v>#N/A</v>
      </c>
      <c r="AC38" s="1560" t="e">
        <f t="shared" si="5"/>
        <v>#N/A</v>
      </c>
    </row>
    <row r="39" spans="1:29" ht="15">
      <c r="A39" s="1602"/>
      <c r="B39" s="1529" t="s">
        <v>2212</v>
      </c>
      <c r="C39" s="1587"/>
      <c r="D39" s="1544">
        <v>100</v>
      </c>
      <c r="E39" s="1587"/>
      <c r="F39" s="1544">
        <f>SUMIF(118:118,E39,119:119)-SUMIF(118:118,C39,119:119)+100</f>
        <v>100</v>
      </c>
      <c r="G39" s="1587"/>
      <c r="H39" s="1544">
        <f>SUMIF(118:118,G39,119:119)-SUMIF(118:118,C39,119:119)+100</f>
        <v>100</v>
      </c>
      <c r="I39" s="1587"/>
      <c r="J39" s="1544">
        <f>SUMIF(118:118,I39,119:119)-SUMIF(118:118,C39,119:119)+100</f>
        <v>100</v>
      </c>
      <c r="K39" s="1807"/>
      <c r="L39" s="2697"/>
      <c r="O39" s="2733"/>
      <c r="P39" s="3332"/>
      <c r="Q39" s="1454" t="str">
        <f t="shared" ref="Q39:Q45" si="14">B39</f>
        <v>宗地形状</v>
      </c>
      <c r="R39" s="1558" t="s">
        <v>25</v>
      </c>
      <c r="S39" s="1559">
        <f t="shared" si="10"/>
        <v>100</v>
      </c>
      <c r="T39" s="1558" t="s">
        <v>25</v>
      </c>
      <c r="U39" s="1559">
        <f t="shared" si="11"/>
        <v>100</v>
      </c>
      <c r="V39" s="1558" t="s">
        <v>25</v>
      </c>
      <c r="W39" s="1559">
        <f t="shared" si="12"/>
        <v>100</v>
      </c>
      <c r="X39" s="1502"/>
      <c r="Y39" s="3332"/>
      <c r="Z39" s="1560" t="str">
        <f t="shared" si="13"/>
        <v>宗地形状</v>
      </c>
      <c r="AA39" s="1560">
        <f t="shared" si="3"/>
        <v>1</v>
      </c>
      <c r="AB39" s="1560">
        <f t="shared" si="4"/>
        <v>1</v>
      </c>
      <c r="AC39" s="1560">
        <f t="shared" si="5"/>
        <v>1</v>
      </c>
    </row>
    <row r="40" spans="1:29" ht="15">
      <c r="A40" s="1602"/>
      <c r="B40" s="1529" t="s">
        <v>2213</v>
      </c>
      <c r="C40" s="1587"/>
      <c r="D40" s="1544">
        <v>100</v>
      </c>
      <c r="E40" s="1587"/>
      <c r="F40" s="1544">
        <f>SUMIF(120:120,E40,121:121)-SUMIF(120:120,C40,121:121)+100</f>
        <v>100</v>
      </c>
      <c r="G40" s="1587"/>
      <c r="H40" s="1544">
        <f>SUMIF(120:120,G40,121:121)-SUMIF(120:120,C40,121:121)+100</f>
        <v>100</v>
      </c>
      <c r="I40" s="1587"/>
      <c r="J40" s="1544">
        <f>SUMIF(120:120,I40,121:121)-SUMIF(120:120,C40,121:121)+100</f>
        <v>100</v>
      </c>
      <c r="K40" s="1807"/>
      <c r="L40" s="2697"/>
      <c r="O40" s="2733"/>
      <c r="P40" s="3332"/>
      <c r="Q40" s="1454" t="str">
        <f t="shared" si="14"/>
        <v>临街宽度及深度</v>
      </c>
      <c r="R40" s="1558" t="s">
        <v>25</v>
      </c>
      <c r="S40" s="1559">
        <f t="shared" si="10"/>
        <v>100</v>
      </c>
      <c r="T40" s="1558" t="s">
        <v>25</v>
      </c>
      <c r="U40" s="1559">
        <f t="shared" si="11"/>
        <v>100</v>
      </c>
      <c r="V40" s="1558" t="s">
        <v>25</v>
      </c>
      <c r="W40" s="1559">
        <f t="shared" si="12"/>
        <v>100</v>
      </c>
      <c r="X40" s="1502"/>
      <c r="Y40" s="3332"/>
      <c r="Z40" s="1560" t="str">
        <f t="shared" si="13"/>
        <v>临街宽度及深度</v>
      </c>
      <c r="AA40" s="1560">
        <f t="shared" si="3"/>
        <v>1</v>
      </c>
      <c r="AB40" s="1560">
        <f t="shared" si="4"/>
        <v>1</v>
      </c>
      <c r="AC40" s="1560">
        <f t="shared" si="5"/>
        <v>1</v>
      </c>
    </row>
    <row r="41" spans="1:29" s="1520" customFormat="1" ht="15">
      <c r="A41" s="1604"/>
      <c r="B41" s="1529" t="s">
        <v>2214</v>
      </c>
      <c r="C41" s="1817"/>
      <c r="D41" s="1531">
        <v>100</v>
      </c>
      <c r="E41" s="1817"/>
      <c r="F41" s="1544">
        <f>SUMIF(122:122,E41,123:123)-SUMIF(122:122,C41,123:123)+100</f>
        <v>100</v>
      </c>
      <c r="G41" s="1817"/>
      <c r="H41" s="1544">
        <f>SUMIF(122:122,G41,123:123)-SUMIF(122:122,C41,123:123)+100</f>
        <v>100</v>
      </c>
      <c r="I41" s="1817"/>
      <c r="J41" s="1544">
        <f>SUMIF(122:122,I41,123:123)-SUMIF(122:122,C41,123:123)+100</f>
        <v>100</v>
      </c>
      <c r="K41" s="1807"/>
      <c r="L41" s="2694"/>
      <c r="O41" s="2731"/>
      <c r="P41" s="3332"/>
      <c r="Q41" s="1454" t="str">
        <f t="shared" si="14"/>
        <v>宗地开发程度</v>
      </c>
      <c r="R41" s="1516" t="s">
        <v>25</v>
      </c>
      <c r="S41" s="1517">
        <f t="shared" si="10"/>
        <v>100</v>
      </c>
      <c r="T41" s="1516" t="s">
        <v>25</v>
      </c>
      <c r="U41" s="1517">
        <f t="shared" si="11"/>
        <v>100</v>
      </c>
      <c r="V41" s="1516" t="s">
        <v>25</v>
      </c>
      <c r="W41" s="1517">
        <f t="shared" si="12"/>
        <v>100</v>
      </c>
      <c r="X41" s="1518"/>
      <c r="Y41" s="3332"/>
      <c r="Z41" s="1519" t="str">
        <f t="shared" si="13"/>
        <v>宗地开发程度</v>
      </c>
      <c r="AA41" s="1519">
        <f t="shared" si="3"/>
        <v>1</v>
      </c>
      <c r="AB41" s="1519">
        <f t="shared" si="4"/>
        <v>1</v>
      </c>
      <c r="AC41" s="1519">
        <f t="shared" si="5"/>
        <v>1</v>
      </c>
    </row>
    <row r="42" spans="1:29" ht="15">
      <c r="A42" s="1602"/>
      <c r="B42" s="1529" t="s">
        <v>2215</v>
      </c>
      <c r="C42" s="1587"/>
      <c r="D42" s="1544">
        <v>100</v>
      </c>
      <c r="E42" s="1587"/>
      <c r="F42" s="1544">
        <f>SUMIF(124:124,E42,125:125)-SUMIF(124:124,C42,125:125)+100</f>
        <v>100</v>
      </c>
      <c r="G42" s="1587"/>
      <c r="H42" s="1544">
        <f>SUMIF(124:124,G42,125:125)-SUMIF(124:124,C42,125:125)+100</f>
        <v>100</v>
      </c>
      <c r="I42" s="1587"/>
      <c r="J42" s="1544">
        <f>SUMIF(124:124,I42,125:125)-SUMIF(124:124,C42,125:125)+100</f>
        <v>100</v>
      </c>
      <c r="K42" s="1807"/>
      <c r="L42" s="2697"/>
      <c r="O42" s="2733"/>
      <c r="P42" s="3332" t="s">
        <v>2037</v>
      </c>
      <c r="Q42" s="1454" t="str">
        <f t="shared" si="14"/>
        <v>工程地质条件</v>
      </c>
      <c r="R42" s="1558" t="s">
        <v>25</v>
      </c>
      <c r="S42" s="1559">
        <f t="shared" si="10"/>
        <v>100</v>
      </c>
      <c r="T42" s="1558" t="s">
        <v>25</v>
      </c>
      <c r="U42" s="1559">
        <f t="shared" si="11"/>
        <v>100</v>
      </c>
      <c r="V42" s="1558" t="s">
        <v>25</v>
      </c>
      <c r="W42" s="1559">
        <f t="shared" si="12"/>
        <v>100</v>
      </c>
      <c r="X42" s="1502"/>
      <c r="Y42" s="3332" t="s">
        <v>2037</v>
      </c>
      <c r="Z42" s="1560" t="str">
        <f t="shared" si="13"/>
        <v>工程地质条件</v>
      </c>
      <c r="AA42" s="1560">
        <f t="shared" si="3"/>
        <v>1</v>
      </c>
      <c r="AB42" s="1560">
        <f t="shared" si="4"/>
        <v>1</v>
      </c>
      <c r="AC42" s="1560">
        <f t="shared" si="5"/>
        <v>1</v>
      </c>
    </row>
    <row r="43" spans="1:29" ht="15">
      <c r="A43" s="1602"/>
      <c r="B43" s="1818">
        <v>111</v>
      </c>
      <c r="C43" s="1787"/>
      <c r="D43" s="1544">
        <v>100</v>
      </c>
      <c r="E43" s="1787"/>
      <c r="F43" s="1544">
        <f>SUMIF(126:126,E43,127:127)-SUMIF(126:126,C43,127:127)+100</f>
        <v>100</v>
      </c>
      <c r="G43" s="1787"/>
      <c r="H43" s="1544">
        <f>SUMIF(126:126,G43,127:127)-SUMIF(126:126,C43,127:127)+100</f>
        <v>100</v>
      </c>
      <c r="I43" s="1691"/>
      <c r="J43" s="1544">
        <f>SUMIF(126:126,I43,127:127)-SUMIF(126:126,C43,127:127)+100</f>
        <v>100</v>
      </c>
      <c r="K43" s="1804"/>
      <c r="L43" s="2697"/>
      <c r="O43" s="2733"/>
      <c r="P43" s="3332"/>
      <c r="Q43" s="1454">
        <f t="shared" si="14"/>
        <v>111</v>
      </c>
      <c r="R43" s="1558" t="s">
        <v>25</v>
      </c>
      <c r="S43" s="1559">
        <f t="shared" si="10"/>
        <v>100</v>
      </c>
      <c r="T43" s="1558" t="s">
        <v>25</v>
      </c>
      <c r="U43" s="1559">
        <f t="shared" si="11"/>
        <v>100</v>
      </c>
      <c r="V43" s="1558" t="s">
        <v>25</v>
      </c>
      <c r="W43" s="1559">
        <f t="shared" si="12"/>
        <v>100</v>
      </c>
      <c r="X43" s="1502"/>
      <c r="Y43" s="3332"/>
      <c r="Z43" s="1560">
        <f t="shared" si="13"/>
        <v>111</v>
      </c>
      <c r="AA43" s="1560">
        <f t="shared" si="3"/>
        <v>1</v>
      </c>
      <c r="AB43" s="1560">
        <f t="shared" si="4"/>
        <v>1</v>
      </c>
      <c r="AC43" s="1560">
        <f t="shared" si="5"/>
        <v>1</v>
      </c>
    </row>
    <row r="44" spans="1:29" ht="15">
      <c r="A44" s="1602"/>
      <c r="B44" s="1818">
        <v>111</v>
      </c>
      <c r="C44" s="1787"/>
      <c r="D44" s="1544">
        <v>100</v>
      </c>
      <c r="E44" s="1787"/>
      <c r="F44" s="1544">
        <f>SUMIF(128:128,E44,129:129)-SUMIF(128:128,C44,129:129)+100</f>
        <v>100</v>
      </c>
      <c r="G44" s="1787"/>
      <c r="H44" s="1544">
        <f>SUMIF(128:128,G44,129:129)-SUMIF(128:128,C44,129:129)+100</f>
        <v>100</v>
      </c>
      <c r="I44" s="1691"/>
      <c r="J44" s="1544">
        <f>SUMIF(128:128,I44,129:129)-SUMIF(128:128,C44,129:129)+100</f>
        <v>100</v>
      </c>
      <c r="K44" s="1804"/>
      <c r="L44" s="2697"/>
      <c r="O44" s="2733"/>
      <c r="P44" s="3332"/>
      <c r="Q44" s="1454">
        <f t="shared" si="14"/>
        <v>111</v>
      </c>
      <c r="R44" s="1558" t="s">
        <v>25</v>
      </c>
      <c r="S44" s="1559">
        <f t="shared" si="10"/>
        <v>100</v>
      </c>
      <c r="T44" s="1558" t="s">
        <v>25</v>
      </c>
      <c r="U44" s="1559">
        <f t="shared" si="11"/>
        <v>100</v>
      </c>
      <c r="V44" s="1558" t="s">
        <v>25</v>
      </c>
      <c r="W44" s="1559">
        <f t="shared" si="12"/>
        <v>100</v>
      </c>
      <c r="X44" s="1502"/>
      <c r="Y44" s="3332"/>
      <c r="Z44" s="1560">
        <f t="shared" si="13"/>
        <v>111</v>
      </c>
      <c r="AA44" s="1560">
        <f t="shared" si="3"/>
        <v>1</v>
      </c>
      <c r="AB44" s="1560">
        <f t="shared" si="4"/>
        <v>1</v>
      </c>
      <c r="AC44" s="1560">
        <f t="shared" si="5"/>
        <v>1</v>
      </c>
    </row>
    <row r="45" spans="1:29" s="1601" customFormat="1" ht="15.6" thickBot="1">
      <c r="A45" s="1595"/>
      <c r="B45" s="1818">
        <v>111</v>
      </c>
      <c r="C45" s="1819"/>
      <c r="D45" s="2813">
        <v>100</v>
      </c>
      <c r="E45" s="1787"/>
      <c r="F45" s="1548">
        <f>SUMIF(130:130,E45,131:131)-SUMIF(130:130,C45,131:131)+100</f>
        <v>100</v>
      </c>
      <c r="G45" s="1787"/>
      <c r="H45" s="1548">
        <f>SUMIF(130:130,G45,131:131)-SUMIF(130:130,C45,131:131)+100</f>
        <v>100</v>
      </c>
      <c r="I45" s="1787"/>
      <c r="J45" s="1548">
        <f>SUMIF(130:130,I45,131:131)-SUMIF(130:130,C45,131:131)+100</f>
        <v>100</v>
      </c>
      <c r="K45" s="1820"/>
      <c r="L45" s="2696"/>
      <c r="O45" s="2734"/>
      <c r="P45" s="3332"/>
      <c r="Q45" s="1454">
        <f t="shared" si="14"/>
        <v>111</v>
      </c>
      <c r="R45" s="1597" t="s">
        <v>25</v>
      </c>
      <c r="S45" s="1598">
        <f t="shared" si="10"/>
        <v>100</v>
      </c>
      <c r="T45" s="1597" t="s">
        <v>25</v>
      </c>
      <c r="U45" s="1598">
        <f t="shared" si="11"/>
        <v>100</v>
      </c>
      <c r="V45" s="1597" t="s">
        <v>25</v>
      </c>
      <c r="W45" s="1598">
        <f t="shared" si="12"/>
        <v>100</v>
      </c>
      <c r="X45" s="1599"/>
      <c r="Y45" s="3332"/>
      <c r="Z45" s="1600">
        <f t="shared" si="13"/>
        <v>111</v>
      </c>
      <c r="AA45" s="1560">
        <f t="shared" si="3"/>
        <v>1</v>
      </c>
      <c r="AB45" s="1560">
        <f t="shared" si="4"/>
        <v>1</v>
      </c>
      <c r="AC45" s="1560">
        <f t="shared" si="5"/>
        <v>1</v>
      </c>
    </row>
    <row r="46" spans="1:29" ht="14.4">
      <c r="A46" s="1610" t="s">
        <v>2179</v>
      </c>
      <c r="B46" s="1821" t="s">
        <v>2216</v>
      </c>
      <c r="C46" s="1822" t="s">
        <v>1</v>
      </c>
      <c r="D46" s="1613"/>
      <c r="E46" s="1614"/>
      <c r="F46" s="1615"/>
      <c r="G46" s="1616"/>
      <c r="H46" s="1617"/>
      <c r="I46" s="1614"/>
      <c r="J46" s="1617"/>
      <c r="K46" s="1823"/>
      <c r="L46" s="2698"/>
      <c r="P46" s="3324" t="str">
        <f>A46</f>
        <v>成交单价</v>
      </c>
      <c r="Q46" s="3324"/>
      <c r="R46" s="3320">
        <f>E46</f>
        <v>0</v>
      </c>
      <c r="S46" s="3320"/>
      <c r="T46" s="3320">
        <f>G46</f>
        <v>0</v>
      </c>
      <c r="U46" s="3320"/>
      <c r="V46" s="3320">
        <f>I46</f>
        <v>0</v>
      </c>
      <c r="W46" s="3320"/>
      <c r="X46" s="1561"/>
      <c r="Y46" s="1620"/>
      <c r="Z46" s="1561"/>
      <c r="AA46" s="1561"/>
      <c r="AB46" s="1561"/>
      <c r="AC46" s="1561"/>
    </row>
    <row r="47" spans="1:29" ht="15" thickBot="1">
      <c r="A47" s="1621" t="s">
        <v>2132</v>
      </c>
      <c r="B47" s="1824"/>
      <c r="C47" s="1825" t="e">
        <f>R48</f>
        <v>#DIV/0!</v>
      </c>
      <c r="D47" s="1624" t="s">
        <v>2503</v>
      </c>
      <c r="E47" s="1825" t="e">
        <f>R47</f>
        <v>#DIV/0!</v>
      </c>
      <c r="F47" s="1626"/>
      <c r="G47" s="1826" t="e">
        <f>T47</f>
        <v>#DIV/0!</v>
      </c>
      <c r="H47" s="1626"/>
      <c r="I47" s="1825" t="e">
        <f>V47</f>
        <v>#DIV/0!</v>
      </c>
      <c r="J47" s="1626"/>
      <c r="K47" s="2251">
        <f>F47+H47+J47</f>
        <v>0</v>
      </c>
      <c r="L47" s="2698"/>
      <c r="P47" s="3324" t="str">
        <f>A47</f>
        <v>比较价值（元/平方米）</v>
      </c>
      <c r="Q47" s="3324"/>
      <c r="R47" s="3407" t="e">
        <f>ROUND(PRODUCT(R46,AA7:AA45),0)</f>
        <v>#DIV/0!</v>
      </c>
      <c r="S47" s="3407"/>
      <c r="T47" s="3407" t="e">
        <f>ROUND(PRODUCT(T46,AB7:AB45),0)</f>
        <v>#DIV/0!</v>
      </c>
      <c r="U47" s="3407"/>
      <c r="V47" s="3407" t="e">
        <f>ROUND(PRODUCT(V46,AC7:AC45),0)</f>
        <v>#DIV/0!</v>
      </c>
      <c r="W47" s="3407"/>
      <c r="X47" s="1561"/>
      <c r="Y47" s="1561"/>
      <c r="Z47" s="1561"/>
      <c r="AA47" s="1561"/>
      <c r="AB47" s="1561"/>
      <c r="AC47" s="1561"/>
    </row>
    <row r="48" spans="1:29" ht="15" thickBot="1">
      <c r="A48" s="1627" t="s">
        <v>2155</v>
      </c>
      <c r="B48" s="1628"/>
      <c r="C48" s="1827" t="e">
        <f>R48</f>
        <v>#DIV/0!</v>
      </c>
      <c r="D48" s="1827"/>
      <c r="E48" s="1827"/>
      <c r="F48" s="1827"/>
      <c r="G48" s="1827"/>
      <c r="H48" s="1827"/>
      <c r="I48" s="1827"/>
      <c r="J48" s="1827"/>
      <c r="K48" s="1828"/>
      <c r="L48" s="2698"/>
      <c r="P48" s="3321" t="str">
        <f>A48</f>
        <v>估价对象XX用房的比较价值（楼面单价，元/平方米）</v>
      </c>
      <c r="Q48" s="3322"/>
      <c r="R48" s="3408" t="e">
        <f>ROUND(IF(D47="简单平均",AVERAGE(R47:W47),R47*F47+T47*H47+V47*J47),0)</f>
        <v>#DIV/0!</v>
      </c>
      <c r="S48" s="3408"/>
      <c r="T48" s="3408"/>
      <c r="U48" s="3408"/>
      <c r="V48" s="3408"/>
      <c r="W48" s="3408"/>
      <c r="X48" s="1561"/>
      <c r="Y48" s="1561"/>
      <c r="Z48" s="1561"/>
      <c r="AA48" s="1561"/>
      <c r="AB48" s="1561"/>
      <c r="AC48" s="1561"/>
    </row>
    <row r="49" spans="1:14">
      <c r="G49" s="2701"/>
    </row>
    <row r="51" spans="1:14" ht="13.5" customHeight="1">
      <c r="C51" s="376" t="s">
        <v>2134</v>
      </c>
      <c r="D51" s="1634"/>
      <c r="E51" s="1635" t="e">
        <f>IF(E46&lt;E47,E47/E46-1,E46/E47-1)</f>
        <v>#DIV/0!</v>
      </c>
      <c r="F51" s="1636" t="e">
        <f>IF(OR(E51&gt;=0.3,E51&lt;=-0.3),"超过30%","")</f>
        <v>#DIV/0!</v>
      </c>
      <c r="G51" s="1635" t="e">
        <f>IF(G46&lt;G47,G47/G46-1,G46/G47-1)</f>
        <v>#DIV/0!</v>
      </c>
      <c r="H51" s="1636" t="e">
        <f>IF(OR(G51&gt;=0.3,G51&lt;=-0.3),"超过30%","")</f>
        <v>#DIV/0!</v>
      </c>
      <c r="I51" s="1635" t="e">
        <f>IF(I46&lt;I47,I47/I46-1,I46/I47-1)</f>
        <v>#DIV/0!</v>
      </c>
      <c r="J51" s="1636" t="e">
        <f>IF(OR(I51&gt;=0.3,I51&lt;=-0.3),"超过30%","")</f>
        <v>#DIV/0!</v>
      </c>
    </row>
    <row r="52" spans="1:14" ht="13.5" customHeight="1">
      <c r="C52" s="376" t="s">
        <v>2135</v>
      </c>
      <c r="D52" s="1637"/>
      <c r="E52" s="1635" t="e">
        <f>IF(E47&lt;G47,G47/E47-1,E47/G47-1)</f>
        <v>#DIV/0!</v>
      </c>
      <c r="F52" s="1636" t="e">
        <f>IF(OR(E52&gt;=0.2,E52&lt;=-0.2),"超过20%","")</f>
        <v>#DIV/0!</v>
      </c>
      <c r="G52" s="1635" t="e">
        <f>IF(G47&lt;I47,I47/G47-1,G47/I47-1)</f>
        <v>#DIV/0!</v>
      </c>
      <c r="H52" s="1636" t="e">
        <f>IF(OR(G52&gt;=0.2,G52&lt;=-0.2),"超过20%","")</f>
        <v>#DIV/0!</v>
      </c>
      <c r="I52" s="1635" t="e">
        <f>IF(I47&lt;E47,E47/I47-1,I47/E47-1)</f>
        <v>#DIV/0!</v>
      </c>
      <c r="J52" s="1636" t="e">
        <f>IF(OR(I52&gt;=0.2,I52&lt;=-0.2),"超过20%","")</f>
        <v>#DIV/0!</v>
      </c>
    </row>
    <row r="53" spans="1:14" s="1640" customFormat="1" ht="13.5" customHeight="1">
      <c r="C53" s="376" t="s">
        <v>2136</v>
      </c>
      <c r="D53" s="1637"/>
      <c r="E53" s="1635" t="e">
        <f>IF(E46&lt;G46,G46/E46-1,E46/G46-1)</f>
        <v>#DIV/0!</v>
      </c>
      <c r="F53" s="1636" t="e">
        <f>IF(OR(E53&gt;=0.3,E53&lt;=-0.3),"超过30%","")</f>
        <v>#DIV/0!</v>
      </c>
      <c r="G53" s="1635" t="e">
        <f>IF(G46&lt;I46,I46/G46-1,G46/I46-1)</f>
        <v>#DIV/0!</v>
      </c>
      <c r="H53" s="1636" t="e">
        <f>IF(OR(G53&gt;=0.3,G53&lt;=-0.3),"超过30%","")</f>
        <v>#DIV/0!</v>
      </c>
      <c r="I53" s="1635" t="e">
        <f>IF(I46&lt;E46,E46/I46-1,I46/E46-1)</f>
        <v>#DIV/0!</v>
      </c>
      <c r="J53" s="1636" t="e">
        <f>IF(OR(I53&gt;=0.3,I53&lt;=-0.3),"超过30%","")</f>
        <v>#DIV/0!</v>
      </c>
      <c r="K53" s="2704"/>
      <c r="L53" s="2699"/>
    </row>
    <row r="54" spans="1:14" s="1640" customFormat="1" ht="14.4" thickBot="1">
      <c r="B54" s="2702"/>
      <c r="C54" s="2703"/>
      <c r="K54" s="2704"/>
      <c r="L54" s="2699"/>
    </row>
    <row r="55" spans="1:14" ht="28.8">
      <c r="A55" s="544" t="s">
        <v>2217</v>
      </c>
      <c r="B55" s="1829" t="s">
        <v>2218</v>
      </c>
      <c r="C55" s="1830" t="s">
        <v>2219</v>
      </c>
      <c r="D55" s="1831" t="s">
        <v>2220</v>
      </c>
      <c r="E55" s="1832" t="s">
        <v>2221</v>
      </c>
      <c r="F55" s="1833" t="s">
        <v>2222</v>
      </c>
      <c r="G55" s="1737" t="s">
        <v>2223</v>
      </c>
      <c r="H55" s="1737" t="str">
        <f>项目基本情况!G8</f>
        <v>XX</v>
      </c>
      <c r="I55" s="1433" t="s">
        <v>2224</v>
      </c>
      <c r="J55" s="1834"/>
      <c r="K55" s="1632"/>
    </row>
    <row r="56" spans="1:14" s="1841" customFormat="1">
      <c r="A56" s="1835" t="s">
        <v>2225</v>
      </c>
      <c r="B56" s="1836" t="e">
        <f>C48</f>
        <v>#DIV/0!</v>
      </c>
      <c r="C56" s="276">
        <v>1</v>
      </c>
      <c r="D56" s="1837">
        <v>1</v>
      </c>
      <c r="E56" s="1838">
        <v>120</v>
      </c>
      <c r="F56" s="1839" t="e">
        <f t="shared" ref="F56:F64" si="15">ROUND(B56*E56,0)</f>
        <v>#DIV/0!</v>
      </c>
      <c r="G56" s="1840">
        <v>1</v>
      </c>
      <c r="H56" s="1840">
        <v>1</v>
      </c>
      <c r="I56" s="1640"/>
      <c r="J56" s="1640"/>
      <c r="K56" s="2704"/>
      <c r="L56" s="2699"/>
      <c r="M56" s="1640"/>
      <c r="N56" s="1640"/>
    </row>
    <row r="57" spans="1:14" s="1841" customFormat="1">
      <c r="A57" s="1842" t="s">
        <v>2226</v>
      </c>
      <c r="B57" s="1843" t="e">
        <f>ROUND($C$48*C57*D57,0)</f>
        <v>#DIV/0!</v>
      </c>
      <c r="C57" s="46">
        <f>IF($C$55="北京市系数",G57,H57)</f>
        <v>0</v>
      </c>
      <c r="D57" s="1844">
        <v>0.25</v>
      </c>
      <c r="E57" s="1838">
        <v>0</v>
      </c>
      <c r="F57" s="1839" t="e">
        <f t="shared" si="15"/>
        <v>#DIV/0!</v>
      </c>
      <c r="G57" s="1840">
        <f>SUMIF(修正!$A$57:$A$68,项目基本情况!$F$9,修正!B57:B68)</f>
        <v>0</v>
      </c>
      <c r="H57" s="1845"/>
      <c r="I57" s="1503"/>
      <c r="J57" s="1728"/>
      <c r="K57" s="1729"/>
      <c r="L57" s="1729"/>
      <c r="M57" s="1503"/>
      <c r="N57" s="1503"/>
    </row>
    <row r="58" spans="1:14" s="1841" customFormat="1">
      <c r="A58" s="1842" t="s">
        <v>2227</v>
      </c>
      <c r="B58" s="1843" t="e">
        <f t="shared" ref="B58:B64" si="16">ROUND($C$48*C58*D58,0)</f>
        <v>#DIV/0!</v>
      </c>
      <c r="C58" s="46">
        <f t="shared" ref="C58:C64" si="17">IF($C$55="北京市系数",G58,H58)</f>
        <v>0</v>
      </c>
      <c r="D58" s="1844">
        <v>0.25</v>
      </c>
      <c r="E58" s="1838">
        <v>0</v>
      </c>
      <c r="F58" s="1839" t="e">
        <f t="shared" si="15"/>
        <v>#DIV/0!</v>
      </c>
      <c r="G58" s="1840">
        <f>SUMIF(修正!$A$57:$A$68,项目基本情况!$F$9,修正!C57:C68)</f>
        <v>0</v>
      </c>
      <c r="H58" s="1845"/>
      <c r="I58" s="1640"/>
      <c r="J58" s="1640"/>
      <c r="K58" s="2704"/>
      <c r="L58" s="2699"/>
      <c r="M58" s="1640"/>
      <c r="N58" s="1640"/>
    </row>
    <row r="59" spans="1:14" s="1841" customFormat="1">
      <c r="A59" s="1842" t="s">
        <v>2228</v>
      </c>
      <c r="B59" s="1843" t="e">
        <f t="shared" si="16"/>
        <v>#DIV/0!</v>
      </c>
      <c r="C59" s="46">
        <f t="shared" si="17"/>
        <v>0</v>
      </c>
      <c r="D59" s="1844">
        <v>0.25</v>
      </c>
      <c r="E59" s="1838">
        <v>0</v>
      </c>
      <c r="F59" s="1839" t="e">
        <f t="shared" si="15"/>
        <v>#DIV/0!</v>
      </c>
      <c r="G59" s="1840">
        <f>SUMIF(修正!$A$57:$A$68,项目基本情况!$F$9,修正!D57:D68)</f>
        <v>0</v>
      </c>
      <c r="H59" s="1845"/>
      <c r="I59" s="1503"/>
      <c r="J59" s="1728"/>
      <c r="K59" s="1729"/>
      <c r="L59" s="1729"/>
      <c r="M59" s="1503"/>
      <c r="N59" s="1503"/>
    </row>
    <row r="60" spans="1:14" s="1841" customFormat="1">
      <c r="A60" s="1842" t="s">
        <v>2229</v>
      </c>
      <c r="B60" s="1843" t="e">
        <f t="shared" si="16"/>
        <v>#DIV/0!</v>
      </c>
      <c r="C60" s="46">
        <f t="shared" si="17"/>
        <v>0</v>
      </c>
      <c r="D60" s="1844">
        <v>0.25</v>
      </c>
      <c r="E60" s="1838">
        <v>0</v>
      </c>
      <c r="F60" s="1839" t="e">
        <f t="shared" si="15"/>
        <v>#DIV/0!</v>
      </c>
      <c r="G60" s="1840">
        <f>SUMIF(修正!A57:A68,项目基本情况!F9,修正!E57:E68)</f>
        <v>0</v>
      </c>
      <c r="H60" s="1845"/>
      <c r="I60" s="1503"/>
      <c r="J60" s="1728"/>
      <c r="K60" s="1729"/>
      <c r="L60" s="1729"/>
      <c r="M60" s="1503"/>
      <c r="N60" s="1503"/>
    </row>
    <row r="61" spans="1:14" s="1841" customFormat="1">
      <c r="A61" s="1842" t="s">
        <v>2230</v>
      </c>
      <c r="B61" s="1843" t="e">
        <f t="shared" si="16"/>
        <v>#DIV/0!</v>
      </c>
      <c r="C61" s="46">
        <f t="shared" si="17"/>
        <v>0</v>
      </c>
      <c r="D61" s="1844">
        <v>0.25</v>
      </c>
      <c r="E61" s="1838">
        <v>0</v>
      </c>
      <c r="F61" s="1839" t="e">
        <f t="shared" si="15"/>
        <v>#DIV/0!</v>
      </c>
      <c r="G61" s="1840">
        <f>SUMIF(修正!A57:A68,项目基本情况!F9,修正!F57:F68)</f>
        <v>0</v>
      </c>
      <c r="H61" s="1845"/>
      <c r="I61" s="1640"/>
      <c r="J61" s="1640"/>
      <c r="K61" s="2704"/>
      <c r="L61" s="2699"/>
      <c r="M61" s="1640"/>
      <c r="N61" s="1640"/>
    </row>
    <row r="62" spans="1:14" s="1841" customFormat="1">
      <c r="A62" s="1842" t="s">
        <v>2231</v>
      </c>
      <c r="B62" s="1843" t="e">
        <f t="shared" si="16"/>
        <v>#DIV/0!</v>
      </c>
      <c r="C62" s="46">
        <f>IF($C$55="北京市系数",G62,H62)</f>
        <v>0</v>
      </c>
      <c r="D62" s="1844">
        <v>0.25</v>
      </c>
      <c r="E62" s="1838">
        <v>0</v>
      </c>
      <c r="F62" s="1839" t="e">
        <f t="shared" si="15"/>
        <v>#DIV/0!</v>
      </c>
      <c r="G62" s="1840">
        <f>SUMIF(修正!A57:A68,项目基本情况!F9,修正!G57:G68)</f>
        <v>0</v>
      </c>
      <c r="H62" s="1845"/>
      <c r="I62" s="1503"/>
      <c r="J62" s="1728"/>
      <c r="K62" s="1729"/>
      <c r="L62" s="1729"/>
      <c r="M62" s="1503"/>
      <c r="N62" s="1503"/>
    </row>
    <row r="63" spans="1:14" s="1841" customFormat="1">
      <c r="A63" s="1842" t="s">
        <v>2232</v>
      </c>
      <c r="B63" s="1843" t="e">
        <f t="shared" si="16"/>
        <v>#DIV/0!</v>
      </c>
      <c r="C63" s="46">
        <f t="shared" si="17"/>
        <v>0</v>
      </c>
      <c r="D63" s="1844">
        <v>0.25</v>
      </c>
      <c r="E63" s="1838">
        <v>0</v>
      </c>
      <c r="F63" s="1839" t="e">
        <f t="shared" si="15"/>
        <v>#DIV/0!</v>
      </c>
      <c r="G63" s="1840">
        <f>G62</f>
        <v>0</v>
      </c>
      <c r="H63" s="1845"/>
      <c r="I63" s="1640"/>
      <c r="J63" s="1640"/>
      <c r="K63" s="2704"/>
      <c r="L63" s="2699"/>
      <c r="M63" s="1640"/>
      <c r="N63" s="1640"/>
    </row>
    <row r="64" spans="1:14" s="1841" customFormat="1">
      <c r="A64" s="1842" t="s">
        <v>2233</v>
      </c>
      <c r="B64" s="1843" t="e">
        <f t="shared" si="16"/>
        <v>#DIV/0!</v>
      </c>
      <c r="C64" s="46">
        <f t="shared" si="17"/>
        <v>0</v>
      </c>
      <c r="D64" s="1844">
        <v>0.25</v>
      </c>
      <c r="E64" s="1838">
        <v>0</v>
      </c>
      <c r="F64" s="1839" t="e">
        <f t="shared" si="15"/>
        <v>#DIV/0!</v>
      </c>
      <c r="G64" s="1840">
        <f>G62</f>
        <v>0</v>
      </c>
      <c r="H64" s="1845"/>
      <c r="I64" s="1503"/>
      <c r="J64" s="1728"/>
      <c r="K64" s="1729"/>
      <c r="L64" s="1729"/>
      <c r="M64" s="1503"/>
      <c r="N64" s="1503"/>
    </row>
    <row r="65" spans="1:17" s="1841" customFormat="1" thickBot="1">
      <c r="A65" s="1846" t="s">
        <v>2234</v>
      </c>
      <c r="B65" s="1847" t="s">
        <v>39</v>
      </c>
      <c r="C65" s="1847" t="s">
        <v>40</v>
      </c>
      <c r="D65" s="1847" t="s">
        <v>36</v>
      </c>
      <c r="E65" s="1847">
        <f>SUM(E56:E64)</f>
        <v>120</v>
      </c>
      <c r="F65" s="1848" t="e">
        <f>SUM(F56:F64)</f>
        <v>#DIV/0!</v>
      </c>
      <c r="G65" s="1849"/>
      <c r="H65" s="1849"/>
      <c r="I65" s="2735"/>
      <c r="J65" s="2735"/>
      <c r="K65" s="2735"/>
    </row>
    <row r="66" spans="1:17">
      <c r="A66" s="1619"/>
      <c r="B66" s="1641"/>
      <c r="C66" s="1642"/>
      <c r="D66" s="1619"/>
      <c r="E66" s="1619"/>
      <c r="F66" s="1619"/>
      <c r="G66" s="1619"/>
      <c r="H66" s="1619"/>
      <c r="I66" s="1619"/>
      <c r="J66" s="1619"/>
      <c r="K66" s="1631"/>
      <c r="L66" s="1632"/>
      <c r="M66" s="1619"/>
      <c r="N66" s="1619"/>
      <c r="O66" s="1619"/>
    </row>
    <row r="67" spans="1:17" s="1851" customFormat="1">
      <c r="A67" s="1561"/>
      <c r="B67" s="1850"/>
      <c r="C67" s="1850" t="str">
        <f>YEAR(C7)&amp;"-"&amp;MONTH(C7)&amp;"-1"</f>
        <v>2022-12-1</v>
      </c>
      <c r="D67" s="1850">
        <f>EDATE(C67,-3)</f>
        <v>44805</v>
      </c>
      <c r="E67" s="1850">
        <f t="shared" ref="E67:O67" si="18">EDATE(D67,-3)</f>
        <v>44713</v>
      </c>
      <c r="F67" s="1850">
        <f t="shared" si="18"/>
        <v>44621</v>
      </c>
      <c r="G67" s="1850">
        <f t="shared" si="18"/>
        <v>44531</v>
      </c>
      <c r="H67" s="1850">
        <f t="shared" si="18"/>
        <v>44440</v>
      </c>
      <c r="I67" s="1850">
        <f t="shared" si="18"/>
        <v>44348</v>
      </c>
      <c r="J67" s="1850">
        <f t="shared" si="18"/>
        <v>44256</v>
      </c>
      <c r="K67" s="1850">
        <f t="shared" si="18"/>
        <v>44166</v>
      </c>
      <c r="L67" s="1850">
        <f t="shared" si="18"/>
        <v>44075</v>
      </c>
      <c r="M67" s="1850">
        <f t="shared" si="18"/>
        <v>43983</v>
      </c>
      <c r="N67" s="1850">
        <f t="shared" si="18"/>
        <v>43891</v>
      </c>
      <c r="O67" s="1850">
        <f t="shared" si="18"/>
        <v>43800</v>
      </c>
    </row>
    <row r="68" spans="1:17" ht="22.2" thickBot="1">
      <c r="A68" s="1643" t="s">
        <v>2137</v>
      </c>
      <c r="B68" s="1561"/>
      <c r="C68" s="1644"/>
      <c r="D68" s="1644"/>
      <c r="E68" s="1644"/>
      <c r="F68" s="1644"/>
      <c r="G68" s="1644"/>
      <c r="H68" s="1644"/>
      <c r="I68" s="1852"/>
      <c r="J68" s="1852"/>
      <c r="K68" s="1853"/>
      <c r="L68" s="1854"/>
      <c r="M68" s="1852"/>
      <c r="N68" s="1852"/>
      <c r="O68" s="1852"/>
      <c r="P68" s="1855"/>
      <c r="Q68" s="1648"/>
    </row>
    <row r="69" spans="1:17" s="1859" customFormat="1" ht="14.4">
      <c r="A69" s="1856" t="s">
        <v>2235</v>
      </c>
      <c r="B69" s="1857"/>
      <c r="C69" s="1858" t="str">
        <f>YEAR(C67)&amp;"-"&amp;ROUNDUP(MONTH(C67)/3,0)</f>
        <v>2022-4</v>
      </c>
      <c r="D69" s="1858" t="str">
        <f>YEAR(D67)&amp;"-"&amp;ROUNDUP(MONTH(D67)/3,0)</f>
        <v>2022-3</v>
      </c>
      <c r="E69" s="1858" t="str">
        <f t="shared" ref="E69:O69" si="19">YEAR(E67)&amp;"-"&amp;ROUNDUP(MONTH(E67)/3,0)</f>
        <v>2022-2</v>
      </c>
      <c r="F69" s="1858" t="str">
        <f t="shared" si="19"/>
        <v>2022-1</v>
      </c>
      <c r="G69" s="1858" t="str">
        <f t="shared" si="19"/>
        <v>2021-4</v>
      </c>
      <c r="H69" s="1858" t="str">
        <f t="shared" si="19"/>
        <v>2021-3</v>
      </c>
      <c r="I69" s="1858" t="str">
        <f t="shared" si="19"/>
        <v>2021-2</v>
      </c>
      <c r="J69" s="1858" t="str">
        <f t="shared" si="19"/>
        <v>2021-1</v>
      </c>
      <c r="K69" s="1858" t="str">
        <f t="shared" si="19"/>
        <v>2020-4</v>
      </c>
      <c r="L69" s="1858" t="str">
        <f t="shared" si="19"/>
        <v>2020-3</v>
      </c>
      <c r="M69" s="1858" t="str">
        <f t="shared" si="19"/>
        <v>2020-2</v>
      </c>
      <c r="N69" s="1858" t="str">
        <f t="shared" si="19"/>
        <v>2020-1</v>
      </c>
      <c r="O69" s="1858" t="str">
        <f t="shared" si="19"/>
        <v>2019-4</v>
      </c>
    </row>
    <row r="70" spans="1:17" s="1520" customFormat="1" ht="29.25" customHeight="1">
      <c r="A70" s="1860" t="s">
        <v>2236</v>
      </c>
      <c r="B70" s="1861" t="str">
        <f>"北京市平均增长率"&amp;TEXT(SUMIF(基准地价修正!N21:N25,A70,基准地价修正!P21:P25),"0.00%")</f>
        <v>北京市平均增长率0.95%</v>
      </c>
      <c r="C70" s="1472">
        <v>100</v>
      </c>
      <c r="D70" s="1722"/>
      <c r="E70" s="1722"/>
      <c r="F70" s="1722"/>
      <c r="G70" s="1722"/>
      <c r="H70" s="1722"/>
      <c r="I70" s="1722"/>
      <c r="J70" s="1722"/>
      <c r="K70" s="1722"/>
      <c r="L70" s="1722"/>
      <c r="M70" s="1591"/>
      <c r="N70" s="1722"/>
      <c r="O70" s="1862"/>
      <c r="P70" s="1648"/>
    </row>
    <row r="71" spans="1:17" s="1520" customFormat="1" ht="15" thickBot="1">
      <c r="A71" s="1660" t="s">
        <v>2057</v>
      </c>
      <c r="B71" s="1661"/>
      <c r="C71" s="1662"/>
      <c r="D71" s="1663"/>
      <c r="E71" s="1663"/>
      <c r="F71" s="1663"/>
      <c r="G71" s="1663"/>
      <c r="H71" s="1663"/>
      <c r="I71" s="1663"/>
      <c r="J71" s="1663"/>
      <c r="K71" s="1663"/>
      <c r="L71" s="1663"/>
      <c r="M71" s="1664"/>
      <c r="N71" s="1663"/>
      <c r="O71" s="1863"/>
      <c r="P71" s="1648"/>
      <c r="Q71" s="1648"/>
    </row>
    <row r="72" spans="1:17" s="1520" customFormat="1" ht="14.4">
      <c r="A72" s="1665" t="s">
        <v>2021</v>
      </c>
      <c r="B72" s="1656"/>
      <c r="C72" s="1666" t="s">
        <v>2022</v>
      </c>
      <c r="D72" s="401"/>
      <c r="E72" s="401"/>
      <c r="F72" s="401"/>
      <c r="G72" s="401"/>
      <c r="H72" s="401"/>
      <c r="I72" s="401"/>
      <c r="J72" s="401"/>
      <c r="K72" s="401"/>
      <c r="L72" s="401"/>
      <c r="M72" s="1667"/>
      <c r="N72" s="1865"/>
      <c r="O72" s="1865"/>
      <c r="P72" s="1864"/>
      <c r="Q72" s="1648"/>
    </row>
    <row r="73" spans="1:17" s="1520" customFormat="1" ht="14.4" thickBot="1">
      <c r="A73" s="1665"/>
      <c r="B73" s="1656"/>
      <c r="C73" s="1657">
        <v>100</v>
      </c>
      <c r="D73" s="1658"/>
      <c r="E73" s="1658"/>
      <c r="F73" s="1658"/>
      <c r="G73" s="1658"/>
      <c r="H73" s="1658"/>
      <c r="I73" s="1658"/>
      <c r="J73" s="1658"/>
      <c r="K73" s="1658"/>
      <c r="L73" s="1658"/>
      <c r="M73" s="1671"/>
      <c r="N73" s="1865"/>
      <c r="O73" s="1865"/>
      <c r="P73" s="1648"/>
      <c r="Q73" s="1648"/>
    </row>
    <row r="74" spans="1:17" ht="14.4">
      <c r="A74" s="1550" t="s">
        <v>2060</v>
      </c>
      <c r="B74" s="1672" t="s">
        <v>2025</v>
      </c>
      <c r="C74" s="1674"/>
      <c r="D74" s="1674"/>
      <c r="E74" s="1674"/>
      <c r="F74" s="1674"/>
      <c r="G74" s="1674"/>
      <c r="H74" s="1674"/>
      <c r="I74" s="1674"/>
      <c r="J74" s="1674"/>
      <c r="K74" s="408"/>
      <c r="L74" s="408"/>
      <c r="M74" s="1675"/>
      <c r="N74" s="2709"/>
      <c r="O74" s="2709"/>
      <c r="P74" s="1865"/>
      <c r="Q74" s="1648"/>
    </row>
    <row r="75" spans="1:17" ht="14.4" thickBot="1">
      <c r="A75" s="1535"/>
      <c r="B75" s="1678"/>
      <c r="C75" s="1679"/>
      <c r="D75" s="1679"/>
      <c r="E75" s="1679"/>
      <c r="F75" s="1679"/>
      <c r="G75" s="1679"/>
      <c r="H75" s="1679"/>
      <c r="I75" s="1679"/>
      <c r="J75" s="1679"/>
      <c r="K75" s="1679"/>
      <c r="L75" s="1679"/>
      <c r="M75" s="1680"/>
      <c r="N75" s="2248"/>
      <c r="O75" s="2248"/>
      <c r="P75" s="1865"/>
      <c r="Q75" s="1648"/>
    </row>
    <row r="76" spans="1:17" ht="29.4" thickTop="1">
      <c r="A76" s="1535"/>
      <c r="B76" s="1682" t="s">
        <v>2028</v>
      </c>
      <c r="C76" s="1683"/>
      <c r="D76" s="1683"/>
      <c r="E76" s="1683"/>
      <c r="F76" s="1683"/>
      <c r="G76" s="1683"/>
      <c r="H76" s="1683"/>
      <c r="I76" s="1683"/>
      <c r="J76" s="1683"/>
      <c r="K76" s="418"/>
      <c r="L76" s="418"/>
      <c r="M76" s="1684"/>
      <c r="N76" s="2709"/>
      <c r="O76" s="2709"/>
      <c r="P76" s="1865"/>
      <c r="Q76" s="1648"/>
    </row>
    <row r="77" spans="1:17" ht="14.4" thickBot="1">
      <c r="A77" s="1535"/>
      <c r="B77" s="1685"/>
      <c r="C77" s="1686"/>
      <c r="D77" s="1686"/>
      <c r="E77" s="1686"/>
      <c r="F77" s="1686"/>
      <c r="G77" s="1686"/>
      <c r="H77" s="1686"/>
      <c r="I77" s="1686"/>
      <c r="J77" s="1686"/>
      <c r="K77" s="1686"/>
      <c r="L77" s="1686"/>
      <c r="M77" s="1687"/>
      <c r="N77" s="2248"/>
      <c r="O77" s="2248"/>
      <c r="P77" s="1865"/>
      <c r="Q77" s="1648"/>
    </row>
    <row r="78" spans="1:17" ht="15" thickTop="1">
      <c r="A78" s="1535"/>
      <c r="B78" s="1688" t="s">
        <v>2029</v>
      </c>
      <c r="C78" s="1689" t="str">
        <f>C79&amp;"（含）"&amp;"-"&amp;D79</f>
        <v>（含）-</v>
      </c>
      <c r="D78" s="1689" t="str">
        <f t="shared" ref="D78:L78" si="20">D79&amp;"（含）"&amp;"-"&amp;E79</f>
        <v>（含）-</v>
      </c>
      <c r="E78" s="1689" t="str">
        <f t="shared" si="20"/>
        <v>（含）-</v>
      </c>
      <c r="F78" s="1689" t="str">
        <f t="shared" si="20"/>
        <v>（含）-</v>
      </c>
      <c r="G78" s="1689" t="str">
        <f t="shared" si="20"/>
        <v>（含）-</v>
      </c>
      <c r="H78" s="1689" t="str">
        <f t="shared" si="20"/>
        <v>（含）-</v>
      </c>
      <c r="I78" s="1689" t="str">
        <f t="shared" si="20"/>
        <v>（含）-</v>
      </c>
      <c r="J78" s="1689" t="str">
        <f t="shared" si="20"/>
        <v>（含）-</v>
      </c>
      <c r="K78" s="1689" t="str">
        <f t="shared" si="20"/>
        <v>（含）-</v>
      </c>
      <c r="L78" s="1689" t="str">
        <f t="shared" si="20"/>
        <v>（含）-</v>
      </c>
      <c r="M78" s="1563" t="str">
        <f>M79&amp;"（含）"&amp;"-"&amp;P79</f>
        <v>（含）-</v>
      </c>
      <c r="N78" s="2248"/>
      <c r="O78" s="2248"/>
      <c r="P78" s="1865"/>
      <c r="Q78" s="1648"/>
    </row>
    <row r="79" spans="1:17">
      <c r="A79" s="1535"/>
      <c r="B79" s="1690"/>
      <c r="C79" s="1691"/>
      <c r="D79" s="1691"/>
      <c r="E79" s="1691"/>
      <c r="F79" s="1691"/>
      <c r="G79" s="1691"/>
      <c r="H79" s="1691"/>
      <c r="I79" s="1691"/>
      <c r="J79" s="1691"/>
      <c r="K79" s="428"/>
      <c r="L79" s="428"/>
      <c r="M79" s="1692"/>
      <c r="N79" s="2709"/>
      <c r="O79" s="2709"/>
      <c r="P79" s="1865"/>
      <c r="Q79" s="1648"/>
    </row>
    <row r="80" spans="1:17" ht="14.4" thickBot="1">
      <c r="A80" s="1535"/>
      <c r="B80" s="1678"/>
      <c r="C80" s="1686">
        <v>100</v>
      </c>
      <c r="D80" s="1686">
        <f t="shared" ref="D80:M80" si="21">IF($B$46="单位面积地价",C80+$K11,C80-$K11)</f>
        <v>100</v>
      </c>
      <c r="E80" s="1686">
        <f t="shared" si="21"/>
        <v>100</v>
      </c>
      <c r="F80" s="1686">
        <f t="shared" si="21"/>
        <v>100</v>
      </c>
      <c r="G80" s="1686">
        <f t="shared" si="21"/>
        <v>100</v>
      </c>
      <c r="H80" s="1686">
        <f t="shared" si="21"/>
        <v>100</v>
      </c>
      <c r="I80" s="1686">
        <f t="shared" si="21"/>
        <v>100</v>
      </c>
      <c r="J80" s="1686">
        <f t="shared" si="21"/>
        <v>100</v>
      </c>
      <c r="K80" s="1686">
        <f t="shared" si="21"/>
        <v>100</v>
      </c>
      <c r="L80" s="1686">
        <f t="shared" si="21"/>
        <v>100</v>
      </c>
      <c r="M80" s="1686">
        <f t="shared" si="21"/>
        <v>100</v>
      </c>
      <c r="N80" s="2248"/>
      <c r="O80" s="2248"/>
      <c r="P80" s="1865"/>
      <c r="Q80" s="1648"/>
    </row>
    <row r="81" spans="1:17" s="1601" customFormat="1" ht="14.4" thickTop="1">
      <c r="A81" s="1693"/>
      <c r="B81" s="1682" t="str">
        <f>B12</f>
        <v>配建</v>
      </c>
      <c r="C81" s="456"/>
      <c r="D81" s="456"/>
      <c r="E81" s="456"/>
      <c r="F81" s="456"/>
      <c r="G81" s="456"/>
      <c r="H81" s="433"/>
      <c r="I81" s="433"/>
      <c r="J81" s="433"/>
      <c r="K81" s="433"/>
      <c r="L81" s="433"/>
      <c r="M81" s="1694"/>
      <c r="N81" s="1866"/>
      <c r="O81" s="1866"/>
      <c r="P81" s="1866"/>
      <c r="Q81" s="1697"/>
    </row>
    <row r="82" spans="1:17" s="1601" customFormat="1" ht="14.4" thickBot="1">
      <c r="A82" s="1693"/>
      <c r="B82" s="1685"/>
      <c r="C82" s="1698"/>
      <c r="D82" s="1679"/>
      <c r="E82" s="1679"/>
      <c r="F82" s="1679"/>
      <c r="G82" s="1679"/>
      <c r="H82" s="1679"/>
      <c r="I82" s="1679"/>
      <c r="J82" s="1679"/>
      <c r="K82" s="1679"/>
      <c r="L82" s="1679"/>
      <c r="M82" s="1680"/>
      <c r="N82" s="2248"/>
      <c r="O82" s="2248"/>
      <c r="P82" s="1866"/>
      <c r="Q82" s="1697"/>
    </row>
    <row r="83" spans="1:17" s="1601" customFormat="1" ht="14.4" thickTop="1">
      <c r="A83" s="1693"/>
      <c r="B83" s="1682">
        <f>B13</f>
        <v>111</v>
      </c>
      <c r="C83" s="456"/>
      <c r="D83" s="456"/>
      <c r="E83" s="456"/>
      <c r="F83" s="456"/>
      <c r="G83" s="456"/>
      <c r="H83" s="433"/>
      <c r="I83" s="433"/>
      <c r="J83" s="433"/>
      <c r="K83" s="433"/>
      <c r="L83" s="433"/>
      <c r="M83" s="1694"/>
      <c r="N83" s="1866"/>
      <c r="O83" s="1866"/>
      <c r="Q83" s="1700"/>
    </row>
    <row r="84" spans="1:17" s="1601" customFormat="1" ht="14.4" thickBot="1">
      <c r="A84" s="1693"/>
      <c r="B84" s="1685"/>
      <c r="C84" s="1698"/>
      <c r="D84" s="1698"/>
      <c r="E84" s="1698"/>
      <c r="F84" s="1698"/>
      <c r="G84" s="1698"/>
      <c r="H84" s="1701"/>
      <c r="I84" s="1701"/>
      <c r="J84" s="1701"/>
      <c r="K84" s="1701"/>
      <c r="L84" s="1701"/>
      <c r="M84" s="1702"/>
      <c r="N84" s="1866"/>
      <c r="O84" s="1866"/>
      <c r="P84" s="1866"/>
      <c r="Q84" s="1697"/>
    </row>
    <row r="85" spans="1:17" s="1601" customFormat="1" ht="14.4" thickTop="1">
      <c r="A85" s="1693"/>
      <c r="B85" s="1688">
        <f>B14</f>
        <v>111</v>
      </c>
      <c r="C85" s="401"/>
      <c r="D85" s="401"/>
      <c r="E85" s="401"/>
      <c r="F85" s="401"/>
      <c r="G85" s="401"/>
      <c r="H85" s="442"/>
      <c r="I85" s="442"/>
      <c r="J85" s="442"/>
      <c r="K85" s="442"/>
      <c r="L85" s="442"/>
      <c r="M85" s="1703"/>
      <c r="N85" s="1866"/>
      <c r="O85" s="1866"/>
      <c r="P85" s="1866"/>
      <c r="Q85" s="1697"/>
    </row>
    <row r="86" spans="1:17" s="1601" customFormat="1" ht="14.4" thickBot="1">
      <c r="A86" s="1704"/>
      <c r="B86" s="1705"/>
      <c r="C86" s="1706"/>
      <c r="D86" s="1706"/>
      <c r="E86" s="1706"/>
      <c r="F86" s="1706"/>
      <c r="G86" s="1706"/>
      <c r="H86" s="1707"/>
      <c r="I86" s="1707"/>
      <c r="J86" s="1707"/>
      <c r="K86" s="1707"/>
      <c r="L86" s="1707"/>
      <c r="M86" s="1708"/>
      <c r="N86" s="1866"/>
      <c r="O86" s="1866"/>
      <c r="P86" s="1866"/>
      <c r="Q86" s="1697"/>
    </row>
    <row r="87" spans="1:17" ht="14.4">
      <c r="A87" s="1550" t="s">
        <v>2030</v>
      </c>
      <c r="B87" s="1672" t="s">
        <v>2068</v>
      </c>
      <c r="C87" s="1709" t="s">
        <v>2069</v>
      </c>
      <c r="D87" s="1709" t="s">
        <v>2070</v>
      </c>
      <c r="E87" s="1709" t="s">
        <v>2071</v>
      </c>
      <c r="F87" s="1709" t="s">
        <v>2072</v>
      </c>
      <c r="G87" s="1709" t="s">
        <v>2073</v>
      </c>
      <c r="H87" s="1673"/>
      <c r="I87" s="1673"/>
      <c r="J87" s="1673"/>
      <c r="K87" s="452"/>
      <c r="L87" s="452"/>
      <c r="M87" s="1710"/>
      <c r="N87" s="2709"/>
      <c r="O87" s="2709"/>
      <c r="P87" s="1865"/>
      <c r="Q87" s="1648"/>
    </row>
    <row r="88" spans="1:17" ht="14.4" thickBot="1">
      <c r="A88" s="1535"/>
      <c r="B88" s="1685"/>
      <c r="C88" s="1686">
        <v>100</v>
      </c>
      <c r="D88" s="1686">
        <f>C88-$K15</f>
        <v>100</v>
      </c>
      <c r="E88" s="1686">
        <f>D88-$K15</f>
        <v>100</v>
      </c>
      <c r="F88" s="1686">
        <f>E88-$K15</f>
        <v>100</v>
      </c>
      <c r="G88" s="1686">
        <f>F88-$K15</f>
        <v>100</v>
      </c>
      <c r="H88" s="1686"/>
      <c r="I88" s="1686"/>
      <c r="J88" s="1686"/>
      <c r="K88" s="1686"/>
      <c r="L88" s="1686"/>
      <c r="M88" s="1687"/>
      <c r="N88" s="2248"/>
      <c r="O88" s="2248"/>
      <c r="P88" s="1865"/>
      <c r="Q88" s="1648"/>
    </row>
    <row r="89" spans="1:17" ht="15" thickTop="1">
      <c r="A89" s="1535"/>
      <c r="B89" s="1682" t="s">
        <v>2237</v>
      </c>
      <c r="C89" s="559" t="s">
        <v>2069</v>
      </c>
      <c r="D89" s="559" t="s">
        <v>2070</v>
      </c>
      <c r="E89" s="559" t="s">
        <v>2071</v>
      </c>
      <c r="F89" s="559" t="s">
        <v>2072</v>
      </c>
      <c r="G89" s="559" t="s">
        <v>2073</v>
      </c>
      <c r="H89" s="1683"/>
      <c r="I89" s="1683"/>
      <c r="J89" s="1683"/>
      <c r="K89" s="418"/>
      <c r="L89" s="418"/>
      <c r="M89" s="1684"/>
      <c r="N89" s="2709"/>
      <c r="O89" s="2709"/>
      <c r="P89" s="1865"/>
      <c r="Q89" s="1648"/>
    </row>
    <row r="90" spans="1:17" ht="14.4" thickBot="1">
      <c r="A90" s="1535"/>
      <c r="B90" s="1685"/>
      <c r="C90" s="1686">
        <v>100</v>
      </c>
      <c r="D90" s="1686">
        <f>C90-$K17</f>
        <v>100</v>
      </c>
      <c r="E90" s="1686">
        <f>D90-$K17</f>
        <v>100</v>
      </c>
      <c r="F90" s="1686">
        <f>E90-$K17</f>
        <v>100</v>
      </c>
      <c r="G90" s="1686">
        <f>F90-$K17</f>
        <v>100</v>
      </c>
      <c r="H90" s="1686"/>
      <c r="I90" s="1686"/>
      <c r="J90" s="1686"/>
      <c r="K90" s="1686"/>
      <c r="L90" s="1686"/>
      <c r="M90" s="1687"/>
      <c r="N90" s="2248"/>
      <c r="O90" s="2248"/>
      <c r="P90" s="1865"/>
      <c r="Q90" s="1648"/>
    </row>
    <row r="91" spans="1:17" ht="15" thickTop="1">
      <c r="A91" s="1535"/>
      <c r="B91" s="1682" t="s">
        <v>2156</v>
      </c>
      <c r="C91" s="559" t="s">
        <v>2069</v>
      </c>
      <c r="D91" s="559" t="s">
        <v>2070</v>
      </c>
      <c r="E91" s="559" t="s">
        <v>2071</v>
      </c>
      <c r="F91" s="559" t="s">
        <v>2072</v>
      </c>
      <c r="G91" s="559" t="s">
        <v>2073</v>
      </c>
      <c r="H91" s="1683"/>
      <c r="I91" s="1683"/>
      <c r="J91" s="1683"/>
      <c r="K91" s="418"/>
      <c r="L91" s="418"/>
      <c r="M91" s="1684"/>
      <c r="N91" s="2709"/>
      <c r="O91" s="2709"/>
      <c r="P91" s="1865"/>
      <c r="Q91" s="1648"/>
    </row>
    <row r="92" spans="1:17" ht="14.4" thickBot="1">
      <c r="A92" s="1535"/>
      <c r="B92" s="1685"/>
      <c r="C92" s="1686">
        <v>100</v>
      </c>
      <c r="D92" s="1686">
        <f>C92-$K19</f>
        <v>100</v>
      </c>
      <c r="E92" s="1686">
        <f>D92-$K19</f>
        <v>100</v>
      </c>
      <c r="F92" s="1686">
        <f>E92-$K19</f>
        <v>100</v>
      </c>
      <c r="G92" s="1686">
        <f>F92-$K19</f>
        <v>100</v>
      </c>
      <c r="H92" s="1686"/>
      <c r="I92" s="1686"/>
      <c r="J92" s="1686"/>
      <c r="K92" s="1686"/>
      <c r="L92" s="1686"/>
      <c r="M92" s="1687"/>
      <c r="N92" s="2248"/>
      <c r="O92" s="2248"/>
      <c r="P92" s="1865"/>
      <c r="Q92" s="1648"/>
    </row>
    <row r="93" spans="1:17" ht="15" thickTop="1">
      <c r="A93" s="1535"/>
      <c r="B93" s="1682" t="s">
        <v>2074</v>
      </c>
      <c r="C93" s="559" t="s">
        <v>2069</v>
      </c>
      <c r="D93" s="559" t="s">
        <v>2070</v>
      </c>
      <c r="E93" s="559" t="s">
        <v>2071</v>
      </c>
      <c r="F93" s="559" t="s">
        <v>2072</v>
      </c>
      <c r="G93" s="559" t="s">
        <v>2073</v>
      </c>
      <c r="H93" s="1683"/>
      <c r="I93" s="1683"/>
      <c r="J93" s="1683"/>
      <c r="K93" s="418"/>
      <c r="L93" s="418"/>
      <c r="M93" s="1684"/>
      <c r="N93" s="2709"/>
      <c r="O93" s="2709"/>
      <c r="P93" s="1865"/>
      <c r="Q93" s="1648"/>
    </row>
    <row r="94" spans="1:17" ht="14.4" thickBot="1">
      <c r="A94" s="1535"/>
      <c r="B94" s="1685"/>
      <c r="C94" s="1686">
        <v>100</v>
      </c>
      <c r="D94" s="1686">
        <f>C94-$K21</f>
        <v>100</v>
      </c>
      <c r="E94" s="1686">
        <f>D94-$K21</f>
        <v>100</v>
      </c>
      <c r="F94" s="1686">
        <f>E94-$K21</f>
        <v>100</v>
      </c>
      <c r="G94" s="1686">
        <f>F94-$K21</f>
        <v>100</v>
      </c>
      <c r="H94" s="1686"/>
      <c r="I94" s="1686"/>
      <c r="J94" s="1686"/>
      <c r="K94" s="1686"/>
      <c r="L94" s="1686"/>
      <c r="M94" s="1687"/>
      <c r="N94" s="2248"/>
      <c r="O94" s="2248"/>
      <c r="P94" s="1865"/>
      <c r="Q94" s="1648"/>
    </row>
    <row r="95" spans="1:17" s="1520" customFormat="1" ht="29.4" thickTop="1">
      <c r="A95" s="1538"/>
      <c r="B95" s="1682" t="s">
        <v>2238</v>
      </c>
      <c r="C95" s="559" t="s">
        <v>2069</v>
      </c>
      <c r="D95" s="559" t="s">
        <v>2070</v>
      </c>
      <c r="E95" s="559" t="s">
        <v>2071</v>
      </c>
      <c r="F95" s="559" t="s">
        <v>2072</v>
      </c>
      <c r="G95" s="559" t="s">
        <v>2073</v>
      </c>
      <c r="H95" s="559"/>
      <c r="I95" s="559"/>
      <c r="J95" s="559"/>
      <c r="K95" s="559"/>
      <c r="L95" s="559"/>
      <c r="M95" s="1867"/>
      <c r="N95" s="1865"/>
      <c r="O95" s="1865"/>
      <c r="P95" s="1865"/>
      <c r="Q95" s="1648"/>
    </row>
    <row r="96" spans="1:17" s="1520" customFormat="1" ht="14.4" thickBot="1">
      <c r="A96" s="1538"/>
      <c r="B96" s="1685"/>
      <c r="C96" s="1714">
        <v>100</v>
      </c>
      <c r="D96" s="1686">
        <f>C96-$K23</f>
        <v>100</v>
      </c>
      <c r="E96" s="1686">
        <f>D96-$K23</f>
        <v>100</v>
      </c>
      <c r="F96" s="1686">
        <f>E96-$K23</f>
        <v>100</v>
      </c>
      <c r="G96" s="1686">
        <f>F96-$K23</f>
        <v>100</v>
      </c>
      <c r="H96" s="1686"/>
      <c r="I96" s="1686"/>
      <c r="J96" s="1686"/>
      <c r="K96" s="1686"/>
      <c r="L96" s="1686"/>
      <c r="M96" s="1687"/>
      <c r="N96" s="2248"/>
      <c r="O96" s="2248"/>
      <c r="P96" s="1865"/>
      <c r="Q96" s="1648"/>
    </row>
    <row r="97" spans="1:17" s="1520" customFormat="1" ht="29.4" thickTop="1">
      <c r="A97" s="1538"/>
      <c r="B97" s="1682" t="s">
        <v>2239</v>
      </c>
      <c r="C97" s="1709" t="s">
        <v>2069</v>
      </c>
      <c r="D97" s="1709" t="s">
        <v>2070</v>
      </c>
      <c r="E97" s="1709" t="s">
        <v>2071</v>
      </c>
      <c r="F97" s="1709" t="s">
        <v>2072</v>
      </c>
      <c r="G97" s="1709" t="s">
        <v>2073</v>
      </c>
      <c r="H97" s="559"/>
      <c r="I97" s="559"/>
      <c r="J97" s="559"/>
      <c r="K97" s="559"/>
      <c r="L97" s="559"/>
      <c r="M97" s="1867"/>
      <c r="N97" s="1865"/>
      <c r="O97" s="1865"/>
      <c r="P97" s="1865"/>
      <c r="Q97" s="1648"/>
    </row>
    <row r="98" spans="1:17" s="1520" customFormat="1" ht="14.4" thickBot="1">
      <c r="A98" s="1538"/>
      <c r="B98" s="1685"/>
      <c r="C98" s="1686">
        <v>100</v>
      </c>
      <c r="D98" s="1686">
        <f>C98-$K25</f>
        <v>100</v>
      </c>
      <c r="E98" s="1686">
        <f>D98-$K25</f>
        <v>100</v>
      </c>
      <c r="F98" s="1686">
        <f>E98-$K25</f>
        <v>100</v>
      </c>
      <c r="G98" s="1686">
        <f>F98-$K25</f>
        <v>100</v>
      </c>
      <c r="H98" s="1686"/>
      <c r="I98" s="1686"/>
      <c r="J98" s="1686"/>
      <c r="K98" s="1686"/>
      <c r="L98" s="1686"/>
      <c r="M98" s="1687"/>
      <c r="N98" s="2248"/>
      <c r="O98" s="2248"/>
      <c r="P98" s="1865"/>
      <c r="Q98" s="1648"/>
    </row>
    <row r="99" spans="1:17" s="1520" customFormat="1" ht="15" thickTop="1">
      <c r="A99" s="1538"/>
      <c r="B99" s="1688" t="s">
        <v>2117</v>
      </c>
      <c r="C99" s="1709" t="s">
        <v>2069</v>
      </c>
      <c r="D99" s="1709" t="s">
        <v>2070</v>
      </c>
      <c r="E99" s="1709" t="s">
        <v>2071</v>
      </c>
      <c r="F99" s="1709" t="s">
        <v>2072</v>
      </c>
      <c r="G99" s="1709" t="s">
        <v>2073</v>
      </c>
      <c r="H99" s="1683"/>
      <c r="I99" s="1683"/>
      <c r="J99" s="1683"/>
      <c r="K99" s="1683"/>
      <c r="L99" s="1683"/>
      <c r="M99" s="1711"/>
      <c r="N99" s="2248"/>
      <c r="O99" s="2248"/>
      <c r="P99" s="1865"/>
      <c r="Q99" s="1648"/>
    </row>
    <row r="100" spans="1:17" s="1520" customFormat="1" ht="14.4" thickBot="1">
      <c r="A100" s="1538"/>
      <c r="B100" s="1688"/>
      <c r="C100" s="1686">
        <v>100</v>
      </c>
      <c r="D100" s="1686">
        <f>C100-$K27</f>
        <v>100</v>
      </c>
      <c r="E100" s="1686">
        <f>D100-$K27</f>
        <v>100</v>
      </c>
      <c r="F100" s="1686">
        <f>E100-$K27</f>
        <v>100</v>
      </c>
      <c r="G100" s="1686">
        <f>F100-$K27</f>
        <v>100</v>
      </c>
      <c r="H100" s="1712"/>
      <c r="I100" s="1712"/>
      <c r="J100" s="1712"/>
      <c r="K100" s="1712"/>
      <c r="L100" s="1712"/>
      <c r="M100" s="1567"/>
      <c r="N100" s="2248"/>
      <c r="O100" s="2248"/>
      <c r="P100" s="1865"/>
      <c r="Q100" s="1648"/>
    </row>
    <row r="101" spans="1:17" s="1601" customFormat="1" ht="15" thickTop="1">
      <c r="A101" s="1693"/>
      <c r="B101" s="1682" t="s">
        <v>2118</v>
      </c>
      <c r="C101" s="1683" t="s">
        <v>2076</v>
      </c>
      <c r="D101" s="1683" t="s">
        <v>2077</v>
      </c>
      <c r="E101" s="1683" t="s">
        <v>2078</v>
      </c>
      <c r="F101" s="1683" t="s">
        <v>2079</v>
      </c>
      <c r="G101" s="1683" t="s">
        <v>2080</v>
      </c>
      <c r="H101" s="475"/>
      <c r="I101" s="475"/>
      <c r="J101" s="475"/>
      <c r="K101" s="475"/>
      <c r="L101" s="475"/>
      <c r="M101" s="1724"/>
      <c r="N101" s="1866"/>
      <c r="O101" s="1866"/>
      <c r="P101" s="1866"/>
      <c r="Q101" s="1697"/>
    </row>
    <row r="102" spans="1:17" s="1601" customFormat="1" ht="14.4" thickBot="1">
      <c r="A102" s="1693"/>
      <c r="B102" s="1685"/>
      <c r="C102" s="1686">
        <v>100</v>
      </c>
      <c r="D102" s="1686">
        <f>C102-$K29</f>
        <v>100</v>
      </c>
      <c r="E102" s="1686">
        <f>D102-$K29</f>
        <v>100</v>
      </c>
      <c r="F102" s="1686">
        <f>E102-$K29</f>
        <v>100</v>
      </c>
      <c r="G102" s="1686">
        <f>F102-$K29</f>
        <v>100</v>
      </c>
      <c r="H102" s="1726"/>
      <c r="I102" s="1726"/>
      <c r="J102" s="1726"/>
      <c r="K102" s="1726"/>
      <c r="L102" s="1726"/>
      <c r="M102" s="1727"/>
      <c r="N102" s="1866"/>
      <c r="O102" s="1866"/>
      <c r="P102" s="1866"/>
      <c r="Q102" s="1697"/>
    </row>
    <row r="103" spans="1:17" ht="15" thickTop="1">
      <c r="A103" s="1535"/>
      <c r="B103" s="1682" t="str">
        <f>B31</f>
        <v>临街状况</v>
      </c>
      <c r="C103" s="1683" t="s">
        <v>2240</v>
      </c>
      <c r="D103" s="1683" t="s">
        <v>2241</v>
      </c>
      <c r="E103" s="1683" t="s">
        <v>2242</v>
      </c>
      <c r="F103" s="1683" t="s">
        <v>2243</v>
      </c>
      <c r="G103" s="1683"/>
      <c r="H103" s="1683"/>
      <c r="I103" s="1683"/>
      <c r="J103" s="1683"/>
      <c r="K103" s="418"/>
      <c r="L103" s="418"/>
      <c r="M103" s="1684"/>
      <c r="N103" s="2709"/>
      <c r="O103" s="2709"/>
      <c r="P103" s="1865"/>
      <c r="Q103" s="1648"/>
    </row>
    <row r="104" spans="1:17" ht="14.4" thickBot="1">
      <c r="A104" s="1535"/>
      <c r="B104" s="1685"/>
      <c r="C104" s="1686">
        <v>100</v>
      </c>
      <c r="D104" s="1686">
        <f t="shared" ref="D104:M104" si="22">C104-$K31</f>
        <v>100</v>
      </c>
      <c r="E104" s="1686">
        <f t="shared" si="22"/>
        <v>100</v>
      </c>
      <c r="F104" s="1686">
        <f t="shared" si="22"/>
        <v>100</v>
      </c>
      <c r="G104" s="1686">
        <f t="shared" si="22"/>
        <v>100</v>
      </c>
      <c r="H104" s="1686">
        <f t="shared" si="22"/>
        <v>100</v>
      </c>
      <c r="I104" s="1686">
        <f t="shared" si="22"/>
        <v>100</v>
      </c>
      <c r="J104" s="1686">
        <f t="shared" si="22"/>
        <v>100</v>
      </c>
      <c r="K104" s="1686">
        <f t="shared" si="22"/>
        <v>100</v>
      </c>
      <c r="L104" s="1686">
        <f t="shared" si="22"/>
        <v>100</v>
      </c>
      <c r="M104" s="1686">
        <f t="shared" si="22"/>
        <v>100</v>
      </c>
      <c r="N104" s="2248"/>
      <c r="O104" s="2248"/>
      <c r="P104" s="1865"/>
      <c r="Q104" s="1648"/>
    </row>
    <row r="105" spans="1:17" ht="29.4" thickTop="1">
      <c r="A105" s="1535"/>
      <c r="B105" s="1682" t="s">
        <v>2149</v>
      </c>
      <c r="C105" s="456"/>
      <c r="D105" s="456"/>
      <c r="E105" s="456"/>
      <c r="F105" s="456"/>
      <c r="G105" s="456"/>
      <c r="H105" s="1417"/>
      <c r="I105" s="1417"/>
      <c r="J105" s="1417"/>
      <c r="K105" s="461"/>
      <c r="L105" s="461"/>
      <c r="M105" s="1716"/>
      <c r="N105" s="2709"/>
      <c r="O105" s="2709"/>
      <c r="P105" s="1865"/>
      <c r="Q105" s="1648"/>
    </row>
    <row r="106" spans="1:17" ht="14.4" thickBot="1">
      <c r="A106" s="1535"/>
      <c r="B106" s="1685"/>
      <c r="C106" s="1686">
        <v>100</v>
      </c>
      <c r="D106" s="1686">
        <f t="shared" ref="D106:M106" si="23">C106-$K32</f>
        <v>100</v>
      </c>
      <c r="E106" s="1686">
        <f t="shared" si="23"/>
        <v>100</v>
      </c>
      <c r="F106" s="1686">
        <f t="shared" si="23"/>
        <v>100</v>
      </c>
      <c r="G106" s="1686">
        <f t="shared" si="23"/>
        <v>100</v>
      </c>
      <c r="H106" s="1686">
        <f t="shared" si="23"/>
        <v>100</v>
      </c>
      <c r="I106" s="1686">
        <f t="shared" si="23"/>
        <v>100</v>
      </c>
      <c r="J106" s="1686">
        <f t="shared" si="23"/>
        <v>100</v>
      </c>
      <c r="K106" s="1686">
        <f t="shared" si="23"/>
        <v>100</v>
      </c>
      <c r="L106" s="1686">
        <f t="shared" si="23"/>
        <v>100</v>
      </c>
      <c r="M106" s="1686">
        <f t="shared" si="23"/>
        <v>100</v>
      </c>
      <c r="N106" s="2248"/>
      <c r="O106" s="2248"/>
      <c r="P106" s="1865"/>
      <c r="Q106" s="1648"/>
    </row>
    <row r="107" spans="1:17" ht="15" thickTop="1">
      <c r="A107" s="1535"/>
      <c r="B107" s="1682" t="s">
        <v>2210</v>
      </c>
      <c r="C107" s="1417"/>
      <c r="D107" s="1417"/>
      <c r="E107" s="1417"/>
      <c r="F107" s="1417"/>
      <c r="G107" s="1417"/>
      <c r="H107" s="1417"/>
      <c r="I107" s="1417"/>
      <c r="J107" s="1417"/>
      <c r="K107" s="461"/>
      <c r="L107" s="461"/>
      <c r="M107" s="1716"/>
      <c r="N107" s="2709"/>
      <c r="O107" s="2709"/>
      <c r="P107" s="1865"/>
      <c r="Q107" s="1648"/>
    </row>
    <row r="108" spans="1:17" ht="14.4" thickBot="1">
      <c r="A108" s="1535"/>
      <c r="B108" s="1685"/>
      <c r="C108" s="1686">
        <v>100</v>
      </c>
      <c r="D108" s="1686">
        <f t="shared" ref="D108:M108" si="24">C108-$K34</f>
        <v>100</v>
      </c>
      <c r="E108" s="1686">
        <f t="shared" si="24"/>
        <v>100</v>
      </c>
      <c r="F108" s="1686">
        <f t="shared" si="24"/>
        <v>100</v>
      </c>
      <c r="G108" s="1686">
        <f t="shared" si="24"/>
        <v>100</v>
      </c>
      <c r="H108" s="1686">
        <f t="shared" si="24"/>
        <v>100</v>
      </c>
      <c r="I108" s="1686">
        <f t="shared" si="24"/>
        <v>100</v>
      </c>
      <c r="J108" s="1686">
        <f t="shared" si="24"/>
        <v>100</v>
      </c>
      <c r="K108" s="1686">
        <f t="shared" si="24"/>
        <v>100</v>
      </c>
      <c r="L108" s="1686">
        <f t="shared" si="24"/>
        <v>100</v>
      </c>
      <c r="M108" s="1686">
        <f t="shared" si="24"/>
        <v>100</v>
      </c>
      <c r="N108" s="2248"/>
      <c r="O108" s="2248"/>
      <c r="P108" s="1865"/>
      <c r="Q108" s="1648"/>
    </row>
    <row r="109" spans="1:17" ht="14.4" thickTop="1">
      <c r="A109" s="1535"/>
      <c r="B109" s="1688">
        <f>B35</f>
        <v>111</v>
      </c>
      <c r="C109" s="456"/>
      <c r="D109" s="456"/>
      <c r="E109" s="456"/>
      <c r="F109" s="456"/>
      <c r="G109" s="1717"/>
      <c r="H109" s="1717"/>
      <c r="I109" s="1717"/>
      <c r="J109" s="1717"/>
      <c r="K109" s="465"/>
      <c r="L109" s="465"/>
      <c r="M109" s="1718"/>
      <c r="N109" s="2709"/>
      <c r="O109" s="2709"/>
      <c r="P109" s="1865"/>
      <c r="Q109" s="1648"/>
    </row>
    <row r="110" spans="1:17" ht="14.4" thickBot="1">
      <c r="A110" s="1535"/>
      <c r="B110" s="1705"/>
      <c r="C110" s="1698"/>
      <c r="D110" s="1698"/>
      <c r="E110" s="1698"/>
      <c r="F110" s="1698"/>
      <c r="G110" s="1719"/>
      <c r="H110" s="1719"/>
      <c r="I110" s="1719"/>
      <c r="J110" s="1719"/>
      <c r="K110" s="1719"/>
      <c r="L110" s="1719"/>
      <c r="M110" s="1720"/>
      <c r="N110" s="2248"/>
      <c r="O110" s="2248"/>
      <c r="P110" s="1865"/>
      <c r="Q110" s="1648"/>
    </row>
    <row r="111" spans="1:17" ht="14.4" thickTop="1">
      <c r="A111" s="1809"/>
      <c r="B111" s="1682">
        <f>B36</f>
        <v>111</v>
      </c>
      <c r="C111" s="401"/>
      <c r="D111" s="401"/>
      <c r="E111" s="401"/>
      <c r="F111" s="401"/>
      <c r="G111" s="1417"/>
      <c r="H111" s="1417"/>
      <c r="I111" s="1417"/>
      <c r="J111" s="1417"/>
      <c r="K111" s="461"/>
      <c r="L111" s="461"/>
      <c r="M111" s="1716"/>
      <c r="N111" s="2709"/>
      <c r="O111" s="2709"/>
      <c r="P111" s="1865"/>
      <c r="Q111" s="1648"/>
    </row>
    <row r="112" spans="1:17" ht="14.4" thickBot="1">
      <c r="A112" s="1535"/>
      <c r="B112" s="1685"/>
      <c r="C112" s="1706"/>
      <c r="D112" s="1706"/>
      <c r="E112" s="1706"/>
      <c r="F112" s="1706"/>
      <c r="G112" s="1679"/>
      <c r="H112" s="1679"/>
      <c r="I112" s="1679"/>
      <c r="J112" s="1679"/>
      <c r="K112" s="1679"/>
      <c r="L112" s="1679"/>
      <c r="M112" s="1680"/>
      <c r="N112" s="2248"/>
      <c r="O112" s="2248"/>
      <c r="P112" s="1865"/>
      <c r="Q112" s="1648"/>
    </row>
    <row r="113" spans="1:17" s="1601" customFormat="1" ht="14.4" thickTop="1">
      <c r="A113" s="1595"/>
      <c r="B113" s="1721">
        <f>B37</f>
        <v>111</v>
      </c>
      <c r="C113" s="1722"/>
      <c r="D113" s="1722"/>
      <c r="E113" s="1722"/>
      <c r="F113" s="1722"/>
      <c r="G113" s="1722"/>
      <c r="H113" s="1722"/>
      <c r="I113" s="1722"/>
      <c r="J113" s="472"/>
      <c r="K113" s="472"/>
      <c r="L113" s="472"/>
      <c r="M113" s="1723"/>
      <c r="N113" s="1866"/>
      <c r="O113" s="1866"/>
      <c r="P113" s="1866"/>
      <c r="Q113" s="1697"/>
    </row>
    <row r="114" spans="1:17" s="1601" customFormat="1" ht="14.4" thickBot="1">
      <c r="A114" s="1693"/>
      <c r="B114" s="1688"/>
      <c r="C114" s="1658"/>
      <c r="D114" s="1868"/>
      <c r="E114" s="1868"/>
      <c r="F114" s="1868"/>
      <c r="G114" s="1868"/>
      <c r="H114" s="1868"/>
      <c r="I114" s="1868"/>
      <c r="J114" s="1868"/>
      <c r="K114" s="1868"/>
      <c r="L114" s="1868"/>
      <c r="M114" s="1869"/>
      <c r="N114" s="2248"/>
      <c r="O114" s="2248"/>
      <c r="P114" s="1866"/>
      <c r="Q114" s="1697"/>
    </row>
    <row r="115" spans="1:17" ht="14.4">
      <c r="A115" s="1550" t="s">
        <v>2035</v>
      </c>
      <c r="B115" s="1672" t="s">
        <v>2244</v>
      </c>
      <c r="C115" s="1183" t="str">
        <f t="shared" ref="C115:L115" si="25">C116&amp;"(含)"&amp;"-"&amp;D116</f>
        <v>(含)-</v>
      </c>
      <c r="D115" s="1183" t="str">
        <f t="shared" si="25"/>
        <v>(含)-</v>
      </c>
      <c r="E115" s="1183" t="str">
        <f t="shared" si="25"/>
        <v>(含)-</v>
      </c>
      <c r="F115" s="1183" t="str">
        <f t="shared" si="25"/>
        <v>(含)-</v>
      </c>
      <c r="G115" s="1183" t="str">
        <f t="shared" si="25"/>
        <v>(含)-</v>
      </c>
      <c r="H115" s="1183" t="str">
        <f t="shared" si="25"/>
        <v>(含)-</v>
      </c>
      <c r="I115" s="1183" t="str">
        <f t="shared" si="25"/>
        <v>(含)-</v>
      </c>
      <c r="J115" s="1183" t="str">
        <f t="shared" si="25"/>
        <v>(含)-</v>
      </c>
      <c r="K115" s="1183" t="str">
        <f t="shared" si="25"/>
        <v>(含)-</v>
      </c>
      <c r="L115" s="1183" t="str">
        <f t="shared" si="25"/>
        <v>(含)-</v>
      </c>
      <c r="M115" s="1870" t="str">
        <f>M116&amp;"(含)"&amp;"-"&amp;P116</f>
        <v>(含)-</v>
      </c>
      <c r="N115" s="2709"/>
      <c r="O115" s="2709"/>
      <c r="P115" s="1865"/>
      <c r="Q115" s="1648"/>
    </row>
    <row r="116" spans="1:17">
      <c r="A116" s="1535"/>
      <c r="B116" s="1688"/>
      <c r="C116" s="1722"/>
      <c r="D116" s="1722"/>
      <c r="E116" s="1722"/>
      <c r="F116" s="1722"/>
      <c r="G116" s="1722"/>
      <c r="H116" s="1722"/>
      <c r="I116" s="1722"/>
      <c r="J116" s="472"/>
      <c r="K116" s="472"/>
      <c r="L116" s="472"/>
      <c r="M116" s="1723"/>
      <c r="N116" s="2709"/>
      <c r="O116" s="2709"/>
      <c r="P116" s="1865"/>
      <c r="Q116" s="1648"/>
    </row>
    <row r="117" spans="1:17" ht="14.4" thickBot="1">
      <c r="A117" s="1535"/>
      <c r="B117" s="1685"/>
      <c r="C117" s="1706"/>
      <c r="D117" s="1719"/>
      <c r="E117" s="1719"/>
      <c r="F117" s="1719"/>
      <c r="G117" s="1719"/>
      <c r="H117" s="1719"/>
      <c r="I117" s="1719"/>
      <c r="J117" s="1719"/>
      <c r="K117" s="1719"/>
      <c r="L117" s="1719"/>
      <c r="M117" s="1720"/>
      <c r="N117" s="2248"/>
      <c r="O117" s="2248"/>
      <c r="P117" s="1865"/>
      <c r="Q117" s="1648"/>
    </row>
    <row r="118" spans="1:17" ht="15" thickTop="1">
      <c r="A118" s="1602"/>
      <c r="B118" s="1682" t="s">
        <v>2245</v>
      </c>
      <c r="C118" s="1417"/>
      <c r="D118" s="1417"/>
      <c r="E118" s="1417"/>
      <c r="F118" s="1417"/>
      <c r="G118" s="1417"/>
      <c r="H118" s="1417"/>
      <c r="I118" s="1417"/>
      <c r="J118" s="1417"/>
      <c r="K118" s="461"/>
      <c r="L118" s="461"/>
      <c r="M118" s="1716"/>
      <c r="N118" s="2709"/>
      <c r="O118" s="2709"/>
      <c r="P118" s="1865"/>
      <c r="Q118" s="1648"/>
    </row>
    <row r="119" spans="1:17" ht="14.4" thickBot="1">
      <c r="A119" s="1535"/>
      <c r="B119" s="1685"/>
      <c r="C119" s="1686">
        <v>100</v>
      </c>
      <c r="D119" s="1686">
        <f t="shared" ref="D119:M119" si="26">C119-$K39</f>
        <v>100</v>
      </c>
      <c r="E119" s="1686">
        <f t="shared" si="26"/>
        <v>100</v>
      </c>
      <c r="F119" s="1686">
        <f t="shared" si="26"/>
        <v>100</v>
      </c>
      <c r="G119" s="1686">
        <f t="shared" si="26"/>
        <v>100</v>
      </c>
      <c r="H119" s="1686">
        <f t="shared" si="26"/>
        <v>100</v>
      </c>
      <c r="I119" s="1686">
        <f t="shared" si="26"/>
        <v>100</v>
      </c>
      <c r="J119" s="1686">
        <f t="shared" si="26"/>
        <v>100</v>
      </c>
      <c r="K119" s="1686">
        <f t="shared" si="26"/>
        <v>100</v>
      </c>
      <c r="L119" s="1686">
        <f t="shared" si="26"/>
        <v>100</v>
      </c>
      <c r="M119" s="1687">
        <f t="shared" si="26"/>
        <v>100</v>
      </c>
      <c r="N119" s="2248"/>
      <c r="O119" s="2248"/>
      <c r="P119" s="1865"/>
      <c r="Q119" s="1648"/>
    </row>
    <row r="120" spans="1:17" ht="15" thickTop="1">
      <c r="A120" s="1602"/>
      <c r="B120" s="1682" t="s">
        <v>2246</v>
      </c>
      <c r="C120" s="456"/>
      <c r="D120" s="456"/>
      <c r="E120" s="456"/>
      <c r="F120" s="1417"/>
      <c r="G120" s="1417"/>
      <c r="H120" s="1417"/>
      <c r="I120" s="1417"/>
      <c r="J120" s="1417"/>
      <c r="K120" s="461"/>
      <c r="L120" s="461"/>
      <c r="M120" s="1716"/>
      <c r="N120" s="2709"/>
      <c r="O120" s="2709"/>
      <c r="P120" s="1865"/>
      <c r="Q120" s="1648"/>
    </row>
    <row r="121" spans="1:17" ht="14.4" thickBot="1">
      <c r="A121" s="1535"/>
      <c r="B121" s="1685"/>
      <c r="C121" s="1686">
        <v>100</v>
      </c>
      <c r="D121" s="1686">
        <f t="shared" ref="D121:M121" si="27">C121-$K40</f>
        <v>100</v>
      </c>
      <c r="E121" s="1686">
        <f t="shared" si="27"/>
        <v>100</v>
      </c>
      <c r="F121" s="1686">
        <f t="shared" si="27"/>
        <v>100</v>
      </c>
      <c r="G121" s="1686">
        <f t="shared" si="27"/>
        <v>100</v>
      </c>
      <c r="H121" s="1686">
        <f t="shared" si="27"/>
        <v>100</v>
      </c>
      <c r="I121" s="1686">
        <f t="shared" si="27"/>
        <v>100</v>
      </c>
      <c r="J121" s="1686">
        <f t="shared" si="27"/>
        <v>100</v>
      </c>
      <c r="K121" s="1686">
        <f t="shared" si="27"/>
        <v>100</v>
      </c>
      <c r="L121" s="1686">
        <f t="shared" si="27"/>
        <v>100</v>
      </c>
      <c r="M121" s="1687">
        <f t="shared" si="27"/>
        <v>100</v>
      </c>
      <c r="N121" s="2248"/>
      <c r="O121" s="2248"/>
      <c r="P121" s="1865"/>
      <c r="Q121" s="1648"/>
    </row>
    <row r="122" spans="1:17" s="1601" customFormat="1" ht="15" thickTop="1">
      <c r="A122" s="1595"/>
      <c r="B122" s="1682" t="s">
        <v>2247</v>
      </c>
      <c r="C122" s="456"/>
      <c r="D122" s="456"/>
      <c r="E122" s="456"/>
      <c r="F122" s="456"/>
      <c r="G122" s="456"/>
      <c r="H122" s="1417"/>
      <c r="I122" s="1417"/>
      <c r="J122" s="1417"/>
      <c r="K122" s="461"/>
      <c r="L122" s="461"/>
      <c r="M122" s="1716"/>
      <c r="N122" s="1866"/>
      <c r="O122" s="1866"/>
      <c r="P122" s="1866"/>
      <c r="Q122" s="1697"/>
    </row>
    <row r="123" spans="1:17" s="1601" customFormat="1" ht="14.4" thickBot="1">
      <c r="A123" s="1693"/>
      <c r="B123" s="1685"/>
      <c r="C123" s="1686">
        <v>100</v>
      </c>
      <c r="D123" s="1686">
        <f t="shared" ref="D123:M123" si="28">C123-$K41</f>
        <v>100</v>
      </c>
      <c r="E123" s="1686">
        <f t="shared" si="28"/>
        <v>100</v>
      </c>
      <c r="F123" s="1686">
        <f t="shared" si="28"/>
        <v>100</v>
      </c>
      <c r="G123" s="1686">
        <f t="shared" si="28"/>
        <v>100</v>
      </c>
      <c r="H123" s="1686">
        <f t="shared" si="28"/>
        <v>100</v>
      </c>
      <c r="I123" s="1686">
        <f t="shared" si="28"/>
        <v>100</v>
      </c>
      <c r="J123" s="1686">
        <f t="shared" si="28"/>
        <v>100</v>
      </c>
      <c r="K123" s="1686">
        <f t="shared" si="28"/>
        <v>100</v>
      </c>
      <c r="L123" s="1686">
        <f t="shared" si="28"/>
        <v>100</v>
      </c>
      <c r="M123" s="1687">
        <f t="shared" si="28"/>
        <v>100</v>
      </c>
      <c r="N123" s="1866"/>
      <c r="O123" s="1866"/>
      <c r="P123" s="1866"/>
      <c r="Q123" s="1697"/>
    </row>
    <row r="124" spans="1:17" ht="15" thickTop="1">
      <c r="A124" s="1602"/>
      <c r="B124" s="1682" t="s">
        <v>2248</v>
      </c>
      <c r="C124" s="456"/>
      <c r="D124" s="456"/>
      <c r="E124" s="1417"/>
      <c r="F124" s="1417"/>
      <c r="G124" s="1417"/>
      <c r="H124" s="1417"/>
      <c r="I124" s="1417"/>
      <c r="J124" s="1417"/>
      <c r="K124" s="461"/>
      <c r="L124" s="461"/>
      <c r="M124" s="1716"/>
      <c r="N124" s="2709"/>
      <c r="O124" s="2709"/>
      <c r="P124" s="1865"/>
      <c r="Q124" s="1648"/>
    </row>
    <row r="125" spans="1:17" ht="14.4" thickBot="1">
      <c r="A125" s="1535"/>
      <c r="B125" s="1685"/>
      <c r="C125" s="1686">
        <v>100</v>
      </c>
      <c r="D125" s="1686">
        <f t="shared" ref="D125:M125" si="29">C125-$K42</f>
        <v>100</v>
      </c>
      <c r="E125" s="1686">
        <f t="shared" si="29"/>
        <v>100</v>
      </c>
      <c r="F125" s="1686">
        <f t="shared" si="29"/>
        <v>100</v>
      </c>
      <c r="G125" s="1686">
        <f t="shared" si="29"/>
        <v>100</v>
      </c>
      <c r="H125" s="1686">
        <f t="shared" si="29"/>
        <v>100</v>
      </c>
      <c r="I125" s="1686">
        <f t="shared" si="29"/>
        <v>100</v>
      </c>
      <c r="J125" s="1686">
        <f t="shared" si="29"/>
        <v>100</v>
      </c>
      <c r="K125" s="1686">
        <f t="shared" si="29"/>
        <v>100</v>
      </c>
      <c r="L125" s="1686">
        <f t="shared" si="29"/>
        <v>100</v>
      </c>
      <c r="M125" s="1687">
        <f t="shared" si="29"/>
        <v>100</v>
      </c>
      <c r="N125" s="2248"/>
      <c r="O125" s="2248"/>
      <c r="P125" s="1865"/>
      <c r="Q125" s="1648"/>
    </row>
    <row r="126" spans="1:17" ht="14.4" thickTop="1">
      <c r="A126" s="1602"/>
      <c r="B126" s="1682">
        <f>B43</f>
        <v>111</v>
      </c>
      <c r="C126" s="456"/>
      <c r="D126" s="456"/>
      <c r="E126" s="456"/>
      <c r="F126" s="456"/>
      <c r="G126" s="456"/>
      <c r="H126" s="1417"/>
      <c r="I126" s="1417"/>
      <c r="J126" s="1417"/>
      <c r="K126" s="461"/>
      <c r="L126" s="461"/>
      <c r="M126" s="1716"/>
      <c r="N126" s="2709"/>
      <c r="O126" s="2709"/>
      <c r="P126" s="1865"/>
      <c r="Q126" s="1648"/>
    </row>
    <row r="127" spans="1:17" ht="14.4" thickBot="1">
      <c r="A127" s="1535"/>
      <c r="B127" s="1685"/>
      <c r="C127" s="1698"/>
      <c r="D127" s="1698"/>
      <c r="E127" s="1698"/>
      <c r="F127" s="1698"/>
      <c r="G127" s="1679"/>
      <c r="H127" s="1679"/>
      <c r="I127" s="1679"/>
      <c r="J127" s="1679"/>
      <c r="K127" s="1679"/>
      <c r="L127" s="1679"/>
      <c r="M127" s="1680"/>
      <c r="N127" s="2248"/>
      <c r="O127" s="2248"/>
      <c r="P127" s="1865"/>
      <c r="Q127" s="1648"/>
    </row>
    <row r="128" spans="1:17" ht="14.4" thickTop="1">
      <c r="A128" s="1602"/>
      <c r="B128" s="1682">
        <f>B44</f>
        <v>111</v>
      </c>
      <c r="C128" s="401"/>
      <c r="D128" s="401"/>
      <c r="E128" s="401"/>
      <c r="F128" s="401"/>
      <c r="G128" s="1417"/>
      <c r="H128" s="1417"/>
      <c r="I128" s="1417"/>
      <c r="J128" s="1417"/>
      <c r="K128" s="461"/>
      <c r="L128" s="461"/>
      <c r="M128" s="1716"/>
      <c r="N128" s="2709"/>
      <c r="O128" s="2709"/>
      <c r="P128" s="1865"/>
      <c r="Q128" s="1648"/>
    </row>
    <row r="129" spans="1:17" ht="14.4" thickBot="1">
      <c r="A129" s="1535"/>
      <c r="B129" s="1685"/>
      <c r="C129" s="1706"/>
      <c r="D129" s="1706"/>
      <c r="E129" s="1706"/>
      <c r="F129" s="1706"/>
      <c r="G129" s="1679"/>
      <c r="H129" s="1679"/>
      <c r="I129" s="1679"/>
      <c r="J129" s="1679"/>
      <c r="K129" s="1679"/>
      <c r="L129" s="1679"/>
      <c r="M129" s="1680"/>
      <c r="N129" s="2248"/>
      <c r="O129" s="2248"/>
      <c r="P129" s="1865"/>
      <c r="Q129" s="1648"/>
    </row>
    <row r="130" spans="1:17" s="1601" customFormat="1" ht="14.4" thickTop="1">
      <c r="A130" s="1595"/>
      <c r="B130" s="1682">
        <f>B45</f>
        <v>111</v>
      </c>
      <c r="C130" s="401"/>
      <c r="D130" s="401"/>
      <c r="E130" s="401"/>
      <c r="F130" s="401"/>
      <c r="G130" s="433"/>
      <c r="H130" s="433"/>
      <c r="I130" s="433"/>
      <c r="J130" s="433"/>
      <c r="K130" s="433"/>
      <c r="L130" s="433"/>
      <c r="M130" s="1694"/>
      <c r="N130" s="1866"/>
      <c r="O130" s="1866"/>
      <c r="P130" s="1866"/>
      <c r="Q130" s="1697"/>
    </row>
    <row r="131" spans="1:17" s="1601" customFormat="1" ht="14.4" thickBot="1">
      <c r="A131" s="1704"/>
      <c r="B131" s="1871"/>
      <c r="C131" s="1706"/>
      <c r="D131" s="1706"/>
      <c r="E131" s="1706"/>
      <c r="F131" s="1706"/>
      <c r="G131" s="1719"/>
      <c r="H131" s="1719"/>
      <c r="I131" s="1719"/>
      <c r="J131" s="1719"/>
      <c r="K131" s="1719"/>
      <c r="L131" s="1719"/>
      <c r="M131" s="1720"/>
      <c r="N131" s="1866"/>
      <c r="O131" s="1866"/>
      <c r="P131" s="1866"/>
      <c r="Q131" s="169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3.8"/>
  <cols>
    <col min="1" max="1" width="11.8867187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287" customFormat="1" ht="28.5" customHeight="1">
      <c r="A1" s="284" t="s">
        <v>2202</v>
      </c>
      <c r="B1" s="285"/>
      <c r="C1" s="286" t="s">
        <v>2249</v>
      </c>
      <c r="D1" s="590"/>
      <c r="E1" s="590"/>
      <c r="F1" s="589" t="s">
        <v>2004</v>
      </c>
      <c r="G1" s="590"/>
      <c r="H1" s="590"/>
      <c r="I1" s="590"/>
      <c r="J1" s="590"/>
      <c r="K1" s="591"/>
      <c r="L1" s="592"/>
      <c r="M1" s="593"/>
      <c r="N1" s="593"/>
      <c r="O1" s="593"/>
      <c r="P1" s="286"/>
      <c r="Q1" s="286"/>
      <c r="R1" s="286"/>
      <c r="S1" s="286"/>
      <c r="T1" s="286"/>
      <c r="U1" s="286"/>
      <c r="V1" s="286"/>
      <c r="W1" s="286"/>
      <c r="X1" s="286"/>
      <c r="Y1" s="286"/>
      <c r="Z1" s="286"/>
      <c r="AA1" s="286"/>
      <c r="AB1" s="286"/>
      <c r="AC1" s="600"/>
    </row>
    <row r="2" spans="1:29" s="287" customFormat="1" ht="28.5" customHeight="1">
      <c r="A2" s="77" t="s">
        <v>1674</v>
      </c>
      <c r="B2" s="532" t="e">
        <f>F60</f>
        <v>#DIV/0!</v>
      </c>
      <c r="C2" s="588" t="s">
        <v>2204</v>
      </c>
      <c r="D2" s="2711"/>
      <c r="E2" s="2711"/>
      <c r="F2" s="2714"/>
      <c r="G2" s="2711"/>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ROUND(B2/'数据-取费表'!B5,0)</f>
        <v>#DIV/0!</v>
      </c>
      <c r="C3" s="588" t="s">
        <v>2205</v>
      </c>
      <c r="D3" s="2711"/>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89" t="s">
        <v>2007</v>
      </c>
      <c r="D4" s="3390"/>
      <c r="E4" s="3391" t="s">
        <v>2008</v>
      </c>
      <c r="F4" s="3392"/>
      <c r="G4" s="3389" t="s">
        <v>2009</v>
      </c>
      <c r="H4" s="3390"/>
      <c r="I4" s="3389" t="s">
        <v>2010</v>
      </c>
      <c r="J4" s="3390"/>
      <c r="K4" s="482" t="s">
        <v>2011</v>
      </c>
      <c r="L4" s="2716"/>
      <c r="P4" s="3393" t="s">
        <v>2012</v>
      </c>
      <c r="Q4" s="3394"/>
      <c r="R4" s="3376" t="s">
        <v>2008</v>
      </c>
      <c r="S4" s="3377"/>
      <c r="T4" s="3376" t="s">
        <v>2009</v>
      </c>
      <c r="U4" s="3377"/>
      <c r="V4" s="3367" t="s">
        <v>2010</v>
      </c>
      <c r="W4" s="3367"/>
      <c r="X4" s="1202"/>
      <c r="Y4" s="3376" t="s">
        <v>2012</v>
      </c>
      <c r="Z4" s="3377"/>
      <c r="AA4" s="3386" t="s">
        <v>2008</v>
      </c>
      <c r="AB4" s="3387" t="s">
        <v>2009</v>
      </c>
      <c r="AC4" s="3386" t="s">
        <v>2010</v>
      </c>
    </row>
    <row r="5" spans="1:29">
      <c r="A5" s="293"/>
      <c r="B5" s="294"/>
      <c r="C5" s="3401" t="s">
        <v>2013</v>
      </c>
      <c r="D5" s="3402"/>
      <c r="E5" s="3399" t="s">
        <v>2014</v>
      </c>
      <c r="F5" s="3400"/>
      <c r="G5" s="3401" t="s">
        <v>2015</v>
      </c>
      <c r="H5" s="3402"/>
      <c r="I5" s="3401" t="s">
        <v>2016</v>
      </c>
      <c r="J5" s="3402"/>
      <c r="K5" s="482"/>
      <c r="L5" s="2716"/>
      <c r="P5" s="3395"/>
      <c r="Q5" s="3396"/>
      <c r="R5" s="3378"/>
      <c r="S5" s="3379"/>
      <c r="T5" s="3378"/>
      <c r="U5" s="3379"/>
      <c r="V5" s="3367"/>
      <c r="W5" s="3367"/>
      <c r="X5" s="1202"/>
      <c r="Y5" s="3378"/>
      <c r="Z5" s="3379"/>
      <c r="AA5" s="3387"/>
      <c r="AB5" s="3387"/>
      <c r="AC5" s="3387"/>
    </row>
    <row r="6" spans="1:29" ht="15" thickBot="1">
      <c r="A6" s="295"/>
      <c r="B6" s="296"/>
      <c r="C6" s="3403" t="s">
        <v>2017</v>
      </c>
      <c r="D6" s="3404"/>
      <c r="E6" s="3405" t="s">
        <v>2017</v>
      </c>
      <c r="F6" s="3406"/>
      <c r="G6" s="3403" t="s">
        <v>2017</v>
      </c>
      <c r="H6" s="3404"/>
      <c r="I6" s="3403" t="s">
        <v>2017</v>
      </c>
      <c r="J6" s="3404"/>
      <c r="K6" s="482" t="s">
        <v>2018</v>
      </c>
      <c r="L6" s="2716"/>
      <c r="P6" s="3397"/>
      <c r="Q6" s="3398"/>
      <c r="R6" s="3378"/>
      <c r="S6" s="3379"/>
      <c r="T6" s="3380"/>
      <c r="U6" s="3381"/>
      <c r="V6" s="3367"/>
      <c r="W6" s="3367"/>
      <c r="X6" s="1202"/>
      <c r="Y6" s="3380"/>
      <c r="Z6" s="3381"/>
      <c r="AA6" s="3388"/>
      <c r="AB6" s="3388"/>
      <c r="AC6" s="3388"/>
    </row>
    <row r="7" spans="1:29" s="24" customFormat="1" ht="15" thickBot="1">
      <c r="A7" s="297" t="s">
        <v>2019</v>
      </c>
      <c r="B7" s="298"/>
      <c r="C7" s="299">
        <f>'数据-取费表'!B2</f>
        <v>44901</v>
      </c>
      <c r="D7" s="300">
        <v>100</v>
      </c>
      <c r="E7" s="301"/>
      <c r="F7" s="302">
        <f>SUMIF(64:64,YEAR(E7)&amp;"-"&amp;INT((MONTH(E7)+2)/3),65:65)</f>
        <v>0</v>
      </c>
      <c r="G7" s="1414"/>
      <c r="H7" s="300">
        <f>SUMIF(64:64,YEAR(G7)&amp;"-"&amp;INT((MONTH(G7)+2)/3),65:65)</f>
        <v>0</v>
      </c>
      <c r="I7" s="1414"/>
      <c r="J7" s="300">
        <f>SUMIF(64:64,YEAR(I7)&amp;"-"&amp;INT((MONTH(I7)+2)/3),65:65)</f>
        <v>0</v>
      </c>
      <c r="K7" s="483"/>
      <c r="L7" s="2717"/>
      <c r="P7" s="3374" t="s">
        <v>2020</v>
      </c>
      <c r="Q7" s="3382"/>
      <c r="R7" s="601" t="s">
        <v>25</v>
      </c>
      <c r="S7" s="602">
        <f t="shared" ref="S7:S15" si="0">F7</f>
        <v>0</v>
      </c>
      <c r="T7" s="601" t="s">
        <v>25</v>
      </c>
      <c r="U7" s="602">
        <f t="shared" ref="U7:U15" si="1">H7</f>
        <v>0</v>
      </c>
      <c r="V7" s="601" t="s">
        <v>25</v>
      </c>
      <c r="W7" s="602">
        <f t="shared" ref="W7:W15" si="2">J7</f>
        <v>0</v>
      </c>
      <c r="X7" s="603"/>
      <c r="Y7" s="3374" t="s">
        <v>2020</v>
      </c>
      <c r="Z7" s="3375"/>
      <c r="AA7" s="18" t="e">
        <f>D7/F7</f>
        <v>#DIV/0!</v>
      </c>
      <c r="AB7" s="18" t="e">
        <f>D7/H7</f>
        <v>#DIV/0!</v>
      </c>
      <c r="AC7" s="18" t="e">
        <f>D7/J7</f>
        <v>#DIV/0!</v>
      </c>
    </row>
    <row r="8" spans="1:29" s="24" customFormat="1" ht="15" thickBot="1">
      <c r="A8" s="297" t="s">
        <v>2021</v>
      </c>
      <c r="B8" s="298"/>
      <c r="C8" s="303" t="s">
        <v>2206</v>
      </c>
      <c r="D8" s="300">
        <v>100</v>
      </c>
      <c r="E8" s="303"/>
      <c r="F8" s="302">
        <f>SUMIF(67:67,E8,68:68)-SUMIF(67:67,C8,68:68)+100</f>
        <v>0</v>
      </c>
      <c r="G8" s="303"/>
      <c r="H8" s="300">
        <f>SUMIF(67:67,G8,68:68)-SUMIF(67:67,C8,68:68)+100</f>
        <v>0</v>
      </c>
      <c r="I8" s="303"/>
      <c r="J8" s="300">
        <f>SUMIF(67:67,I8,68:68)-SUMIF(67:67,C8,68:68)+100</f>
        <v>0</v>
      </c>
      <c r="K8" s="483"/>
      <c r="L8" s="2717"/>
      <c r="P8" s="3374" t="s">
        <v>2023</v>
      </c>
      <c r="Q8" s="3375"/>
      <c r="R8" s="601" t="s">
        <v>25</v>
      </c>
      <c r="S8" s="602">
        <f t="shared" si="0"/>
        <v>0</v>
      </c>
      <c r="T8" s="601" t="s">
        <v>25</v>
      </c>
      <c r="U8" s="602">
        <f t="shared" si="1"/>
        <v>0</v>
      </c>
      <c r="V8" s="601" t="s">
        <v>25</v>
      </c>
      <c r="W8" s="602">
        <f t="shared" si="2"/>
        <v>0</v>
      </c>
      <c r="X8" s="603"/>
      <c r="Y8" s="3374" t="s">
        <v>2023</v>
      </c>
      <c r="Z8" s="3375"/>
      <c r="AA8" s="18" t="e">
        <f t="shared" ref="AA8:AA40" si="3">D8/F8</f>
        <v>#DIV/0!</v>
      </c>
      <c r="AB8" s="18" t="e">
        <f t="shared" ref="AB8:AB40" si="4">D8/H8</f>
        <v>#DIV/0!</v>
      </c>
      <c r="AC8" s="18" t="e">
        <f t="shared" ref="AC8:AC40" si="5">D8/J8</f>
        <v>#DIV/0!</v>
      </c>
    </row>
    <row r="9" spans="1:29" s="24" customFormat="1" ht="14.4">
      <c r="A9" s="304" t="s">
        <v>2024</v>
      </c>
      <c r="B9" s="23" t="s">
        <v>2025</v>
      </c>
      <c r="C9" s="1425" t="s">
        <v>2250</v>
      </c>
      <c r="D9" s="22">
        <v>100</v>
      </c>
      <c r="E9" s="1425"/>
      <c r="F9" s="22">
        <f>SUMIF(69:69,E9,70:70)-SUMIF(69:69,C9,70:70)+100</f>
        <v>100</v>
      </c>
      <c r="G9" s="1425"/>
      <c r="H9" s="22">
        <f>SUMIF(69:69,G9,70:70)-SUMIF(69:69,C9,70:70)+100</f>
        <v>100</v>
      </c>
      <c r="I9" s="1425"/>
      <c r="J9" s="22">
        <f>SUMIF(69:69,I9,70:70)-SUMIF(69:69,C9,70:70)+100</f>
        <v>100</v>
      </c>
      <c r="K9" s="483"/>
      <c r="L9" s="2717"/>
      <c r="O9" s="2718"/>
      <c r="P9" s="3366" t="s">
        <v>2026</v>
      </c>
      <c r="Q9" s="477" t="str">
        <f t="shared" ref="Q9:Q15" si="6">B9</f>
        <v>用途</v>
      </c>
      <c r="R9" s="601" t="s">
        <v>25</v>
      </c>
      <c r="S9" s="602">
        <f t="shared" si="0"/>
        <v>100</v>
      </c>
      <c r="T9" s="601" t="s">
        <v>25</v>
      </c>
      <c r="U9" s="602">
        <f t="shared" si="1"/>
        <v>100</v>
      </c>
      <c r="V9" s="601" t="s">
        <v>25</v>
      </c>
      <c r="W9" s="602">
        <f t="shared" si="2"/>
        <v>100</v>
      </c>
      <c r="X9" s="603"/>
      <c r="Y9" s="3385" t="s">
        <v>2027</v>
      </c>
      <c r="Z9" s="18" t="str">
        <f t="shared" ref="Z9:Z15" si="7">Q9</f>
        <v>用途</v>
      </c>
      <c r="AA9" s="18">
        <f t="shared" si="3"/>
        <v>1</v>
      </c>
      <c r="AB9" s="18">
        <f t="shared" si="4"/>
        <v>1</v>
      </c>
      <c r="AC9" s="18">
        <f t="shared" si="5"/>
        <v>1</v>
      </c>
    </row>
    <row r="10" spans="1:29" s="312" customFormat="1" ht="28.8">
      <c r="A10" s="308"/>
      <c r="B10" s="309" t="s">
        <v>2028</v>
      </c>
      <c r="C10" s="317"/>
      <c r="D10" s="25">
        <v>100</v>
      </c>
      <c r="E10" s="317"/>
      <c r="F10" s="25">
        <f>ROUND(100/'数据-取费表'!B14,0)</f>
        <v>130</v>
      </c>
      <c r="G10" s="317"/>
      <c r="H10" s="25">
        <f>ROUND(100/'数据-取费表'!B14,0)</f>
        <v>130</v>
      </c>
      <c r="I10" s="317"/>
      <c r="J10" s="25">
        <f>ROUND(100/'数据-取费表'!B14,0)</f>
        <v>130</v>
      </c>
      <c r="K10" s="533"/>
      <c r="L10" s="2719"/>
      <c r="O10" s="2720"/>
      <c r="P10" s="3366"/>
      <c r="Q10" s="477" t="str">
        <f t="shared" si="6"/>
        <v>土地使用年限（年）</v>
      </c>
      <c r="R10" s="601" t="s">
        <v>25</v>
      </c>
      <c r="S10" s="602">
        <f t="shared" si="0"/>
        <v>130</v>
      </c>
      <c r="T10" s="601" t="s">
        <v>25</v>
      </c>
      <c r="U10" s="602">
        <f t="shared" si="1"/>
        <v>130</v>
      </c>
      <c r="V10" s="601" t="s">
        <v>25</v>
      </c>
      <c r="W10" s="602">
        <f t="shared" si="2"/>
        <v>130</v>
      </c>
      <c r="X10" s="603"/>
      <c r="Y10" s="3385"/>
      <c r="Z10" s="18" t="str">
        <f t="shared" si="7"/>
        <v>土地使用年限（年）</v>
      </c>
      <c r="AA10" s="18">
        <f t="shared" si="3"/>
        <v>0.76923076923076927</v>
      </c>
      <c r="AB10" s="18">
        <f t="shared" si="4"/>
        <v>0.76923076923076927</v>
      </c>
      <c r="AC10" s="18">
        <f t="shared" si="5"/>
        <v>0.76923076923076927</v>
      </c>
    </row>
    <row r="11" spans="1:29" ht="15">
      <c r="A11" s="313"/>
      <c r="B11" s="309" t="s">
        <v>2029</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21"/>
      <c r="O11" s="2722"/>
      <c r="P11" s="3366"/>
      <c r="Q11" s="477" t="str">
        <f t="shared" si="6"/>
        <v>容积率</v>
      </c>
      <c r="R11" s="601" t="s">
        <v>25</v>
      </c>
      <c r="S11" s="602" t="e">
        <f t="shared" si="0"/>
        <v>#N/A</v>
      </c>
      <c r="T11" s="601" t="s">
        <v>25</v>
      </c>
      <c r="U11" s="602" t="e">
        <f t="shared" si="1"/>
        <v>#N/A</v>
      </c>
      <c r="V11" s="601" t="s">
        <v>25</v>
      </c>
      <c r="W11" s="602" t="e">
        <f t="shared" si="2"/>
        <v>#N/A</v>
      </c>
      <c r="X11" s="603"/>
      <c r="Y11" s="3385"/>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7"/>
      <c r="O12" s="2718"/>
      <c r="P12" s="3366"/>
      <c r="Q12" s="477">
        <f t="shared" si="6"/>
        <v>111</v>
      </c>
      <c r="R12" s="601" t="s">
        <v>25</v>
      </c>
      <c r="S12" s="602">
        <f t="shared" si="0"/>
        <v>100</v>
      </c>
      <c r="T12" s="601" t="s">
        <v>25</v>
      </c>
      <c r="U12" s="602">
        <f t="shared" si="1"/>
        <v>100</v>
      </c>
      <c r="V12" s="601" t="s">
        <v>25</v>
      </c>
      <c r="W12" s="602">
        <f t="shared" si="2"/>
        <v>100</v>
      </c>
      <c r="X12" s="603"/>
      <c r="Y12" s="3385"/>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3"/>
      <c r="O13" s="2722"/>
      <c r="P13" s="3366"/>
      <c r="Q13" s="477">
        <f t="shared" si="6"/>
        <v>111</v>
      </c>
      <c r="R13" s="601" t="s">
        <v>25</v>
      </c>
      <c r="S13" s="602">
        <f t="shared" si="0"/>
        <v>100</v>
      </c>
      <c r="T13" s="601" t="s">
        <v>25</v>
      </c>
      <c r="U13" s="602">
        <f t="shared" si="1"/>
        <v>100</v>
      </c>
      <c r="V13" s="601" t="s">
        <v>25</v>
      </c>
      <c r="W13" s="602">
        <f t="shared" si="2"/>
        <v>100</v>
      </c>
      <c r="X13" s="603"/>
      <c r="Y13" s="3385"/>
      <c r="Z13" s="18">
        <f t="shared" si="7"/>
        <v>111</v>
      </c>
      <c r="AA13" s="18">
        <f t="shared" si="3"/>
        <v>1</v>
      </c>
      <c r="AB13" s="18">
        <f t="shared" si="4"/>
        <v>1</v>
      </c>
      <c r="AC13" s="18">
        <f t="shared" si="5"/>
        <v>1</v>
      </c>
    </row>
    <row r="14" spans="1:29" ht="15.6" thickBot="1">
      <c r="A14" s="321"/>
      <c r="B14" s="1406">
        <v>111</v>
      </c>
      <c r="C14" s="1407">
        <v>111</v>
      </c>
      <c r="D14" s="322">
        <v>100</v>
      </c>
      <c r="E14" s="426"/>
      <c r="F14" s="322">
        <f>SUMIF(80:80,E14,81:81)-SUMIF(80:80,C14,81:81)+100</f>
        <v>100</v>
      </c>
      <c r="G14" s="535"/>
      <c r="H14" s="322">
        <f>SUMIF(80:80,G14,81:81)-SUMIF(80:80,C14,81:81)+100</f>
        <v>100</v>
      </c>
      <c r="I14" s="426"/>
      <c r="J14" s="322">
        <f>SUMIF(80:80,I14,81:81)-SUMIF(80:80,C14,81:81)+100</f>
        <v>100</v>
      </c>
      <c r="K14" s="533"/>
      <c r="L14" s="2723"/>
      <c r="O14" s="2722"/>
      <c r="P14" s="3366"/>
      <c r="Q14" s="477">
        <f t="shared" si="6"/>
        <v>111</v>
      </c>
      <c r="R14" s="601" t="s">
        <v>25</v>
      </c>
      <c r="S14" s="602">
        <f t="shared" si="0"/>
        <v>100</v>
      </c>
      <c r="T14" s="601" t="s">
        <v>25</v>
      </c>
      <c r="U14" s="602">
        <f t="shared" si="1"/>
        <v>100</v>
      </c>
      <c r="V14" s="601" t="s">
        <v>25</v>
      </c>
      <c r="W14" s="602">
        <f t="shared" si="2"/>
        <v>100</v>
      </c>
      <c r="X14" s="603"/>
      <c r="Y14" s="3385"/>
      <c r="Z14" s="18">
        <f t="shared" si="7"/>
        <v>111</v>
      </c>
      <c r="AA14" s="18">
        <f t="shared" si="3"/>
        <v>1</v>
      </c>
      <c r="AB14" s="18">
        <f t="shared" si="4"/>
        <v>1</v>
      </c>
      <c r="AC14" s="18">
        <f t="shared" si="5"/>
        <v>1</v>
      </c>
    </row>
    <row r="15" spans="1:29" ht="69">
      <c r="A15" s="324" t="s">
        <v>2030</v>
      </c>
      <c r="B15" s="497" t="s">
        <v>2251</v>
      </c>
      <c r="C15" s="1420"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3"/>
      <c r="O15" s="2722"/>
      <c r="P15" s="3383" t="s">
        <v>2031</v>
      </c>
      <c r="Q15" s="636" t="str">
        <f t="shared" si="6"/>
        <v>产业集聚程度</v>
      </c>
      <c r="R15" s="604" t="s">
        <v>25</v>
      </c>
      <c r="S15" s="605">
        <f t="shared" si="0"/>
        <v>100</v>
      </c>
      <c r="T15" s="604" t="s">
        <v>25</v>
      </c>
      <c r="U15" s="605">
        <f t="shared" si="1"/>
        <v>100</v>
      </c>
      <c r="V15" s="604" t="s">
        <v>25</v>
      </c>
      <c r="W15" s="605">
        <f t="shared" si="2"/>
        <v>100</v>
      </c>
      <c r="X15" s="1202"/>
      <c r="Y15" s="3383" t="s">
        <v>2031</v>
      </c>
      <c r="Z15" s="1203" t="str">
        <f t="shared" si="7"/>
        <v>产业集聚程度</v>
      </c>
      <c r="AA15" s="1203">
        <f t="shared" si="3"/>
        <v>1</v>
      </c>
      <c r="AB15" s="1203">
        <f t="shared" si="4"/>
        <v>1</v>
      </c>
      <c r="AC15" s="1203">
        <f t="shared" si="5"/>
        <v>1</v>
      </c>
    </row>
    <row r="16" spans="1:29" ht="15">
      <c r="A16" s="313"/>
      <c r="B16" s="498"/>
      <c r="C16" s="330"/>
      <c r="D16" s="331"/>
      <c r="E16" s="1015"/>
      <c r="F16" s="331"/>
      <c r="G16" s="1015"/>
      <c r="H16" s="334"/>
      <c r="I16" s="1015"/>
      <c r="J16" s="331"/>
      <c r="K16" s="533"/>
      <c r="L16" s="2723"/>
      <c r="O16" s="2722"/>
      <c r="P16" s="3384"/>
      <c r="Q16" s="636"/>
      <c r="R16" s="604"/>
      <c r="S16" s="605"/>
      <c r="T16" s="604"/>
      <c r="U16" s="605"/>
      <c r="V16" s="604"/>
      <c r="W16" s="605"/>
      <c r="X16" s="1202"/>
      <c r="Y16" s="3384"/>
      <c r="Z16" s="1203"/>
      <c r="AA16" s="1203">
        <v>1</v>
      </c>
      <c r="AB16" s="1203">
        <v>1</v>
      </c>
      <c r="AC16" s="1203">
        <v>1</v>
      </c>
    </row>
    <row r="17" spans="1:29" ht="96.6">
      <c r="A17" s="313"/>
      <c r="B17" s="499" t="s">
        <v>2168</v>
      </c>
      <c r="C17" s="1409"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3"/>
      <c r="O17" s="2722"/>
      <c r="P17" s="3384"/>
      <c r="Q17" s="636" t="str">
        <f>B17</f>
        <v>交通便捷度</v>
      </c>
      <c r="R17" s="604" t="s">
        <v>25</v>
      </c>
      <c r="S17" s="605">
        <f>F17</f>
        <v>100</v>
      </c>
      <c r="T17" s="604" t="s">
        <v>25</v>
      </c>
      <c r="U17" s="605">
        <f>H17</f>
        <v>100</v>
      </c>
      <c r="V17" s="604" t="s">
        <v>25</v>
      </c>
      <c r="W17" s="605">
        <f>J17</f>
        <v>100</v>
      </c>
      <c r="X17" s="1202"/>
      <c r="Y17" s="3384"/>
      <c r="Z17" s="1203" t="str">
        <f>Q17</f>
        <v>交通便捷度</v>
      </c>
      <c r="AA17" s="1203">
        <f t="shared" si="3"/>
        <v>1</v>
      </c>
      <c r="AB17" s="1203">
        <f t="shared" si="4"/>
        <v>1</v>
      </c>
      <c r="AC17" s="1203">
        <f t="shared" si="5"/>
        <v>1</v>
      </c>
    </row>
    <row r="18" spans="1:29" ht="15">
      <c r="A18" s="313"/>
      <c r="B18" s="347"/>
      <c r="C18" s="330"/>
      <c r="D18" s="331"/>
      <c r="E18" s="332"/>
      <c r="F18" s="331"/>
      <c r="G18" s="332"/>
      <c r="H18" s="331"/>
      <c r="I18" s="1408"/>
      <c r="J18" s="331"/>
      <c r="K18" s="533"/>
      <c r="L18" s="2723"/>
      <c r="O18" s="2722"/>
      <c r="P18" s="3384"/>
      <c r="Q18" s="636"/>
      <c r="R18" s="604"/>
      <c r="S18" s="605"/>
      <c r="T18" s="604"/>
      <c r="U18" s="605"/>
      <c r="V18" s="604"/>
      <c r="W18" s="605"/>
      <c r="X18" s="1202"/>
      <c r="Y18" s="3384"/>
      <c r="Z18" s="1203"/>
      <c r="AA18" s="1203">
        <v>1</v>
      </c>
      <c r="AB18" s="1203">
        <v>1</v>
      </c>
      <c r="AC18" s="1203">
        <v>1</v>
      </c>
    </row>
    <row r="19" spans="1:29" ht="28.8">
      <c r="A19" s="313"/>
      <c r="B19" s="499" t="s">
        <v>2208</v>
      </c>
      <c r="C19" s="1409">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3"/>
      <c r="O19" s="2722"/>
      <c r="P19" s="3384"/>
      <c r="Q19" s="636" t="str">
        <f t="shared" ref="Q19:Q33" si="8">B19</f>
        <v>区域土地利用方向</v>
      </c>
      <c r="R19" s="604" t="s">
        <v>25</v>
      </c>
      <c r="S19" s="605">
        <f>F19</f>
        <v>100</v>
      </c>
      <c r="T19" s="604" t="s">
        <v>25</v>
      </c>
      <c r="U19" s="605">
        <f>H19</f>
        <v>100</v>
      </c>
      <c r="V19" s="604" t="s">
        <v>25</v>
      </c>
      <c r="W19" s="605">
        <f>J19</f>
        <v>100</v>
      </c>
      <c r="X19" s="1202"/>
      <c r="Y19" s="3384"/>
      <c r="Z19" s="1203" t="str">
        <f>Q19</f>
        <v>区域土地利用方向</v>
      </c>
      <c r="AA19" s="1203">
        <f t="shared" si="3"/>
        <v>1</v>
      </c>
      <c r="AB19" s="1203">
        <f t="shared" si="4"/>
        <v>1</v>
      </c>
      <c r="AC19" s="1203">
        <f t="shared" si="5"/>
        <v>1</v>
      </c>
    </row>
    <row r="20" spans="1:29" ht="15">
      <c r="A20" s="293"/>
      <c r="B20" s="347"/>
      <c r="C20" s="330"/>
      <c r="D20" s="331"/>
      <c r="E20" s="332"/>
      <c r="F20" s="331"/>
      <c r="G20" s="332"/>
      <c r="H20" s="331"/>
      <c r="I20" s="332"/>
      <c r="J20" s="331"/>
      <c r="K20" s="635"/>
      <c r="L20" s="2723"/>
      <c r="O20" s="2722"/>
      <c r="P20" s="3384"/>
      <c r="Q20" s="636"/>
      <c r="R20" s="604"/>
      <c r="S20" s="605"/>
      <c r="T20" s="604"/>
      <c r="U20" s="605"/>
      <c r="V20" s="604"/>
      <c r="W20" s="605"/>
      <c r="X20" s="1202"/>
      <c r="Y20" s="3384"/>
      <c r="Z20" s="1203"/>
      <c r="AA20" s="1203"/>
      <c r="AB20" s="1203"/>
      <c r="AC20" s="1203"/>
    </row>
    <row r="21" spans="1:29" ht="82.8">
      <c r="A21" s="293"/>
      <c r="B21" s="499" t="s">
        <v>2252</v>
      </c>
      <c r="C21" s="1409"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3"/>
      <c r="O21" s="2722"/>
      <c r="P21" s="3384"/>
      <c r="Q21" s="636" t="str">
        <f t="shared" si="8"/>
        <v>环境状况</v>
      </c>
      <c r="R21" s="604" t="s">
        <v>25</v>
      </c>
      <c r="S21" s="605">
        <f>F21</f>
        <v>100</v>
      </c>
      <c r="T21" s="604" t="s">
        <v>25</v>
      </c>
      <c r="U21" s="605">
        <f>H21</f>
        <v>100</v>
      </c>
      <c r="V21" s="604" t="s">
        <v>25</v>
      </c>
      <c r="W21" s="605">
        <f>J21</f>
        <v>100</v>
      </c>
      <c r="X21" s="1202"/>
      <c r="Y21" s="3384"/>
      <c r="Z21" s="1203" t="str">
        <f>Q21</f>
        <v>环境状况</v>
      </c>
      <c r="AA21" s="1203">
        <f t="shared" si="3"/>
        <v>1</v>
      </c>
      <c r="AB21" s="1203">
        <f t="shared" si="4"/>
        <v>1</v>
      </c>
      <c r="AC21" s="1203">
        <f t="shared" si="5"/>
        <v>1</v>
      </c>
    </row>
    <row r="22" spans="1:29" ht="15">
      <c r="A22" s="293"/>
      <c r="B22" s="347"/>
      <c r="C22" s="330"/>
      <c r="D22" s="331"/>
      <c r="E22" s="1015"/>
      <c r="F22" s="331"/>
      <c r="G22" s="1015"/>
      <c r="H22" s="331"/>
      <c r="I22" s="330"/>
      <c r="J22" s="331"/>
      <c r="K22" s="533"/>
      <c r="L22" s="2723"/>
      <c r="O22" s="2722"/>
      <c r="P22" s="3384"/>
      <c r="Q22" s="636"/>
      <c r="R22" s="604"/>
      <c r="S22" s="605"/>
      <c r="T22" s="604"/>
      <c r="U22" s="605"/>
      <c r="V22" s="604"/>
      <c r="W22" s="605"/>
      <c r="X22" s="1202"/>
      <c r="Y22" s="3384"/>
      <c r="Z22" s="1203"/>
      <c r="AA22" s="1203">
        <v>1</v>
      </c>
      <c r="AB22" s="1203">
        <v>1</v>
      </c>
      <c r="AC22" s="1203">
        <v>1</v>
      </c>
    </row>
    <row r="23" spans="1:29" s="24" customFormat="1" ht="41.4">
      <c r="A23" s="387"/>
      <c r="B23" s="499" t="s">
        <v>2117</v>
      </c>
      <c r="C23" s="1409"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7"/>
      <c r="O23" s="2718"/>
      <c r="P23" s="3384"/>
      <c r="Q23" s="477" t="str">
        <f t="shared" si="8"/>
        <v>公共配套设施</v>
      </c>
      <c r="R23" s="601" t="s">
        <v>25</v>
      </c>
      <c r="S23" s="602">
        <f>F23</f>
        <v>100</v>
      </c>
      <c r="T23" s="601" t="s">
        <v>25</v>
      </c>
      <c r="U23" s="602">
        <f>H23</f>
        <v>100</v>
      </c>
      <c r="V23" s="601" t="s">
        <v>25</v>
      </c>
      <c r="W23" s="602">
        <f>J23</f>
        <v>100</v>
      </c>
      <c r="X23" s="603"/>
      <c r="Y23" s="3384"/>
      <c r="Z23" s="18" t="str">
        <f>Q23</f>
        <v>公共配套设施</v>
      </c>
      <c r="AA23" s="1203">
        <f>D23/F23</f>
        <v>1</v>
      </c>
      <c r="AB23" s="1203">
        <f>D23/H23</f>
        <v>1</v>
      </c>
      <c r="AC23" s="1203">
        <f>D23/J23</f>
        <v>1</v>
      </c>
    </row>
    <row r="24" spans="1:29" s="24" customFormat="1" ht="15">
      <c r="A24" s="387"/>
      <c r="B24" s="347"/>
      <c r="C24" s="1435"/>
      <c r="D24" s="331"/>
      <c r="E24" s="1015"/>
      <c r="F24" s="331"/>
      <c r="G24" s="1015"/>
      <c r="H24" s="331"/>
      <c r="I24" s="330"/>
      <c r="J24" s="331"/>
      <c r="K24" s="533"/>
      <c r="L24" s="2717"/>
      <c r="O24" s="2718"/>
      <c r="P24" s="3384"/>
      <c r="Q24" s="477"/>
      <c r="R24" s="601"/>
      <c r="S24" s="602"/>
      <c r="T24" s="601"/>
      <c r="U24" s="602"/>
      <c r="V24" s="601"/>
      <c r="W24" s="602"/>
      <c r="X24" s="603"/>
      <c r="Y24" s="3384"/>
      <c r="Z24" s="18"/>
      <c r="AA24" s="18">
        <v>1</v>
      </c>
      <c r="AB24" s="18">
        <v>1</v>
      </c>
      <c r="AC24" s="18">
        <v>1</v>
      </c>
    </row>
    <row r="25" spans="1:29" s="24" customFormat="1" ht="41.4">
      <c r="A25" s="387"/>
      <c r="B25" s="500" t="s">
        <v>2118</v>
      </c>
      <c r="C25" s="1409"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7"/>
      <c r="O25" s="2718"/>
      <c r="P25" s="3384"/>
      <c r="Q25" s="477" t="str">
        <f t="shared" ref="Q25" si="9">B25</f>
        <v>基础设施水平</v>
      </c>
      <c r="R25" s="601" t="s">
        <v>25</v>
      </c>
      <c r="S25" s="602">
        <f>F25</f>
        <v>100</v>
      </c>
      <c r="T25" s="601" t="s">
        <v>25</v>
      </c>
      <c r="U25" s="602">
        <f>H25</f>
        <v>100</v>
      </c>
      <c r="V25" s="601" t="s">
        <v>25</v>
      </c>
      <c r="W25" s="602">
        <f>J25</f>
        <v>100</v>
      </c>
      <c r="X25" s="603"/>
      <c r="Y25" s="3384"/>
      <c r="Z25" s="18" t="str">
        <f>Q25</f>
        <v>基础设施水平</v>
      </c>
      <c r="AA25" s="1203">
        <f>D25/F25</f>
        <v>1</v>
      </c>
      <c r="AB25" s="1203">
        <f>D25/H25</f>
        <v>1</v>
      </c>
      <c r="AC25" s="1203">
        <f>D25/J25</f>
        <v>1</v>
      </c>
    </row>
    <row r="26" spans="1:29" s="24" customFormat="1" ht="15">
      <c r="A26" s="387"/>
      <c r="B26" s="347"/>
      <c r="C26" s="1435"/>
      <c r="D26" s="331"/>
      <c r="E26" s="1426"/>
      <c r="F26" s="331"/>
      <c r="G26" s="1426"/>
      <c r="H26" s="331"/>
      <c r="I26" s="1426"/>
      <c r="J26" s="331"/>
      <c r="K26" s="533"/>
      <c r="L26" s="2717"/>
      <c r="O26" s="2718"/>
      <c r="P26" s="3384"/>
      <c r="Q26" s="477"/>
      <c r="R26" s="601"/>
      <c r="S26" s="602"/>
      <c r="T26" s="601"/>
      <c r="U26" s="602"/>
      <c r="V26" s="601"/>
      <c r="W26" s="602"/>
      <c r="X26" s="603"/>
      <c r="Y26" s="3384"/>
      <c r="Z26" s="18"/>
      <c r="AA26" s="18">
        <v>1</v>
      </c>
      <c r="AB26" s="18">
        <v>1</v>
      </c>
      <c r="AC26" s="18">
        <v>1</v>
      </c>
    </row>
    <row r="27" spans="1:29" ht="15">
      <c r="A27" s="313"/>
      <c r="B27" s="347" t="s">
        <v>2119</v>
      </c>
      <c r="C27" s="488"/>
      <c r="D27" s="320">
        <v>100</v>
      </c>
      <c r="E27" s="501"/>
      <c r="F27" s="320">
        <f>SUMIF(94:94,E27,95:95)-SUMIF(94:94,C27,95:95)+100</f>
        <v>100</v>
      </c>
      <c r="G27" s="501"/>
      <c r="H27" s="320">
        <f>SUMIF(94:94,G27,95:95)-SUMIF(94:94,C27,95:95)+100</f>
        <v>100</v>
      </c>
      <c r="I27" s="501"/>
      <c r="J27" s="320">
        <f>SUMIF(94:94,I27,95:95)-SUMIF(94:94,C27,95:95)+100</f>
        <v>100</v>
      </c>
      <c r="K27" s="534"/>
      <c r="L27" s="2723"/>
      <c r="O27" s="2722"/>
      <c r="P27" s="3384"/>
      <c r="Q27" s="636" t="str">
        <f t="shared" si="8"/>
        <v>临街状况</v>
      </c>
      <c r="R27" s="604" t="s">
        <v>25</v>
      </c>
      <c r="S27" s="605">
        <f t="shared" ref="S27:S40" si="10">F27</f>
        <v>100</v>
      </c>
      <c r="T27" s="604" t="s">
        <v>25</v>
      </c>
      <c r="U27" s="605">
        <f t="shared" ref="U27:U40" si="11">H27</f>
        <v>100</v>
      </c>
      <c r="V27" s="604" t="s">
        <v>25</v>
      </c>
      <c r="W27" s="605">
        <f t="shared" ref="W27:W40" si="12">J27</f>
        <v>100</v>
      </c>
      <c r="X27" s="1202"/>
      <c r="Y27" s="3384"/>
      <c r="Z27" s="1203" t="str">
        <f t="shared" ref="Z27:Z40" si="13">Q27</f>
        <v>临街状况</v>
      </c>
      <c r="AA27" s="1203">
        <f t="shared" si="3"/>
        <v>1</v>
      </c>
      <c r="AB27" s="1203">
        <f t="shared" si="4"/>
        <v>1</v>
      </c>
      <c r="AC27" s="1203">
        <f t="shared" si="5"/>
        <v>1</v>
      </c>
    </row>
    <row r="28" spans="1:29" ht="28.8">
      <c r="A28" s="313"/>
      <c r="B28" s="500" t="s">
        <v>2149</v>
      </c>
      <c r="C28" s="1436">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3"/>
      <c r="O28" s="2722"/>
      <c r="P28" s="3384"/>
      <c r="Q28" s="636" t="str">
        <f t="shared" si="8"/>
        <v>毗邻道路的类型与等级</v>
      </c>
      <c r="R28" s="604" t="s">
        <v>25</v>
      </c>
      <c r="S28" s="605">
        <f t="shared" si="10"/>
        <v>100</v>
      </c>
      <c r="T28" s="604" t="s">
        <v>25</v>
      </c>
      <c r="U28" s="605">
        <f t="shared" si="11"/>
        <v>100</v>
      </c>
      <c r="V28" s="604" t="s">
        <v>25</v>
      </c>
      <c r="W28" s="605">
        <f t="shared" si="12"/>
        <v>100</v>
      </c>
      <c r="X28" s="1202"/>
      <c r="Y28" s="3384"/>
      <c r="Z28" s="1203" t="str">
        <f t="shared" si="13"/>
        <v>毗邻道路的类型与等级</v>
      </c>
      <c r="AA28" s="1203">
        <f t="shared" si="3"/>
        <v>1</v>
      </c>
      <c r="AB28" s="1203">
        <f t="shared" si="4"/>
        <v>1</v>
      </c>
      <c r="AC28" s="1203">
        <f t="shared" si="5"/>
        <v>1</v>
      </c>
    </row>
    <row r="29" spans="1:29" ht="15">
      <c r="A29" s="313"/>
      <c r="B29" s="347"/>
      <c r="C29" s="330"/>
      <c r="D29" s="331"/>
      <c r="E29" s="1015"/>
      <c r="F29" s="331"/>
      <c r="G29" s="1015"/>
      <c r="H29" s="331"/>
      <c r="I29" s="1015"/>
      <c r="J29" s="331"/>
      <c r="K29" s="485"/>
      <c r="L29" s="2723"/>
      <c r="O29" s="2722"/>
      <c r="P29" s="3384"/>
      <c r="Q29" s="636"/>
      <c r="R29" s="604"/>
      <c r="S29" s="605"/>
      <c r="T29" s="604"/>
      <c r="U29" s="605"/>
      <c r="V29" s="604"/>
      <c r="W29" s="605"/>
      <c r="X29" s="1202"/>
      <c r="Y29" s="3384"/>
      <c r="Z29" s="1203"/>
      <c r="AA29" s="1203">
        <v>1</v>
      </c>
      <c r="AB29" s="1203">
        <v>1</v>
      </c>
      <c r="AC29" s="1203">
        <v>1</v>
      </c>
    </row>
    <row r="30" spans="1:29" ht="15">
      <c r="A30" s="313"/>
      <c r="B30" s="25" t="s">
        <v>2210</v>
      </c>
      <c r="C30" s="1030">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3"/>
      <c r="O30" s="2722"/>
      <c r="P30" s="3384"/>
      <c r="Q30" s="636" t="str">
        <f t="shared" si="8"/>
        <v>土地级别</v>
      </c>
      <c r="R30" s="604" t="s">
        <v>25</v>
      </c>
      <c r="S30" s="605">
        <f t="shared" si="10"/>
        <v>100</v>
      </c>
      <c r="T30" s="604" t="s">
        <v>25</v>
      </c>
      <c r="U30" s="605">
        <f t="shared" si="11"/>
        <v>100</v>
      </c>
      <c r="V30" s="604" t="s">
        <v>25</v>
      </c>
      <c r="W30" s="605">
        <f t="shared" si="12"/>
        <v>100</v>
      </c>
      <c r="X30" s="1202"/>
      <c r="Y30" s="3384"/>
      <c r="Z30" s="1203" t="str">
        <f t="shared" si="13"/>
        <v>土地级别</v>
      </c>
      <c r="AA30" s="1203">
        <f t="shared" si="3"/>
        <v>1</v>
      </c>
      <c r="AB30" s="1203">
        <f t="shared" si="4"/>
        <v>1</v>
      </c>
      <c r="AC30" s="1203">
        <f t="shared" si="5"/>
        <v>1</v>
      </c>
    </row>
    <row r="31" spans="1:29" ht="15">
      <c r="A31" s="293"/>
      <c r="B31" s="1415">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3"/>
      <c r="O31" s="2722"/>
      <c r="P31" s="3384"/>
      <c r="Q31" s="636">
        <f t="shared" si="8"/>
        <v>111</v>
      </c>
      <c r="R31" s="604" t="s">
        <v>25</v>
      </c>
      <c r="S31" s="605">
        <f t="shared" si="10"/>
        <v>100</v>
      </c>
      <c r="T31" s="604" t="s">
        <v>25</v>
      </c>
      <c r="U31" s="605">
        <f t="shared" si="11"/>
        <v>100</v>
      </c>
      <c r="V31" s="604" t="s">
        <v>25</v>
      </c>
      <c r="W31" s="605">
        <f t="shared" si="12"/>
        <v>100</v>
      </c>
      <c r="X31" s="1202"/>
      <c r="Y31" s="3384"/>
      <c r="Z31" s="1203">
        <f t="shared" si="13"/>
        <v>111</v>
      </c>
      <c r="AA31" s="1203">
        <f t="shared" si="3"/>
        <v>1</v>
      </c>
      <c r="AB31" s="1203">
        <f t="shared" si="4"/>
        <v>1</v>
      </c>
      <c r="AC31" s="1203">
        <f t="shared" si="5"/>
        <v>1</v>
      </c>
    </row>
    <row r="32" spans="1:29" ht="15">
      <c r="A32" s="536"/>
      <c r="B32" s="1437">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3"/>
      <c r="O32" s="2722"/>
      <c r="P32" s="3371" t="s">
        <v>2037</v>
      </c>
      <c r="Q32" s="636">
        <f t="shared" si="8"/>
        <v>111</v>
      </c>
      <c r="R32" s="604" t="s">
        <v>25</v>
      </c>
      <c r="S32" s="605">
        <f t="shared" si="10"/>
        <v>100</v>
      </c>
      <c r="T32" s="604" t="s">
        <v>25</v>
      </c>
      <c r="U32" s="605">
        <f t="shared" si="11"/>
        <v>100</v>
      </c>
      <c r="V32" s="604" t="s">
        <v>25</v>
      </c>
      <c r="W32" s="605">
        <f t="shared" si="12"/>
        <v>100</v>
      </c>
      <c r="X32" s="1202"/>
      <c r="Y32" s="3372" t="s">
        <v>2037</v>
      </c>
      <c r="Z32" s="1203">
        <f t="shared" si="13"/>
        <v>111</v>
      </c>
      <c r="AA32" s="1203">
        <f t="shared" si="3"/>
        <v>1</v>
      </c>
      <c r="AB32" s="1203">
        <f t="shared" si="4"/>
        <v>1</v>
      </c>
      <c r="AC32" s="1203">
        <f t="shared" si="5"/>
        <v>1</v>
      </c>
    </row>
    <row r="33" spans="1:29" s="352" customFormat="1" ht="15.6" thickBot="1">
      <c r="A33" s="537"/>
      <c r="B33" s="1438">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21"/>
      <c r="O33" s="2724"/>
      <c r="P33" s="3372"/>
      <c r="Q33" s="636">
        <f t="shared" si="8"/>
        <v>111</v>
      </c>
      <c r="R33" s="607" t="s">
        <v>25</v>
      </c>
      <c r="S33" s="608">
        <f t="shared" si="10"/>
        <v>100</v>
      </c>
      <c r="T33" s="607" t="s">
        <v>25</v>
      </c>
      <c r="U33" s="608">
        <f t="shared" si="11"/>
        <v>100</v>
      </c>
      <c r="V33" s="607" t="s">
        <v>25</v>
      </c>
      <c r="W33" s="608">
        <f t="shared" si="12"/>
        <v>100</v>
      </c>
      <c r="X33" s="609"/>
      <c r="Y33" s="3372"/>
      <c r="Z33" s="610">
        <f t="shared" si="13"/>
        <v>111</v>
      </c>
      <c r="AA33" s="1203">
        <f t="shared" si="3"/>
        <v>1</v>
      </c>
      <c r="AB33" s="1203">
        <f t="shared" si="4"/>
        <v>1</v>
      </c>
      <c r="AC33" s="1203">
        <f t="shared" si="5"/>
        <v>1</v>
      </c>
    </row>
    <row r="34" spans="1:29" ht="15.6">
      <c r="A34" s="353" t="s">
        <v>2035</v>
      </c>
      <c r="B34" s="340" t="s">
        <v>2211</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3"/>
      <c r="O34" s="2722"/>
      <c r="P34" s="3372"/>
      <c r="Q34" s="636" t="str">
        <f>B34</f>
        <v>宗地面积</v>
      </c>
      <c r="R34" s="604" t="s">
        <v>25</v>
      </c>
      <c r="S34" s="605" t="e">
        <f t="shared" si="10"/>
        <v>#N/A</v>
      </c>
      <c r="T34" s="604" t="s">
        <v>25</v>
      </c>
      <c r="U34" s="605" t="e">
        <f t="shared" si="11"/>
        <v>#N/A</v>
      </c>
      <c r="V34" s="604" t="s">
        <v>25</v>
      </c>
      <c r="W34" s="605" t="e">
        <f t="shared" si="12"/>
        <v>#N/A</v>
      </c>
      <c r="X34" s="1202"/>
      <c r="Y34" s="3372"/>
      <c r="Z34" s="1203" t="str">
        <f t="shared" si="13"/>
        <v>宗地面积</v>
      </c>
      <c r="AA34" s="1203" t="e">
        <f t="shared" si="3"/>
        <v>#N/A</v>
      </c>
      <c r="AB34" s="1203" t="e">
        <f t="shared" si="4"/>
        <v>#N/A</v>
      </c>
      <c r="AC34" s="1203" t="e">
        <f t="shared" si="5"/>
        <v>#N/A</v>
      </c>
    </row>
    <row r="35" spans="1:29" ht="15">
      <c r="A35" s="353"/>
      <c r="B35" s="309" t="s">
        <v>2212</v>
      </c>
      <c r="C35" s="1411"/>
      <c r="D35" s="320">
        <v>100</v>
      </c>
      <c r="E35" s="1411"/>
      <c r="F35" s="320">
        <f>SUMIF(109:109,E35,110:110)-SUMIF(109:109,C35,110:110)+100</f>
        <v>100</v>
      </c>
      <c r="G35" s="1411"/>
      <c r="H35" s="320">
        <f>SUMIF(109:109,G35,110:110)-SUMIF(109:109,C35,110:110)+100</f>
        <v>100</v>
      </c>
      <c r="I35" s="1411"/>
      <c r="J35" s="320">
        <f>SUMIF(109:109,I35,110:110)-SUMIF(109:109,C35,110:110)+100</f>
        <v>100</v>
      </c>
      <c r="K35" s="484"/>
      <c r="L35" s="2723"/>
      <c r="O35" s="2722"/>
      <c r="P35" s="3372"/>
      <c r="Q35" s="636" t="str">
        <f t="shared" ref="Q35:Q40" si="14">B35</f>
        <v>宗地形状</v>
      </c>
      <c r="R35" s="604" t="s">
        <v>25</v>
      </c>
      <c r="S35" s="605">
        <f t="shared" si="10"/>
        <v>100</v>
      </c>
      <c r="T35" s="604" t="s">
        <v>25</v>
      </c>
      <c r="U35" s="605">
        <f t="shared" si="11"/>
        <v>100</v>
      </c>
      <c r="V35" s="604" t="s">
        <v>25</v>
      </c>
      <c r="W35" s="605">
        <f t="shared" si="12"/>
        <v>100</v>
      </c>
      <c r="X35" s="1202"/>
      <c r="Y35" s="3372"/>
      <c r="Z35" s="1203" t="str">
        <f t="shared" si="13"/>
        <v>宗地形状</v>
      </c>
      <c r="AA35" s="1203">
        <f t="shared" si="3"/>
        <v>1</v>
      </c>
      <c r="AB35" s="1203">
        <f t="shared" si="4"/>
        <v>1</v>
      </c>
      <c r="AC35" s="1203">
        <f t="shared" si="5"/>
        <v>1</v>
      </c>
    </row>
    <row r="36" spans="1:29" s="24" customFormat="1" ht="15">
      <c r="A36" s="354"/>
      <c r="B36" s="309" t="s">
        <v>2214</v>
      </c>
      <c r="C36" s="1427"/>
      <c r="D36" s="25">
        <v>100</v>
      </c>
      <c r="E36" s="1427"/>
      <c r="F36" s="320">
        <f>SUMIF(111:111,E36,112:112)-SUMIF(111:111,C36,112:112)+100</f>
        <v>100</v>
      </c>
      <c r="G36" s="1427"/>
      <c r="H36" s="320">
        <f>SUMIF(111:111,G36,112:112)-SUMIF(111:111,C36,112:112)+100</f>
        <v>100</v>
      </c>
      <c r="I36" s="1427"/>
      <c r="J36" s="320">
        <f>SUMIF(111:111,I36,112:112)-SUMIF(111:111,C36,112:112)+100</f>
        <v>100</v>
      </c>
      <c r="K36" s="484"/>
      <c r="L36" s="2717"/>
      <c r="O36" s="2718"/>
      <c r="P36" s="3372"/>
      <c r="Q36" s="636" t="str">
        <f t="shared" si="14"/>
        <v>宗地开发程度</v>
      </c>
      <c r="R36" s="601" t="s">
        <v>25</v>
      </c>
      <c r="S36" s="602">
        <f t="shared" si="10"/>
        <v>100</v>
      </c>
      <c r="T36" s="601" t="s">
        <v>25</v>
      </c>
      <c r="U36" s="602">
        <f t="shared" si="11"/>
        <v>100</v>
      </c>
      <c r="V36" s="601" t="s">
        <v>25</v>
      </c>
      <c r="W36" s="602">
        <f t="shared" si="12"/>
        <v>100</v>
      </c>
      <c r="X36" s="603"/>
      <c r="Y36" s="3372"/>
      <c r="Z36" s="18" t="str">
        <f t="shared" si="13"/>
        <v>宗地开发程度</v>
      </c>
      <c r="AA36" s="18">
        <f t="shared" si="3"/>
        <v>1</v>
      </c>
      <c r="AB36" s="18">
        <f t="shared" si="4"/>
        <v>1</v>
      </c>
      <c r="AC36" s="18">
        <f t="shared" si="5"/>
        <v>1</v>
      </c>
    </row>
    <row r="37" spans="1:29" ht="15">
      <c r="A37" s="353"/>
      <c r="B37" s="309" t="s">
        <v>2215</v>
      </c>
      <c r="C37" s="1411"/>
      <c r="D37" s="320">
        <v>100</v>
      </c>
      <c r="E37" s="1411"/>
      <c r="F37" s="320">
        <f>SUMIF(113:113,E37,114:114)-SUMIF(113:113,C37,114:114)+100</f>
        <v>100</v>
      </c>
      <c r="G37" s="1411"/>
      <c r="H37" s="320">
        <f>SUMIF(113:113,G37,114:114)-SUMIF(113:113,C37,114:114)+100</f>
        <v>100</v>
      </c>
      <c r="I37" s="1411"/>
      <c r="J37" s="320">
        <f>SUMIF(113:113,I37,114:114)-SUMIF(113:113,C37,114:114)+100</f>
        <v>100</v>
      </c>
      <c r="K37" s="484"/>
      <c r="L37" s="2723"/>
      <c r="O37" s="2722"/>
      <c r="P37" s="3372" t="s">
        <v>2037</v>
      </c>
      <c r="Q37" s="636" t="str">
        <f t="shared" si="14"/>
        <v>工程地质条件</v>
      </c>
      <c r="R37" s="604" t="s">
        <v>25</v>
      </c>
      <c r="S37" s="605">
        <f t="shared" si="10"/>
        <v>100</v>
      </c>
      <c r="T37" s="604" t="s">
        <v>25</v>
      </c>
      <c r="U37" s="605">
        <f t="shared" si="11"/>
        <v>100</v>
      </c>
      <c r="V37" s="604" t="s">
        <v>25</v>
      </c>
      <c r="W37" s="605">
        <f t="shared" si="12"/>
        <v>100</v>
      </c>
      <c r="X37" s="1202"/>
      <c r="Y37" s="3372" t="s">
        <v>2037</v>
      </c>
      <c r="Z37" s="1203" t="str">
        <f t="shared" si="13"/>
        <v>工程地质条件</v>
      </c>
      <c r="AA37" s="1203">
        <f t="shared" si="3"/>
        <v>1</v>
      </c>
      <c r="AB37" s="1203">
        <f t="shared" si="4"/>
        <v>1</v>
      </c>
      <c r="AC37" s="1203">
        <f t="shared" si="5"/>
        <v>1</v>
      </c>
    </row>
    <row r="38" spans="1:29" ht="15">
      <c r="A38" s="353"/>
      <c r="B38" s="1428">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3"/>
      <c r="O38" s="2722"/>
      <c r="P38" s="3372"/>
      <c r="Q38" s="636">
        <f t="shared" si="14"/>
        <v>111</v>
      </c>
      <c r="R38" s="604" t="s">
        <v>25</v>
      </c>
      <c r="S38" s="605">
        <f t="shared" si="10"/>
        <v>100</v>
      </c>
      <c r="T38" s="604" t="s">
        <v>25</v>
      </c>
      <c r="U38" s="605">
        <f t="shared" si="11"/>
        <v>100</v>
      </c>
      <c r="V38" s="604" t="s">
        <v>25</v>
      </c>
      <c r="W38" s="605">
        <f t="shared" si="12"/>
        <v>100</v>
      </c>
      <c r="X38" s="1202"/>
      <c r="Y38" s="3372"/>
      <c r="Z38" s="1203">
        <f t="shared" si="13"/>
        <v>111</v>
      </c>
      <c r="AA38" s="1203">
        <f t="shared" si="3"/>
        <v>1</v>
      </c>
      <c r="AB38" s="1203">
        <f t="shared" si="4"/>
        <v>1</v>
      </c>
      <c r="AC38" s="1203">
        <f t="shared" si="5"/>
        <v>1</v>
      </c>
    </row>
    <row r="39" spans="1:29" ht="15">
      <c r="A39" s="353"/>
      <c r="B39" s="1428">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3"/>
      <c r="O39" s="2722"/>
      <c r="P39" s="3372"/>
      <c r="Q39" s="636">
        <f t="shared" si="14"/>
        <v>111</v>
      </c>
      <c r="R39" s="604" t="s">
        <v>25</v>
      </c>
      <c r="S39" s="605">
        <f t="shared" si="10"/>
        <v>100</v>
      </c>
      <c r="T39" s="604" t="s">
        <v>25</v>
      </c>
      <c r="U39" s="605">
        <f t="shared" si="11"/>
        <v>100</v>
      </c>
      <c r="V39" s="604" t="s">
        <v>25</v>
      </c>
      <c r="W39" s="605">
        <f t="shared" si="12"/>
        <v>100</v>
      </c>
      <c r="X39" s="1202"/>
      <c r="Y39" s="3372"/>
      <c r="Z39" s="1203">
        <f t="shared" si="13"/>
        <v>111</v>
      </c>
      <c r="AA39" s="1203">
        <f t="shared" si="3"/>
        <v>1</v>
      </c>
      <c r="AB39" s="1203">
        <f t="shared" si="4"/>
        <v>1</v>
      </c>
      <c r="AC39" s="1203">
        <f t="shared" si="5"/>
        <v>1</v>
      </c>
    </row>
    <row r="40" spans="1:29" s="352" customFormat="1" ht="15.6" thickBot="1">
      <c r="A40" s="350"/>
      <c r="B40" s="1428">
        <v>111</v>
      </c>
      <c r="C40" s="1429"/>
      <c r="D40" s="26">
        <v>100</v>
      </c>
      <c r="E40" s="535"/>
      <c r="F40" s="322">
        <f>SUMIF(119:119,E40,120:120)-SUMIF(119:119,C40,120:120)+100</f>
        <v>100</v>
      </c>
      <c r="G40" s="535"/>
      <c r="H40" s="322">
        <f>SUMIF(119:119,G40,120:120)-SUMIF(119:119,C40,120:120)+100</f>
        <v>100</v>
      </c>
      <c r="I40" s="426"/>
      <c r="J40" s="322">
        <f>SUMIF(119:119,I40,120:120)-SUMIF(119:119,C40,120:120)+100</f>
        <v>100</v>
      </c>
      <c r="K40" s="541"/>
      <c r="L40" s="2721"/>
      <c r="O40" s="2724"/>
      <c r="P40" s="3372"/>
      <c r="Q40" s="636">
        <f t="shared" si="14"/>
        <v>111</v>
      </c>
      <c r="R40" s="607" t="s">
        <v>25</v>
      </c>
      <c r="S40" s="608">
        <f t="shared" si="10"/>
        <v>100</v>
      </c>
      <c r="T40" s="607" t="s">
        <v>25</v>
      </c>
      <c r="U40" s="608">
        <f t="shared" si="11"/>
        <v>100</v>
      </c>
      <c r="V40" s="607" t="s">
        <v>25</v>
      </c>
      <c r="W40" s="608">
        <f t="shared" si="12"/>
        <v>100</v>
      </c>
      <c r="X40" s="609"/>
      <c r="Y40" s="3372"/>
      <c r="Z40" s="610">
        <f t="shared" si="13"/>
        <v>111</v>
      </c>
      <c r="AA40" s="1203">
        <f t="shared" si="3"/>
        <v>1</v>
      </c>
      <c r="AB40" s="1203">
        <f t="shared" si="4"/>
        <v>1</v>
      </c>
      <c r="AC40" s="1203">
        <f t="shared" si="5"/>
        <v>1</v>
      </c>
    </row>
    <row r="41" spans="1:29" ht="14.4">
      <c r="A41" s="360" t="s">
        <v>2179</v>
      </c>
      <c r="B41" s="1430" t="s">
        <v>2253</v>
      </c>
      <c r="C41" s="542" t="s">
        <v>1</v>
      </c>
      <c r="D41" s="362"/>
      <c r="E41" s="363"/>
      <c r="F41" s="364"/>
      <c r="G41" s="365"/>
      <c r="H41" s="366"/>
      <c r="I41" s="363"/>
      <c r="J41" s="366"/>
      <c r="K41" s="612"/>
      <c r="L41" s="2725"/>
      <c r="P41" s="3366" t="str">
        <f>A41</f>
        <v>成交单价</v>
      </c>
      <c r="Q41" s="3366"/>
      <c r="R41" s="3367">
        <f>E41</f>
        <v>0</v>
      </c>
      <c r="S41" s="3367"/>
      <c r="T41" s="3367">
        <f>G41</f>
        <v>0</v>
      </c>
      <c r="U41" s="3367"/>
      <c r="V41" s="3367">
        <f>I41</f>
        <v>0</v>
      </c>
      <c r="W41" s="3367"/>
      <c r="X41" s="329"/>
      <c r="Y41" s="611"/>
      <c r="Z41" s="329"/>
      <c r="AA41" s="329"/>
      <c r="AB41" s="329"/>
      <c r="AC41" s="329"/>
    </row>
    <row r="42" spans="1:29" ht="15" thickBot="1">
      <c r="A42" s="367" t="s">
        <v>2132</v>
      </c>
      <c r="B42" s="543"/>
      <c r="C42" s="370" t="e">
        <f>R43</f>
        <v>#DIV/0!</v>
      </c>
      <c r="D42" s="1624" t="s">
        <v>2503</v>
      </c>
      <c r="E42" s="370" t="e">
        <f>R42</f>
        <v>#DIV/0!</v>
      </c>
      <c r="F42" s="1626"/>
      <c r="G42" s="369" t="e">
        <f>T42</f>
        <v>#DIV/0!</v>
      </c>
      <c r="H42" s="1626"/>
      <c r="I42" s="370" t="e">
        <f>V42</f>
        <v>#DIV/0!</v>
      </c>
      <c r="J42" s="1626"/>
      <c r="K42" s="2251">
        <f>F42+H42+J42</f>
        <v>0</v>
      </c>
      <c r="L42" s="2725"/>
      <c r="P42" s="3366" t="str">
        <f>A42</f>
        <v>比较价值（元/平方米）</v>
      </c>
      <c r="Q42" s="3366"/>
      <c r="R42" s="3410" t="e">
        <f>ROUND(PRODUCT(R41,AA7:AA40),0)</f>
        <v>#DIV/0!</v>
      </c>
      <c r="S42" s="3410"/>
      <c r="T42" s="3410" t="e">
        <f>ROUND(PRODUCT(T41,AB7:AB40),0)</f>
        <v>#DIV/0!</v>
      </c>
      <c r="U42" s="3410"/>
      <c r="V42" s="3410" t="e">
        <f>ROUND(PRODUCT(V41,AC7:AC40),0)</f>
        <v>#DIV/0!</v>
      </c>
      <c r="W42" s="3410"/>
      <c r="X42" s="329"/>
      <c r="Y42" s="329"/>
      <c r="Z42" s="329"/>
      <c r="AA42" s="329"/>
      <c r="AB42" s="329"/>
      <c r="AC42" s="329"/>
    </row>
    <row r="43" spans="1:29" ht="15" thickBot="1">
      <c r="A43" s="371" t="s">
        <v>2155</v>
      </c>
      <c r="B43" s="372"/>
      <c r="C43" s="373" t="e">
        <f>R43</f>
        <v>#DIV/0!</v>
      </c>
      <c r="D43" s="373"/>
      <c r="E43" s="373"/>
      <c r="F43" s="373"/>
      <c r="G43" s="373"/>
      <c r="H43" s="373"/>
      <c r="I43" s="373"/>
      <c r="J43" s="373"/>
      <c r="K43" s="613"/>
      <c r="L43" s="2725"/>
      <c r="P43" s="3368" t="str">
        <f>A43</f>
        <v>估价对象XX用房的比较价值（楼面单价，元/平方米）</v>
      </c>
      <c r="Q43" s="3369"/>
      <c r="R43" s="3409" t="e">
        <f>ROUND(IF(D42="简单平均",AVERAGE(R42:W42),R42*F42+T42*H42+V42*J42),0)</f>
        <v>#DIV/0!</v>
      </c>
      <c r="S43" s="3409"/>
      <c r="T43" s="3409"/>
      <c r="U43" s="3409"/>
      <c r="V43" s="3409"/>
      <c r="W43" s="3409"/>
      <c r="X43" s="329"/>
      <c r="Y43" s="329"/>
      <c r="Z43" s="329"/>
      <c r="AA43" s="329"/>
      <c r="AB43" s="329"/>
      <c r="AC43" s="329"/>
    </row>
    <row r="44" spans="1:29">
      <c r="G44" s="2728"/>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9"/>
      <c r="L48" s="2726"/>
    </row>
    <row r="49" spans="1:17" s="381" customFormat="1" ht="14.4" thickBot="1">
      <c r="B49" s="2727"/>
      <c r="C49" s="2730"/>
      <c r="K49" s="2729"/>
      <c r="L49" s="2726"/>
    </row>
    <row r="50" spans="1:17" ht="28.8">
      <c r="A50" s="544" t="s">
        <v>2217</v>
      </c>
      <c r="B50" s="545" t="s">
        <v>2218</v>
      </c>
      <c r="C50" s="1431" t="s">
        <v>2219</v>
      </c>
      <c r="D50" s="1432" t="s">
        <v>2220</v>
      </c>
      <c r="E50" s="546" t="s">
        <v>2221</v>
      </c>
      <c r="F50" s="547" t="s">
        <v>2222</v>
      </c>
      <c r="G50" s="1203" t="s">
        <v>2254</v>
      </c>
      <c r="H50" s="1203" t="str">
        <f>项目基本情况!G8</f>
        <v>XX</v>
      </c>
      <c r="I50" s="1179" t="s">
        <v>2224</v>
      </c>
      <c r="J50" s="871"/>
      <c r="K50" s="869"/>
    </row>
    <row r="51" spans="1:17" s="552" customFormat="1">
      <c r="A51" s="548" t="s">
        <v>2225</v>
      </c>
      <c r="B51" s="549" t="e">
        <f>C43</f>
        <v>#DIV/0!</v>
      </c>
      <c r="C51" s="550">
        <v>1</v>
      </c>
      <c r="D51" s="550">
        <v>1</v>
      </c>
      <c r="E51" s="554">
        <v>120</v>
      </c>
      <c r="F51" s="551" t="e">
        <f t="shared" ref="F51:F59" si="15">ROUND(B51*E51,0)</f>
        <v>#DIV/0!</v>
      </c>
      <c r="G51" s="720">
        <v>1</v>
      </c>
      <c r="H51" s="720">
        <v>1</v>
      </c>
      <c r="I51" s="381"/>
      <c r="J51" s="374"/>
      <c r="K51" s="375"/>
      <c r="L51" s="375"/>
      <c r="M51" s="292"/>
      <c r="N51" s="292"/>
      <c r="O51" s="292"/>
    </row>
    <row r="52" spans="1:17" s="552" customFormat="1">
      <c r="A52" s="553" t="s">
        <v>2226</v>
      </c>
      <c r="B52" s="90" t="e">
        <f>ROUND($C$43*C52*D52,0)</f>
        <v>#DIV/0!</v>
      </c>
      <c r="C52" s="47">
        <f>IF($C$50="北京市系数",G52,H52)</f>
        <v>0</v>
      </c>
      <c r="D52" s="893">
        <v>0.25</v>
      </c>
      <c r="E52" s="554">
        <v>0</v>
      </c>
      <c r="F52" s="551" t="e">
        <f t="shared" si="15"/>
        <v>#DIV/0!</v>
      </c>
      <c r="G52" s="720">
        <f>SUMIF(修正!$A$57:$A$68,项目基本情况!$F$9,修正!B57:B68)</f>
        <v>0</v>
      </c>
      <c r="H52" s="721"/>
      <c r="I52" s="292"/>
      <c r="J52" s="374"/>
      <c r="K52" s="375"/>
      <c r="L52" s="375"/>
      <c r="M52" s="292"/>
      <c r="N52" s="292"/>
      <c r="O52" s="292"/>
    </row>
    <row r="53" spans="1:17" s="552" customFormat="1">
      <c r="A53" s="553" t="s">
        <v>2227</v>
      </c>
      <c r="B53" s="90" t="e">
        <f t="shared" ref="B53:B59" si="16">ROUND($C$43*C53*D53,0)</f>
        <v>#DIV/0!</v>
      </c>
      <c r="C53" s="47">
        <f t="shared" ref="C53:C59" si="17">IF($C$50="北京市系数",G53,H53)</f>
        <v>0</v>
      </c>
      <c r="D53" s="893">
        <v>0.25</v>
      </c>
      <c r="E53" s="554">
        <v>0</v>
      </c>
      <c r="F53" s="551" t="e">
        <f t="shared" si="15"/>
        <v>#DIV/0!</v>
      </c>
      <c r="G53" s="720">
        <f>SUMIF(修正!$A$57:$A$68,项目基本情况!$F$9,修正!C57:C68)</f>
        <v>0</v>
      </c>
      <c r="H53" s="721"/>
      <c r="I53" s="381"/>
      <c r="J53" s="374"/>
      <c r="K53" s="375"/>
      <c r="L53" s="375"/>
      <c r="M53" s="292"/>
      <c r="N53" s="292"/>
      <c r="O53" s="292"/>
    </row>
    <row r="54" spans="1:17" s="552" customFormat="1">
      <c r="A54" s="553" t="s">
        <v>2228</v>
      </c>
      <c r="B54" s="90" t="e">
        <f t="shared" si="16"/>
        <v>#DIV/0!</v>
      </c>
      <c r="C54" s="47">
        <f t="shared" si="17"/>
        <v>0</v>
      </c>
      <c r="D54" s="893">
        <v>0.25</v>
      </c>
      <c r="E54" s="554">
        <v>0</v>
      </c>
      <c r="F54" s="551" t="e">
        <f t="shared" si="15"/>
        <v>#DIV/0!</v>
      </c>
      <c r="G54" s="720">
        <f>SUMIF(修正!$A$57:$A$68,项目基本情况!$F$9,修正!D57:D68)</f>
        <v>0</v>
      </c>
      <c r="H54" s="721"/>
      <c r="I54" s="292"/>
      <c r="J54" s="374"/>
      <c r="K54" s="375"/>
      <c r="L54" s="375"/>
      <c r="M54" s="292"/>
      <c r="N54" s="292"/>
      <c r="O54" s="292"/>
    </row>
    <row r="55" spans="1:17" s="552" customFormat="1">
      <c r="A55" s="553" t="s">
        <v>2229</v>
      </c>
      <c r="B55" s="90" t="e">
        <f t="shared" si="16"/>
        <v>#DIV/0!</v>
      </c>
      <c r="C55" s="47">
        <f t="shared" si="17"/>
        <v>0</v>
      </c>
      <c r="D55" s="893">
        <v>0.25</v>
      </c>
      <c r="E55" s="554">
        <v>0</v>
      </c>
      <c r="F55" s="551" t="e">
        <f t="shared" si="15"/>
        <v>#DIV/0!</v>
      </c>
      <c r="G55" s="720">
        <f>SUMIF(修正!A52:A63,项目基本情况!F9,修正!E57:E68)</f>
        <v>0</v>
      </c>
      <c r="H55" s="721"/>
      <c r="I55" s="292"/>
      <c r="J55" s="374"/>
      <c r="K55" s="375"/>
      <c r="L55" s="375"/>
      <c r="M55" s="292"/>
      <c r="N55" s="292"/>
      <c r="O55" s="292"/>
    </row>
    <row r="56" spans="1:17" s="552" customFormat="1">
      <c r="A56" s="553" t="s">
        <v>2230</v>
      </c>
      <c r="B56" s="90" t="e">
        <f t="shared" si="16"/>
        <v>#DIV/0!</v>
      </c>
      <c r="C56" s="47">
        <f t="shared" si="17"/>
        <v>0</v>
      </c>
      <c r="D56" s="893">
        <v>0.25</v>
      </c>
      <c r="E56" s="554">
        <v>0</v>
      </c>
      <c r="F56" s="551" t="e">
        <f t="shared" si="15"/>
        <v>#DIV/0!</v>
      </c>
      <c r="G56" s="720">
        <f>SUMIF(修正!A52:A63,项目基本情况!F9,修正!F57:F68)</f>
        <v>0</v>
      </c>
      <c r="H56" s="721"/>
      <c r="I56" s="381"/>
      <c r="J56" s="374"/>
      <c r="K56" s="375"/>
      <c r="L56" s="375"/>
      <c r="M56" s="292"/>
      <c r="N56" s="292"/>
      <c r="O56" s="292"/>
    </row>
    <row r="57" spans="1:17" s="552" customFormat="1">
      <c r="A57" s="553" t="s">
        <v>2231</v>
      </c>
      <c r="B57" s="90" t="e">
        <f t="shared" si="16"/>
        <v>#DIV/0!</v>
      </c>
      <c r="C57" s="47">
        <f t="shared" si="17"/>
        <v>0</v>
      </c>
      <c r="D57" s="893">
        <v>0.25</v>
      </c>
      <c r="E57" s="554">
        <v>0</v>
      </c>
      <c r="F57" s="551" t="e">
        <f t="shared" si="15"/>
        <v>#DIV/0!</v>
      </c>
      <c r="G57" s="720">
        <f>SUMIF(修正!A52:A63,项目基本情况!F9,修正!G57:G68)</f>
        <v>0</v>
      </c>
      <c r="H57" s="721"/>
      <c r="I57" s="292"/>
      <c r="J57" s="374"/>
      <c r="K57" s="375"/>
      <c r="L57" s="375"/>
      <c r="M57" s="292"/>
      <c r="N57" s="292"/>
      <c r="O57" s="292"/>
    </row>
    <row r="58" spans="1:17" s="552" customFormat="1">
      <c r="A58" s="553" t="s">
        <v>2232</v>
      </c>
      <c r="B58" s="90" t="e">
        <f t="shared" si="16"/>
        <v>#DIV/0!</v>
      </c>
      <c r="C58" s="47">
        <f t="shared" si="17"/>
        <v>0</v>
      </c>
      <c r="D58" s="893">
        <v>0.25</v>
      </c>
      <c r="E58" s="554">
        <v>0</v>
      </c>
      <c r="F58" s="551" t="e">
        <f t="shared" si="15"/>
        <v>#DIV/0!</v>
      </c>
      <c r="G58" s="720">
        <f>G57</f>
        <v>0</v>
      </c>
      <c r="H58" s="721"/>
      <c r="I58" s="381"/>
      <c r="J58" s="374"/>
      <c r="K58" s="375"/>
      <c r="L58" s="375"/>
      <c r="M58" s="292"/>
      <c r="N58" s="292"/>
      <c r="O58" s="292"/>
    </row>
    <row r="59" spans="1:17" s="552" customFormat="1">
      <c r="A59" s="553" t="s">
        <v>2233</v>
      </c>
      <c r="B59" s="90" t="e">
        <f t="shared" si="16"/>
        <v>#DIV/0!</v>
      </c>
      <c r="C59" s="47">
        <f t="shared" si="17"/>
        <v>0</v>
      </c>
      <c r="D59" s="893">
        <v>0.25</v>
      </c>
      <c r="E59" s="554">
        <v>0</v>
      </c>
      <c r="F59" s="551" t="e">
        <f t="shared" si="15"/>
        <v>#DIV/0!</v>
      </c>
      <c r="G59" s="720">
        <f>G57</f>
        <v>0</v>
      </c>
      <c r="H59" s="721"/>
      <c r="I59" s="292"/>
      <c r="J59" s="374"/>
      <c r="K59" s="375"/>
      <c r="L59" s="375"/>
      <c r="M59" s="292"/>
      <c r="N59" s="292"/>
      <c r="O59" s="292"/>
    </row>
    <row r="60" spans="1:17" s="552" customFormat="1" ht="14.4" thickBot="1">
      <c r="A60" s="556" t="s">
        <v>2234</v>
      </c>
      <c r="B60" s="557" t="s">
        <v>39</v>
      </c>
      <c r="C60" s="557" t="s">
        <v>40</v>
      </c>
      <c r="D60" s="557" t="s">
        <v>36</v>
      </c>
      <c r="E60" s="557">
        <f>SUM(E51:E59)</f>
        <v>120</v>
      </c>
      <c r="F60" s="558" t="e">
        <f>SUM(F51:F59)</f>
        <v>#DIV/0!</v>
      </c>
      <c r="G60" s="873"/>
      <c r="H60" s="873"/>
      <c r="I60" s="2736"/>
      <c r="J60" s="374"/>
      <c r="K60" s="375"/>
      <c r="L60" s="375"/>
      <c r="M60" s="292"/>
      <c r="N60" s="292"/>
      <c r="O60" s="292"/>
    </row>
    <row r="61" spans="1:17">
      <c r="A61" s="868"/>
      <c r="B61" s="870"/>
      <c r="C61" s="872"/>
      <c r="D61" s="868"/>
      <c r="E61" s="868"/>
      <c r="F61" s="868"/>
      <c r="G61" s="868"/>
      <c r="H61" s="868"/>
      <c r="I61" s="868"/>
      <c r="J61" s="868"/>
      <c r="K61" s="871"/>
      <c r="L61" s="869"/>
      <c r="M61" s="868"/>
      <c r="N61" s="868"/>
      <c r="O61" s="868"/>
    </row>
    <row r="62" spans="1:17">
      <c r="A62" s="868"/>
      <c r="B62" s="870"/>
      <c r="C62" s="1056" t="str">
        <f>YEAR(C7)&amp;"-"&amp;MONTH(C7)&amp;"-1"</f>
        <v>2022-12-1</v>
      </c>
      <c r="D62" s="1056">
        <f>EDATE(C62,-3)</f>
        <v>44805</v>
      </c>
      <c r="E62" s="1056">
        <f t="shared" ref="E62:O62" si="18">EDATE(D62,-3)</f>
        <v>44713</v>
      </c>
      <c r="F62" s="1056">
        <f t="shared" si="18"/>
        <v>44621</v>
      </c>
      <c r="G62" s="1056">
        <f t="shared" si="18"/>
        <v>44531</v>
      </c>
      <c r="H62" s="1056">
        <f t="shared" si="18"/>
        <v>44440</v>
      </c>
      <c r="I62" s="1056">
        <f t="shared" si="18"/>
        <v>44348</v>
      </c>
      <c r="J62" s="1056">
        <f t="shared" si="18"/>
        <v>44256</v>
      </c>
      <c r="K62" s="1056">
        <f t="shared" si="18"/>
        <v>44166</v>
      </c>
      <c r="L62" s="1056">
        <f t="shared" si="18"/>
        <v>44075</v>
      </c>
      <c r="M62" s="1056">
        <f t="shared" si="18"/>
        <v>43983</v>
      </c>
      <c r="N62" s="1056">
        <f t="shared" si="18"/>
        <v>43891</v>
      </c>
      <c r="O62" s="1056">
        <f t="shared" si="18"/>
        <v>43800</v>
      </c>
    </row>
    <row r="63" spans="1:17" ht="22.2" thickBot="1">
      <c r="A63" s="595" t="s">
        <v>2137</v>
      </c>
      <c r="B63" s="329"/>
      <c r="C63" s="596"/>
      <c r="D63" s="596"/>
      <c r="E63" s="596"/>
      <c r="F63" s="597"/>
      <c r="G63" s="597"/>
      <c r="H63" s="596"/>
      <c r="I63" s="876"/>
      <c r="J63" s="876"/>
      <c r="K63" s="874"/>
      <c r="L63" s="875"/>
      <c r="M63" s="876"/>
      <c r="N63" s="876"/>
      <c r="O63" s="876"/>
      <c r="P63" s="382"/>
      <c r="Q63" s="383"/>
    </row>
    <row r="64" spans="1:17" s="386" customFormat="1" ht="14.4">
      <c r="A64" s="1434" t="s">
        <v>2235</v>
      </c>
      <c r="B64" s="1006"/>
      <c r="C64" s="1057" t="str">
        <f>YEAR(C62)&amp;"-"&amp;ROUNDUP(MONTH(C62)/3,0)</f>
        <v>2022-4</v>
      </c>
      <c r="D64" s="1057" t="str">
        <f t="shared" ref="D64:O64" si="19">YEAR(D62)&amp;"-"&amp;ROUNDUP(MONTH(D62)/3,0)</f>
        <v>2022-3</v>
      </c>
      <c r="E64" s="1057" t="str">
        <f t="shared" si="19"/>
        <v>2022-2</v>
      </c>
      <c r="F64" s="1057" t="str">
        <f t="shared" si="19"/>
        <v>2022-1</v>
      </c>
      <c r="G64" s="1057" t="str">
        <f t="shared" si="19"/>
        <v>2021-4</v>
      </c>
      <c r="H64" s="1057" t="str">
        <f t="shared" si="19"/>
        <v>2021-3</v>
      </c>
      <c r="I64" s="1057" t="str">
        <f t="shared" si="19"/>
        <v>2021-2</v>
      </c>
      <c r="J64" s="1057" t="str">
        <f t="shared" si="19"/>
        <v>2021-1</v>
      </c>
      <c r="K64" s="1057" t="str">
        <f t="shared" si="19"/>
        <v>2020-4</v>
      </c>
      <c r="L64" s="1057" t="str">
        <f t="shared" si="19"/>
        <v>2020-3</v>
      </c>
      <c r="M64" s="1057" t="str">
        <f t="shared" si="19"/>
        <v>2020-2</v>
      </c>
      <c r="N64" s="1057" t="str">
        <f t="shared" si="19"/>
        <v>2020-1</v>
      </c>
      <c r="O64" s="1057" t="str">
        <f t="shared" si="19"/>
        <v>2019-4</v>
      </c>
    </row>
    <row r="65" spans="1:17" s="24" customFormat="1" ht="33.75" customHeight="1">
      <c r="A65" s="1439" t="s">
        <v>2255</v>
      </c>
      <c r="B65" s="196" t="str">
        <f>"北京市平均增长率"&amp;TEXT(基准地价修正!P24,"0.00%")</f>
        <v>北京市平均增长率1.12%</v>
      </c>
      <c r="C65" s="477">
        <v>100</v>
      </c>
      <c r="D65" s="470"/>
      <c r="E65" s="470"/>
      <c r="F65" s="470"/>
      <c r="G65" s="470"/>
      <c r="H65" s="470"/>
      <c r="I65" s="470"/>
      <c r="J65" s="470"/>
      <c r="K65" s="470"/>
      <c r="L65" s="470"/>
      <c r="M65" s="1055"/>
      <c r="N65" s="470"/>
      <c r="O65" s="1058"/>
      <c r="P65" s="383"/>
    </row>
    <row r="66" spans="1:17" s="24" customFormat="1" ht="15" thickBot="1">
      <c r="A66" s="392" t="s">
        <v>2057</v>
      </c>
      <c r="B66" s="393"/>
      <c r="C66" s="394"/>
      <c r="D66" s="395"/>
      <c r="E66" s="395"/>
      <c r="F66" s="395"/>
      <c r="G66" s="395"/>
      <c r="H66" s="395"/>
      <c r="I66" s="395"/>
      <c r="J66" s="395"/>
      <c r="K66" s="395"/>
      <c r="L66" s="395"/>
      <c r="M66" s="396"/>
      <c r="N66" s="395"/>
      <c r="O66" s="1059"/>
      <c r="P66" s="383"/>
      <c r="Q66" s="383"/>
    </row>
    <row r="67" spans="1:17" s="24" customFormat="1" ht="14.4">
      <c r="A67" s="398" t="s">
        <v>2021</v>
      </c>
      <c r="B67" s="388"/>
      <c r="C67" s="399" t="s">
        <v>2022</v>
      </c>
      <c r="D67" s="400"/>
      <c r="E67" s="400"/>
      <c r="F67" s="400"/>
      <c r="G67" s="400"/>
      <c r="H67" s="400"/>
      <c r="I67" s="400"/>
      <c r="J67" s="400"/>
      <c r="K67" s="400"/>
      <c r="L67" s="401"/>
      <c r="M67" s="402"/>
      <c r="N67" s="17"/>
      <c r="O67" s="17"/>
      <c r="P67" s="403"/>
      <c r="Q67" s="383"/>
    </row>
    <row r="68" spans="1:17" s="24" customFormat="1" ht="14.4" thickBot="1">
      <c r="A68" s="398"/>
      <c r="B68" s="388"/>
      <c r="C68" s="505">
        <v>100</v>
      </c>
      <c r="D68" s="389"/>
      <c r="E68" s="389"/>
      <c r="F68" s="389"/>
      <c r="G68" s="389"/>
      <c r="H68" s="389"/>
      <c r="I68" s="389"/>
      <c r="J68" s="389"/>
      <c r="K68" s="389"/>
      <c r="L68" s="389"/>
      <c r="M68" s="391"/>
      <c r="N68" s="17"/>
      <c r="O68" s="17"/>
      <c r="P68" s="383"/>
      <c r="Q68" s="383"/>
    </row>
    <row r="69" spans="1:17" ht="14.4">
      <c r="A69" s="324" t="s">
        <v>2060</v>
      </c>
      <c r="B69" s="404" t="s">
        <v>2025</v>
      </c>
      <c r="C69" s="406"/>
      <c r="D69" s="406"/>
      <c r="E69" s="406"/>
      <c r="F69" s="406"/>
      <c r="G69" s="406"/>
      <c r="H69" s="406"/>
      <c r="I69" s="406"/>
      <c r="J69" s="406"/>
      <c r="K69" s="407"/>
      <c r="L69" s="408"/>
      <c r="M69" s="409"/>
      <c r="N69" s="410"/>
      <c r="O69" s="410"/>
      <c r="P69" s="17"/>
      <c r="Q69" s="383"/>
    </row>
    <row r="70" spans="1:17" ht="14.4" thickBot="1">
      <c r="A70" s="313"/>
      <c r="B70" s="411"/>
      <c r="C70" s="412"/>
      <c r="D70" s="412"/>
      <c r="E70" s="412"/>
      <c r="F70" s="412"/>
      <c r="G70" s="412"/>
      <c r="H70" s="412"/>
      <c r="I70" s="412"/>
      <c r="J70" s="412"/>
      <c r="K70" s="412"/>
      <c r="L70" s="412"/>
      <c r="M70" s="413"/>
      <c r="N70" s="414"/>
      <c r="O70" s="414"/>
      <c r="P70" s="17"/>
      <c r="Q70" s="383"/>
    </row>
    <row r="71" spans="1:17" ht="29.4" thickTop="1">
      <c r="A71" s="313"/>
      <c r="B71" s="415" t="s">
        <v>2028</v>
      </c>
      <c r="C71" s="416"/>
      <c r="D71" s="416"/>
      <c r="E71" s="416"/>
      <c r="F71" s="416"/>
      <c r="G71" s="416"/>
      <c r="H71" s="416"/>
      <c r="I71" s="416"/>
      <c r="J71" s="416"/>
      <c r="K71" s="417"/>
      <c r="L71" s="418"/>
      <c r="M71" s="419"/>
      <c r="N71" s="410"/>
      <c r="O71" s="410"/>
      <c r="P71" s="17"/>
      <c r="Q71" s="383"/>
    </row>
    <row r="72" spans="1:17" ht="14.4" thickBot="1">
      <c r="A72" s="313"/>
      <c r="B72" s="420"/>
      <c r="C72" s="421"/>
      <c r="D72" s="421"/>
      <c r="E72" s="421"/>
      <c r="F72" s="421"/>
      <c r="G72" s="421"/>
      <c r="H72" s="421"/>
      <c r="I72" s="421"/>
      <c r="J72" s="421"/>
      <c r="K72" s="421"/>
      <c r="L72" s="421"/>
      <c r="M72" s="422"/>
      <c r="N72" s="414"/>
      <c r="O72" s="414"/>
      <c r="P72" s="17"/>
      <c r="Q72" s="383"/>
    </row>
    <row r="73" spans="1:17" ht="15" thickTop="1">
      <c r="A73" s="313"/>
      <c r="B73" s="423" t="s">
        <v>2029</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4.4"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4.4" thickTop="1">
      <c r="A76" s="430"/>
      <c r="B76" s="415">
        <f>B12</f>
        <v>111</v>
      </c>
      <c r="C76" s="431"/>
      <c r="D76" s="431"/>
      <c r="E76" s="431"/>
      <c r="F76" s="431"/>
      <c r="G76" s="431"/>
      <c r="H76" s="432"/>
      <c r="I76" s="432"/>
      <c r="J76" s="432"/>
      <c r="K76" s="432"/>
      <c r="L76" s="433"/>
      <c r="M76" s="434"/>
      <c r="N76" s="435"/>
      <c r="O76" s="435"/>
      <c r="P76" s="435"/>
      <c r="Q76" s="436"/>
    </row>
    <row r="77" spans="1:17" s="352" customFormat="1" ht="14.4" thickBot="1">
      <c r="A77" s="430"/>
      <c r="B77" s="420"/>
      <c r="C77" s="437"/>
      <c r="D77" s="412"/>
      <c r="E77" s="412"/>
      <c r="F77" s="412"/>
      <c r="G77" s="412"/>
      <c r="H77" s="412"/>
      <c r="I77" s="412"/>
      <c r="J77" s="412"/>
      <c r="K77" s="412"/>
      <c r="L77" s="412"/>
      <c r="M77" s="413"/>
      <c r="N77" s="414"/>
      <c r="O77" s="414"/>
      <c r="P77" s="435"/>
      <c r="Q77" s="436"/>
    </row>
    <row r="78" spans="1:17" s="352" customFormat="1" ht="14.4" thickTop="1">
      <c r="A78" s="430"/>
      <c r="B78" s="415">
        <f>B13</f>
        <v>111</v>
      </c>
      <c r="C78" s="431"/>
      <c r="D78" s="431"/>
      <c r="E78" s="431"/>
      <c r="F78" s="431"/>
      <c r="G78" s="431"/>
      <c r="H78" s="432"/>
      <c r="I78" s="432"/>
      <c r="J78" s="432"/>
      <c r="K78" s="432"/>
      <c r="L78" s="433"/>
      <c r="M78" s="434"/>
      <c r="N78" s="435"/>
      <c r="O78" s="435"/>
      <c r="Q78" s="438"/>
    </row>
    <row r="79" spans="1:17" s="352" customFormat="1" ht="14.4" thickBot="1">
      <c r="A79" s="430"/>
      <c r="B79" s="420"/>
      <c r="C79" s="437"/>
      <c r="D79" s="437"/>
      <c r="E79" s="437"/>
      <c r="F79" s="437"/>
      <c r="G79" s="437"/>
      <c r="H79" s="439"/>
      <c r="I79" s="439"/>
      <c r="J79" s="439"/>
      <c r="K79" s="439"/>
      <c r="L79" s="439"/>
      <c r="M79" s="440"/>
      <c r="N79" s="435"/>
      <c r="O79" s="435"/>
      <c r="P79" s="435"/>
      <c r="Q79" s="436"/>
    </row>
    <row r="80" spans="1:17" s="352" customFormat="1" ht="14.4" thickTop="1">
      <c r="A80" s="430"/>
      <c r="B80" s="423">
        <f>B14</f>
        <v>111</v>
      </c>
      <c r="C80" s="400"/>
      <c r="D80" s="400"/>
      <c r="E80" s="400"/>
      <c r="F80" s="400"/>
      <c r="G80" s="400"/>
      <c r="H80" s="441"/>
      <c r="I80" s="441"/>
      <c r="J80" s="441"/>
      <c r="K80" s="441"/>
      <c r="L80" s="442"/>
      <c r="M80" s="443"/>
      <c r="N80" s="435"/>
      <c r="O80" s="435"/>
      <c r="P80" s="444"/>
      <c r="Q80" s="436"/>
    </row>
    <row r="81" spans="1:17" s="352" customFormat="1" ht="14.4" thickBot="1">
      <c r="A81" s="445"/>
      <c r="B81" s="446"/>
      <c r="C81" s="447"/>
      <c r="D81" s="447"/>
      <c r="E81" s="447"/>
      <c r="F81" s="447"/>
      <c r="G81" s="447"/>
      <c r="H81" s="448"/>
      <c r="I81" s="448"/>
      <c r="J81" s="448"/>
      <c r="K81" s="448"/>
      <c r="L81" s="448"/>
      <c r="M81" s="449"/>
      <c r="N81" s="435"/>
      <c r="O81" s="435"/>
      <c r="P81" s="435"/>
      <c r="Q81" s="436"/>
    </row>
    <row r="82" spans="1:17" ht="14.4">
      <c r="A82" s="324" t="s">
        <v>2030</v>
      </c>
      <c r="B82" s="404" t="s">
        <v>2164</v>
      </c>
      <c r="C82" s="450" t="s">
        <v>2069</v>
      </c>
      <c r="D82" s="450" t="s">
        <v>2070</v>
      </c>
      <c r="E82" s="450" t="s">
        <v>2071</v>
      </c>
      <c r="F82" s="450" t="s">
        <v>2072</v>
      </c>
      <c r="G82" s="450" t="s">
        <v>2073</v>
      </c>
      <c r="H82" s="405"/>
      <c r="I82" s="405"/>
      <c r="J82" s="405"/>
      <c r="K82" s="451"/>
      <c r="L82" s="452"/>
      <c r="M82" s="453"/>
      <c r="N82" s="410"/>
      <c r="O82" s="410"/>
      <c r="P82" s="454"/>
      <c r="Q82" s="383"/>
    </row>
    <row r="83" spans="1:17" ht="14.4"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 thickTop="1">
      <c r="A84" s="313"/>
      <c r="B84" s="415" t="s">
        <v>2074</v>
      </c>
      <c r="C84" s="455" t="s">
        <v>2069</v>
      </c>
      <c r="D84" s="455" t="s">
        <v>2070</v>
      </c>
      <c r="E84" s="455" t="s">
        <v>2071</v>
      </c>
      <c r="F84" s="455" t="s">
        <v>2072</v>
      </c>
      <c r="G84" s="455" t="s">
        <v>2073</v>
      </c>
      <c r="H84" s="416"/>
      <c r="I84" s="416"/>
      <c r="J84" s="416"/>
      <c r="K84" s="417"/>
      <c r="L84" s="418"/>
      <c r="M84" s="419"/>
      <c r="N84" s="410"/>
      <c r="O84" s="410"/>
      <c r="P84" s="17"/>
      <c r="Q84" s="383"/>
    </row>
    <row r="85" spans="1:17" ht="14.4"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29.4" thickTop="1">
      <c r="A86" s="316"/>
      <c r="B86" s="415" t="s">
        <v>2238</v>
      </c>
      <c r="C86" s="450" t="s">
        <v>2069</v>
      </c>
      <c r="D86" s="450" t="s">
        <v>2070</v>
      </c>
      <c r="E86" s="450" t="s">
        <v>2071</v>
      </c>
      <c r="F86" s="450" t="s">
        <v>2072</v>
      </c>
      <c r="G86" s="450" t="s">
        <v>2073</v>
      </c>
      <c r="H86" s="455"/>
      <c r="I86" s="455"/>
      <c r="J86" s="455"/>
      <c r="K86" s="455"/>
      <c r="L86" s="559"/>
      <c r="M86" s="491"/>
      <c r="N86" s="17"/>
      <c r="O86" s="17"/>
      <c r="P86" s="17"/>
      <c r="Q86" s="383"/>
    </row>
    <row r="87" spans="1:17" s="24" customFormat="1" ht="14.4"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9.4" thickTop="1">
      <c r="A88" s="316"/>
      <c r="B88" s="415" t="s">
        <v>2239</v>
      </c>
      <c r="C88" s="450" t="s">
        <v>2069</v>
      </c>
      <c r="D88" s="450" t="s">
        <v>2070</v>
      </c>
      <c r="E88" s="450" t="s">
        <v>2071</v>
      </c>
      <c r="F88" s="450" t="s">
        <v>2072</v>
      </c>
      <c r="G88" s="450" t="s">
        <v>2073</v>
      </c>
      <c r="H88" s="455"/>
      <c r="I88" s="455"/>
      <c r="J88" s="455"/>
      <c r="K88" s="455"/>
      <c r="L88" s="455"/>
      <c r="M88" s="491"/>
      <c r="N88" s="17"/>
      <c r="O88" s="17"/>
      <c r="P88" s="17"/>
      <c r="Q88" s="383"/>
    </row>
    <row r="89" spans="1:17" s="24" customFormat="1" ht="14.4"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 thickTop="1">
      <c r="A90" s="430"/>
      <c r="B90" s="423" t="s">
        <v>2117</v>
      </c>
      <c r="C90" s="450" t="s">
        <v>2069</v>
      </c>
      <c r="D90" s="450" t="s">
        <v>2070</v>
      </c>
      <c r="E90" s="450" t="s">
        <v>2071</v>
      </c>
      <c r="F90" s="450" t="s">
        <v>2072</v>
      </c>
      <c r="G90" s="450" t="s">
        <v>2073</v>
      </c>
      <c r="H90" s="474"/>
      <c r="I90" s="474"/>
      <c r="J90" s="474"/>
      <c r="K90" s="474"/>
      <c r="L90" s="475"/>
      <c r="M90" s="476"/>
      <c r="N90" s="435"/>
      <c r="O90" s="435"/>
      <c r="P90" s="435"/>
      <c r="Q90" s="436"/>
    </row>
    <row r="91" spans="1:17" s="352" customFormat="1" ht="14.4"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 thickTop="1">
      <c r="A92" s="430"/>
      <c r="B92" s="415" t="s">
        <v>2118</v>
      </c>
      <c r="C92" s="416" t="s">
        <v>2076</v>
      </c>
      <c r="D92" s="416" t="s">
        <v>2077</v>
      </c>
      <c r="E92" s="416" t="s">
        <v>2078</v>
      </c>
      <c r="F92" s="416" t="s">
        <v>2079</v>
      </c>
      <c r="G92" s="416" t="s">
        <v>2080</v>
      </c>
      <c r="H92" s="474"/>
      <c r="I92" s="474"/>
      <c r="J92" s="474"/>
      <c r="K92" s="474"/>
      <c r="L92" s="474"/>
      <c r="M92" s="476"/>
      <c r="N92" s="435"/>
      <c r="O92" s="435"/>
      <c r="P92" s="435"/>
      <c r="Q92" s="436"/>
    </row>
    <row r="93" spans="1:17" s="352" customFormat="1" ht="14.4" thickBot="1">
      <c r="A93" s="430"/>
      <c r="B93" s="420"/>
      <c r="C93" s="421">
        <v>100</v>
      </c>
      <c r="D93" s="421">
        <f>C93-$K25</f>
        <v>100</v>
      </c>
      <c r="E93" s="421">
        <f>D93-$K25</f>
        <v>100</v>
      </c>
      <c r="F93" s="421">
        <f>E93-$K25</f>
        <v>100</v>
      </c>
      <c r="G93" s="421">
        <f>F93-$K25</f>
        <v>100</v>
      </c>
      <c r="H93" s="425"/>
      <c r="I93" s="425"/>
      <c r="J93" s="425"/>
      <c r="K93" s="425"/>
      <c r="L93" s="425"/>
      <c r="M93" s="1029"/>
      <c r="N93" s="435"/>
      <c r="O93" s="435"/>
      <c r="P93" s="435"/>
      <c r="Q93" s="436"/>
    </row>
    <row r="94" spans="1:17" ht="15" thickTop="1">
      <c r="A94" s="313"/>
      <c r="B94" s="415" t="str">
        <f>B27</f>
        <v>临街状况</v>
      </c>
      <c r="C94" s="416" t="s">
        <v>2240</v>
      </c>
      <c r="D94" s="416" t="s">
        <v>2241</v>
      </c>
      <c r="E94" s="416" t="s">
        <v>2242</v>
      </c>
      <c r="F94" s="416" t="s">
        <v>2243</v>
      </c>
      <c r="G94" s="416"/>
      <c r="H94" s="416"/>
      <c r="I94" s="416"/>
      <c r="J94" s="416"/>
      <c r="K94" s="417"/>
      <c r="L94" s="418"/>
      <c r="M94" s="419"/>
      <c r="N94" s="410"/>
      <c r="O94" s="410"/>
      <c r="P94" s="17"/>
      <c r="Q94" s="383"/>
    </row>
    <row r="95" spans="1:17" ht="14.4"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9.4" thickTop="1">
      <c r="A96" s="313"/>
      <c r="B96" s="415" t="s">
        <v>2149</v>
      </c>
      <c r="C96" s="431"/>
      <c r="D96" s="431"/>
      <c r="E96" s="431"/>
      <c r="F96" s="431"/>
      <c r="G96" s="431"/>
      <c r="H96" s="459"/>
      <c r="I96" s="459"/>
      <c r="J96" s="459"/>
      <c r="K96" s="460"/>
      <c r="L96" s="461"/>
      <c r="M96" s="462"/>
      <c r="N96" s="410"/>
      <c r="O96" s="410"/>
      <c r="P96" s="17"/>
      <c r="Q96" s="383"/>
    </row>
    <row r="97" spans="1:17" ht="14.4"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 thickTop="1">
      <c r="A98" s="313"/>
      <c r="B98" s="415" t="s">
        <v>2210</v>
      </c>
      <c r="C98" s="459"/>
      <c r="D98" s="459"/>
      <c r="E98" s="459"/>
      <c r="F98" s="459"/>
      <c r="G98" s="459"/>
      <c r="H98" s="459"/>
      <c r="I98" s="459"/>
      <c r="J98" s="459"/>
      <c r="K98" s="460"/>
      <c r="L98" s="461"/>
      <c r="M98" s="462"/>
      <c r="N98" s="410"/>
      <c r="O98" s="410"/>
      <c r="P98" s="17"/>
      <c r="Q98" s="383"/>
    </row>
    <row r="99" spans="1:17" ht="14.4"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4.4" thickTop="1">
      <c r="A100" s="313"/>
      <c r="B100" s="423">
        <f>B31</f>
        <v>111</v>
      </c>
      <c r="C100" s="431"/>
      <c r="D100" s="431"/>
      <c r="E100" s="431"/>
      <c r="F100" s="431"/>
      <c r="G100" s="463"/>
      <c r="H100" s="463"/>
      <c r="I100" s="463"/>
      <c r="J100" s="463"/>
      <c r="K100" s="464"/>
      <c r="L100" s="465"/>
      <c r="M100" s="466"/>
      <c r="N100" s="410"/>
      <c r="O100" s="410"/>
      <c r="P100" s="17"/>
      <c r="Q100" s="383"/>
    </row>
    <row r="101" spans="1:17" ht="14.4" thickBot="1">
      <c r="A101" s="313"/>
      <c r="B101" s="446"/>
      <c r="C101" s="437"/>
      <c r="D101" s="412"/>
      <c r="E101" s="412"/>
      <c r="F101" s="412"/>
      <c r="G101" s="467"/>
      <c r="H101" s="467"/>
      <c r="I101" s="467"/>
      <c r="J101" s="467"/>
      <c r="K101" s="467"/>
      <c r="L101" s="467"/>
      <c r="M101" s="468"/>
      <c r="N101" s="414"/>
      <c r="O101" s="414"/>
      <c r="P101" s="17"/>
      <c r="Q101" s="383"/>
    </row>
    <row r="102" spans="1:17" ht="14.4" thickTop="1">
      <c r="A102" s="536"/>
      <c r="B102" s="415">
        <f>B32</f>
        <v>111</v>
      </c>
      <c r="C102" s="431"/>
      <c r="D102" s="431"/>
      <c r="E102" s="431"/>
      <c r="F102" s="431"/>
      <c r="G102" s="459"/>
      <c r="H102" s="459"/>
      <c r="I102" s="459"/>
      <c r="J102" s="459"/>
      <c r="K102" s="460"/>
      <c r="L102" s="461"/>
      <c r="M102" s="462"/>
      <c r="N102" s="410"/>
      <c r="O102" s="410"/>
      <c r="P102" s="17"/>
      <c r="Q102" s="383"/>
    </row>
    <row r="103" spans="1:17" ht="14.4" thickBot="1">
      <c r="A103" s="313"/>
      <c r="B103" s="420"/>
      <c r="C103" s="437"/>
      <c r="D103" s="437"/>
      <c r="E103" s="437"/>
      <c r="F103" s="437"/>
      <c r="G103" s="412"/>
      <c r="H103" s="412"/>
      <c r="I103" s="412"/>
      <c r="J103" s="412"/>
      <c r="K103" s="412"/>
      <c r="L103" s="412"/>
      <c r="M103" s="413"/>
      <c r="N103" s="414"/>
      <c r="O103" s="414"/>
      <c r="P103" s="17"/>
      <c r="Q103" s="383"/>
    </row>
    <row r="104" spans="1:17" s="352" customFormat="1" ht="14.4"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4.4" thickBot="1">
      <c r="A105" s="430"/>
      <c r="B105" s="423"/>
      <c r="C105" s="447"/>
      <c r="D105" s="447"/>
      <c r="E105" s="447"/>
      <c r="F105" s="447"/>
      <c r="G105" s="538"/>
      <c r="H105" s="538"/>
      <c r="I105" s="538"/>
      <c r="J105" s="538"/>
      <c r="K105" s="538"/>
      <c r="L105" s="538"/>
      <c r="M105" s="560"/>
      <c r="N105" s="414"/>
      <c r="O105" s="414"/>
      <c r="P105" s="435"/>
      <c r="Q105" s="436"/>
    </row>
    <row r="106" spans="1:17" ht="14.4">
      <c r="A106" s="324" t="s">
        <v>2035</v>
      </c>
      <c r="B106" s="404" t="s">
        <v>2244</v>
      </c>
      <c r="C106" s="1182" t="str">
        <f t="shared" ref="C106:L106" si="25">C107&amp;"(含)"&amp;"-"&amp;D107</f>
        <v>(含)-</v>
      </c>
      <c r="D106" s="1182" t="str">
        <f t="shared" si="25"/>
        <v>(含)-</v>
      </c>
      <c r="E106" s="1182" t="str">
        <f t="shared" si="25"/>
        <v>(含)-</v>
      </c>
      <c r="F106" s="1182" t="str">
        <f t="shared" si="25"/>
        <v>(含)-</v>
      </c>
      <c r="G106" s="1182" t="str">
        <f t="shared" si="25"/>
        <v>(含)-</v>
      </c>
      <c r="H106" s="1182" t="str">
        <f t="shared" si="25"/>
        <v>(含)-</v>
      </c>
      <c r="I106" s="1182" t="str">
        <f t="shared" si="25"/>
        <v>(含)-</v>
      </c>
      <c r="J106" s="1182" t="str">
        <f t="shared" si="25"/>
        <v>(含)-</v>
      </c>
      <c r="K106" s="1182" t="str">
        <f t="shared" si="25"/>
        <v>(含)-</v>
      </c>
      <c r="L106" s="1183" t="str">
        <f t="shared" si="25"/>
        <v>(含)-</v>
      </c>
      <c r="M106" s="1184"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4.4"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2245</v>
      </c>
      <c r="C109" s="459"/>
      <c r="D109" s="459"/>
      <c r="E109" s="459"/>
      <c r="F109" s="459"/>
      <c r="G109" s="459"/>
      <c r="H109" s="459"/>
      <c r="I109" s="459"/>
      <c r="J109" s="459"/>
      <c r="K109" s="460"/>
      <c r="L109" s="461"/>
      <c r="M109" s="462"/>
      <c r="N109" s="410"/>
      <c r="O109" s="410"/>
      <c r="P109" s="17"/>
      <c r="Q109" s="383"/>
    </row>
    <row r="110" spans="1:17" ht="14.4"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2247</v>
      </c>
      <c r="C111" s="431"/>
      <c r="D111" s="431"/>
      <c r="E111" s="431"/>
      <c r="F111" s="431"/>
      <c r="G111" s="431"/>
      <c r="H111" s="459"/>
      <c r="I111" s="459"/>
      <c r="J111" s="459"/>
      <c r="K111" s="460"/>
      <c r="L111" s="461"/>
      <c r="M111" s="462"/>
      <c r="N111" s="435"/>
      <c r="O111" s="435"/>
      <c r="P111" s="435"/>
      <c r="Q111" s="436"/>
    </row>
    <row r="112" spans="1:17" s="352" customFormat="1" ht="14.4"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2248</v>
      </c>
      <c r="C113" s="431"/>
      <c r="D113" s="431"/>
      <c r="E113" s="459"/>
      <c r="F113" s="459"/>
      <c r="G113" s="459"/>
      <c r="H113" s="459"/>
      <c r="I113" s="459"/>
      <c r="J113" s="459"/>
      <c r="K113" s="460"/>
      <c r="L113" s="461"/>
      <c r="M113" s="462"/>
      <c r="N113" s="410"/>
      <c r="O113" s="410"/>
      <c r="P113" s="17"/>
      <c r="Q113" s="383"/>
    </row>
    <row r="114" spans="1:17" ht="14.4"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4.4" thickTop="1">
      <c r="A115" s="353"/>
      <c r="B115" s="415">
        <f>B38</f>
        <v>111</v>
      </c>
      <c r="C115" s="431"/>
      <c r="D115" s="431"/>
      <c r="E115" s="431"/>
      <c r="F115" s="431"/>
      <c r="G115" s="431"/>
      <c r="H115" s="459"/>
      <c r="I115" s="459"/>
      <c r="J115" s="459"/>
      <c r="K115" s="460"/>
      <c r="L115" s="461"/>
      <c r="M115" s="462"/>
      <c r="N115" s="410"/>
      <c r="O115" s="410"/>
      <c r="P115" s="17"/>
      <c r="Q115" s="383"/>
    </row>
    <row r="116" spans="1:17" ht="14.4" thickBot="1">
      <c r="A116" s="313"/>
      <c r="B116" s="420"/>
      <c r="C116" s="437"/>
      <c r="D116" s="412"/>
      <c r="E116" s="412"/>
      <c r="F116" s="412"/>
      <c r="G116" s="412"/>
      <c r="H116" s="412"/>
      <c r="I116" s="412"/>
      <c r="J116" s="412"/>
      <c r="K116" s="412"/>
      <c r="L116" s="412"/>
      <c r="M116" s="413"/>
      <c r="N116" s="414"/>
      <c r="O116" s="414"/>
      <c r="P116" s="17"/>
      <c r="Q116" s="383"/>
    </row>
    <row r="117" spans="1:17" ht="14.4" thickTop="1">
      <c r="A117" s="353"/>
      <c r="B117" s="415">
        <f>B39</f>
        <v>111</v>
      </c>
      <c r="C117" s="431"/>
      <c r="D117" s="431"/>
      <c r="E117" s="431"/>
      <c r="F117" s="431"/>
      <c r="G117" s="459"/>
      <c r="H117" s="459"/>
      <c r="I117" s="459"/>
      <c r="J117" s="459"/>
      <c r="K117" s="460"/>
      <c r="L117" s="461"/>
      <c r="M117" s="462"/>
      <c r="N117" s="410"/>
      <c r="O117" s="410"/>
      <c r="P117" s="17"/>
      <c r="Q117" s="383"/>
    </row>
    <row r="118" spans="1:17" ht="14.4" thickBot="1">
      <c r="A118" s="313"/>
      <c r="B118" s="420"/>
      <c r="C118" s="437"/>
      <c r="D118" s="437"/>
      <c r="E118" s="437"/>
      <c r="F118" s="437"/>
      <c r="G118" s="412"/>
      <c r="H118" s="412"/>
      <c r="I118" s="412"/>
      <c r="J118" s="412"/>
      <c r="K118" s="412"/>
      <c r="L118" s="412"/>
      <c r="M118" s="413"/>
      <c r="N118" s="414"/>
      <c r="O118" s="414"/>
      <c r="P118" s="17"/>
      <c r="Q118" s="383"/>
    </row>
    <row r="119" spans="1:17" s="352" customFormat="1" ht="14.4"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4.4" thickBot="1">
      <c r="A120" s="877"/>
      <c r="B120" s="1440"/>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582" customWidth="1"/>
    <col min="2" max="3" width="12.44140625" style="582" customWidth="1"/>
    <col min="4" max="6" width="8.109375" style="582"/>
    <col min="7" max="7" width="17.44140625" style="582" customWidth="1"/>
    <col min="8" max="16384" width="8.109375" style="582"/>
  </cols>
  <sheetData>
    <row r="1" spans="1:7" ht="22.8">
      <c r="A1" s="1208" t="s">
        <v>1014</v>
      </c>
      <c r="B1" s="1209"/>
      <c r="C1" s="1209"/>
      <c r="D1" s="1209"/>
      <c r="E1" s="1209"/>
      <c r="F1" s="1209"/>
      <c r="G1" s="1209"/>
    </row>
    <row r="3" spans="1:7" s="1211" customFormat="1" ht="17.399999999999999">
      <c r="A3" s="1210" t="str">
        <f>IF(ISNUMBER(FIND("公司",项目基本情况!B4)),项目基本情况!B4&amp;"：",项目基本情况!B4&amp;"  先生/女士：")</f>
        <v>xx  先生/女士：</v>
      </c>
      <c r="B3" s="1210"/>
      <c r="C3" s="1210"/>
      <c r="D3" s="1210"/>
      <c r="E3" s="1210"/>
      <c r="F3" s="1210"/>
      <c r="G3" s="1210"/>
    </row>
    <row r="4" spans="1:7" ht="17.399999999999999">
      <c r="A4" s="1212" t="str">
        <f>IF(ISNUMBER(FIND("公司",A3)),"受贵公司委托，我公司对"&amp;项目基本情况!I1&amp;"进行了预评估。","受您的委托，我公司对"&amp;项目基本情况!I1&amp;"进行了预评估。")</f>
        <v>受您的委托，我公司对北京市房地产进行了预评估。</v>
      </c>
      <c r="B4" s="1212"/>
      <c r="C4" s="1212"/>
      <c r="D4" s="1212"/>
      <c r="E4" s="1212"/>
      <c r="F4" s="1212"/>
      <c r="G4" s="1212"/>
    </row>
    <row r="5" spans="1:7" ht="17.399999999999999">
      <c r="A5" s="1213" t="s">
        <v>1015</v>
      </c>
    </row>
    <row r="6" spans="1:7" s="1214" customFormat="1" ht="52.2">
      <c r="A6" s="121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估价对象为北京市房地产，为XX所有。根据《》[]，估价对象建筑面积为165.59平方米。根据《》[]，估价对象（分摊）出让国有建设用地使用权面积为平方米。估价对象用途为。</v>
      </c>
      <c r="B6" s="1212"/>
      <c r="C6" s="1212"/>
      <c r="D6" s="1212"/>
      <c r="E6" s="1212"/>
      <c r="F6" s="1212"/>
      <c r="G6" s="1212"/>
    </row>
    <row r="7" spans="1:7" ht="17.399999999999999">
      <c r="A7" s="1213" t="s">
        <v>1016</v>
      </c>
    </row>
    <row r="8" spans="1:7" ht="52.2">
      <c r="A8" s="121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15"/>
      <c r="C8" s="1212"/>
      <c r="D8" s="1212"/>
      <c r="E8" s="1212"/>
      <c r="F8" s="1212"/>
      <c r="G8" s="1212"/>
    </row>
    <row r="9" spans="1:7" ht="17.399999999999999">
      <c r="A9" s="1210" t="s">
        <v>1017</v>
      </c>
      <c r="B9" s="1216"/>
    </row>
    <row r="10" spans="1:7" ht="17.399999999999999">
      <c r="A10" s="1217" t="str">
        <f>TEXT(项目基本情况!D2,"yyyy年m月d日;;")&amp;IF(项目基本情况!B2=项目基本情况!D2,"（评估专业人员实地查勘之日）","")</f>
        <v>2022年12月6日</v>
      </c>
      <c r="B10" s="1218"/>
      <c r="C10" s="1218"/>
      <c r="D10" s="1218"/>
      <c r="E10" s="1218"/>
      <c r="F10" s="1218"/>
      <c r="G10" s="1218"/>
    </row>
    <row r="11" spans="1:7" ht="17.399999999999999">
      <c r="A11" s="1210" t="s">
        <v>1018</v>
      </c>
    </row>
    <row r="12" spans="1:7" ht="69.599999999999994">
      <c r="A12" s="1212" t="s">
        <v>1019</v>
      </c>
      <c r="B12" s="1212"/>
      <c r="C12" s="1212"/>
      <c r="D12" s="1212"/>
      <c r="E12" s="1212"/>
      <c r="F12" s="1212"/>
      <c r="G12" s="1212"/>
    </row>
    <row r="13" spans="1:7" ht="52.2">
      <c r="A13" s="12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本次估价的“房地产价值”是指在正常市场情况下，在价值时点2022年12月6日，估价对象规划用途为，假定未设立法定优先受偿款下的房地产市场价值。</v>
      </c>
      <c r="B13" s="1212"/>
      <c r="C13" s="1212"/>
      <c r="D13" s="1212"/>
      <c r="E13" s="1212"/>
      <c r="F13" s="1212"/>
      <c r="G13" s="1212"/>
    </row>
    <row r="14" spans="1:7" ht="34.799999999999997">
      <c r="A14" s="12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9"/>
      <c r="C14" s="1219"/>
      <c r="D14" s="1219"/>
      <c r="E14" s="1219"/>
      <c r="F14" s="1219"/>
      <c r="G14" s="1219"/>
    </row>
    <row r="15" spans="1:7" ht="70.8">
      <c r="A15" s="1212" t="s">
        <v>1013</v>
      </c>
      <c r="B15" s="1212"/>
      <c r="C15" s="1212"/>
      <c r="D15" s="1212"/>
      <c r="E15" s="1212"/>
      <c r="F15" s="1212"/>
      <c r="G15" s="1212"/>
    </row>
    <row r="16" spans="1:7" ht="52.2">
      <c r="A16" s="12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9"/>
      <c r="C16" s="1219"/>
      <c r="D16" s="1219"/>
      <c r="E16" s="1219"/>
      <c r="F16" s="1219"/>
      <c r="G16" s="1219"/>
    </row>
    <row r="17" spans="1:1" ht="17.399999999999999">
      <c r="A17" s="1210" t="s">
        <v>1012</v>
      </c>
    </row>
    <row r="18" spans="1:1" ht="17.399999999999999">
      <c r="A18" s="122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461" customWidth="1"/>
    <col min="2" max="2" width="19.21875" style="1461" customWidth="1"/>
    <col min="3" max="3" width="12.44140625" style="1461" customWidth="1"/>
    <col min="4" max="4" width="12" style="1461" customWidth="1"/>
    <col min="5" max="5" width="14.6640625" style="1461" customWidth="1"/>
    <col min="6" max="8" width="12" style="1461" customWidth="1"/>
    <col min="9" max="9" width="12.21875" style="1461" bestFit="1" customWidth="1"/>
    <col min="10" max="10" width="12" style="1461" customWidth="1"/>
    <col min="11" max="11" width="9.44140625" style="1460" customWidth="1"/>
    <col min="12" max="12" width="12" style="1461" customWidth="1"/>
    <col min="13" max="13" width="8.44140625" style="1461" customWidth="1"/>
    <col min="14" max="14" width="9.77734375" style="1461" customWidth="1"/>
    <col min="15" max="25" width="12" style="1461" customWidth="1"/>
    <col min="26" max="26" width="9.33203125" style="1461" customWidth="1"/>
    <col min="27" max="32" width="9.33203125" style="2045" customWidth="1"/>
    <col min="33" max="38" width="9.33203125" style="1461" customWidth="1"/>
    <col min="39" max="16384" width="9" style="1461"/>
  </cols>
  <sheetData>
    <row r="1" spans="1:36" ht="31.2">
      <c r="A1" s="1888" t="s">
        <v>2256</v>
      </c>
      <c r="B1" s="1889"/>
      <c r="C1" s="1890" t="s">
        <v>2257</v>
      </c>
      <c r="D1" s="1891">
        <f>SUM(D29:D30,D33:D39)</f>
        <v>165.59</v>
      </c>
      <c r="E1" s="1891"/>
      <c r="F1" s="1891"/>
      <c r="G1" s="1891"/>
      <c r="H1" s="1891"/>
      <c r="I1" s="1891"/>
      <c r="J1" s="1891"/>
      <c r="K1" s="2737"/>
      <c r="L1" s="1892" t="s">
        <v>2258</v>
      </c>
      <c r="M1" s="1893">
        <f>SUMPRODUCT((区片价!B5:B9=I2)*(区片价!C3:F3=E2)*(区片价!C5:F9))</f>
        <v>0</v>
      </c>
      <c r="N1" s="1894">
        <f>SUMPRODUCT((因素修正幅度!B5:B9=I2)*(因素修正幅度!C3:F3=E2)*(因素修正幅度!C5:F9))</f>
        <v>0</v>
      </c>
      <c r="O1" s="2737"/>
      <c r="P1" s="2737"/>
      <c r="Q1" s="2737"/>
      <c r="R1" s="1895" t="s">
        <v>2259</v>
      </c>
      <c r="S1" s="1895" t="s">
        <v>2260</v>
      </c>
      <c r="T1" s="1895" t="s">
        <v>2261</v>
      </c>
      <c r="U1" s="1895" t="s">
        <v>2262</v>
      </c>
      <c r="V1" s="1895" t="s">
        <v>2263</v>
      </c>
      <c r="W1" s="1896"/>
      <c r="X1" s="1896"/>
      <c r="Y1" s="1896"/>
      <c r="Z1" s="1896"/>
      <c r="AA1" s="1896"/>
      <c r="AB1" s="1896"/>
      <c r="AC1" s="1896"/>
      <c r="AD1" s="1897"/>
      <c r="AE1" s="1897"/>
      <c r="AF1" s="1897"/>
      <c r="AG1" s="1897"/>
      <c r="AH1" s="1897"/>
      <c r="AI1" s="1897"/>
      <c r="AJ1" s="1898"/>
    </row>
    <row r="2" spans="1:36" ht="25.2">
      <c r="A2" s="1777" t="s">
        <v>2264</v>
      </c>
      <c r="B2" s="1496" t="e">
        <f>C26</f>
        <v>#REF!</v>
      </c>
      <c r="C2" s="1899" t="s">
        <v>2265</v>
      </c>
      <c r="D2" s="46" t="s">
        <v>2266</v>
      </c>
      <c r="E2" s="1900" t="s">
        <v>2643</v>
      </c>
      <c r="F2" s="46" t="s">
        <v>2267</v>
      </c>
      <c r="G2" s="1901">
        <f>项目基本情况!F9</f>
        <v>0</v>
      </c>
      <c r="H2" s="1441" t="s">
        <v>2268</v>
      </c>
      <c r="I2" s="1901">
        <f>项目基本情况!F10</f>
        <v>0</v>
      </c>
      <c r="J2" s="1891"/>
      <c r="K2" s="2737"/>
      <c r="L2" s="1902" t="s">
        <v>2269</v>
      </c>
      <c r="M2" s="1738">
        <f>SUMPRODUCT((区片价!B10:B28=I2)*(区片价!C3:F3=E2)*(区片价!C10:F28))</f>
        <v>0</v>
      </c>
      <c r="N2" s="1903">
        <f>SUMPRODUCT((因素修正幅度!B10:B28=I2)*(因素修正幅度!C3:F3=E2)*(因素修正幅度!C10:F28))</f>
        <v>0</v>
      </c>
      <c r="O2" s="2737"/>
      <c r="P2" s="2737"/>
      <c r="Q2" s="2737"/>
      <c r="R2" s="1895">
        <v>1</v>
      </c>
      <c r="S2" s="1895" t="e">
        <f>ROUND(IF(G3&gt;1,IF(R2&lt;7,SUMPRODUCT((B93:B98=R2)*(C92:N92=G2)*(C93:N98)),SUMIF(C92:N92,G2,C100:N100)),IF(R2&lt;7,SUMPRODUCT((B102:B107=R2)*(C92:N92=G2)*(C102:N107)),SUMIF(C92:N92,G2,C109:N109))),4)</f>
        <v>#DIV/0!</v>
      </c>
      <c r="T2" s="1895" t="e">
        <f>ROUND($C$5*$C$18*$C$19*$C$20*S2*$C$24,0)</f>
        <v>#DIV/0!</v>
      </c>
      <c r="U2" s="1904"/>
      <c r="V2" s="1895" t="e">
        <f t="shared" ref="V2:V8" si="0">ROUND(T2*U2,0)</f>
        <v>#DIV/0!</v>
      </c>
      <c r="W2" s="1896"/>
      <c r="X2" s="1896"/>
      <c r="Y2" s="1896"/>
      <c r="Z2" s="1896"/>
      <c r="AA2" s="1896"/>
      <c r="AB2" s="1896"/>
      <c r="AC2" s="1896"/>
      <c r="AD2" s="1897"/>
      <c r="AE2" s="1897"/>
      <c r="AF2" s="1897"/>
      <c r="AG2" s="1897"/>
      <c r="AH2" s="1897"/>
      <c r="AI2" s="1897"/>
      <c r="AJ2" s="1898"/>
    </row>
    <row r="3" spans="1:36" ht="26.4">
      <c r="A3" s="1496" t="s">
        <v>2270</v>
      </c>
      <c r="B3" s="1496" t="e">
        <f>ROUND(B2/D1,0)</f>
        <v>#REF!</v>
      </c>
      <c r="C3" s="1899" t="s">
        <v>2271</v>
      </c>
      <c r="D3" s="46" t="s">
        <v>2272</v>
      </c>
      <c r="E3" s="1900" t="s">
        <v>2645</v>
      </c>
      <c r="F3" s="1442" t="s">
        <v>2273</v>
      </c>
      <c r="G3" s="1905">
        <f>项目基本情况!C15</f>
        <v>0</v>
      </c>
      <c r="H3" s="46" t="s">
        <v>2274</v>
      </c>
      <c r="I3" s="1906"/>
      <c r="J3" s="1891" t="s">
        <v>2275</v>
      </c>
      <c r="K3" s="2737"/>
      <c r="L3" s="1902" t="s">
        <v>2276</v>
      </c>
      <c r="M3" s="1738">
        <f>SUMPRODUCT((区片价!B29:B48=I2)*(区片价!C3:F3=E2)*(区片价!C29:F48))</f>
        <v>0</v>
      </c>
      <c r="N3" s="1903">
        <f>SUMPRODUCT((因素修正幅度!B29:B48=I2)*(因素修正幅度!C3:F3=E2)*(因素修正幅度!C29:F48))</f>
        <v>0</v>
      </c>
      <c r="O3" s="2737"/>
      <c r="P3" s="2737"/>
      <c r="Q3" s="2737"/>
      <c r="R3" s="1895">
        <v>2</v>
      </c>
      <c r="S3" s="1895" t="e">
        <f>ROUND(IF(G3&gt;1,IF(R3&lt;7,SUMPRODUCT((B93:B98=R3)*(C92:N92=G2)*(C93:N98)),SUMIF(C92:N92,G2,C100:N100)),IF(R3&lt;7,SUMPRODUCT((B102:B107=R3)*(C92:N92=G2)*(C102:N107)),SUMIF(C92:N92,G2,C109:N109))),4)</f>
        <v>#DIV/0!</v>
      </c>
      <c r="T3" s="1895" t="e">
        <f t="shared" ref="T3:T16" si="1">ROUND($C$5*$C$18*$C$19*$C$20*S3*$C$24,0)</f>
        <v>#DIV/0!</v>
      </c>
      <c r="U3" s="1904"/>
      <c r="V3" s="1895" t="e">
        <f t="shared" si="0"/>
        <v>#DIV/0!</v>
      </c>
      <c r="W3" s="1896"/>
      <c r="X3" s="1896"/>
      <c r="Y3" s="1896"/>
      <c r="Z3" s="1896"/>
      <c r="AA3" s="1896"/>
      <c r="AB3" s="1896"/>
      <c r="AC3" s="1896"/>
      <c r="AD3" s="1897"/>
      <c r="AE3" s="1897"/>
      <c r="AF3" s="1897"/>
      <c r="AG3" s="1897"/>
      <c r="AH3" s="1897"/>
      <c r="AI3" s="1897"/>
      <c r="AJ3" s="1898"/>
    </row>
    <row r="4" spans="1:36" ht="15.6">
      <c r="A4" s="3413"/>
      <c r="B4" s="3414"/>
      <c r="C4" s="3414"/>
      <c r="D4" s="3415"/>
      <c r="E4" s="3415"/>
      <c r="F4" s="3415"/>
      <c r="G4" s="3415"/>
      <c r="H4" s="3415"/>
      <c r="I4" s="3415"/>
      <c r="J4" s="3416"/>
      <c r="K4" s="2737"/>
      <c r="L4" s="1902" t="s">
        <v>2277</v>
      </c>
      <c r="M4" s="1738">
        <f>SUMPRODUCT((区片价!B49:B75=I2)*(区片价!C3:F3=E2)*(区片价!C49:F75))</f>
        <v>0</v>
      </c>
      <c r="N4" s="1903">
        <f>SUMPRODUCT((因素修正幅度!B49:B75=I2)*(因素修正幅度!C3:F3=E2)*(因素修正幅度!C49:F75))</f>
        <v>0</v>
      </c>
      <c r="O4" s="2737"/>
      <c r="P4" s="2737"/>
      <c r="Q4" s="2737"/>
      <c r="R4" s="1895">
        <v>3</v>
      </c>
      <c r="S4" s="1895" t="e">
        <f>ROUND(IF(G3&gt;1,IF(R4&lt;7,SUMPRODUCT((B93:B98=R4)*(C92:N92=G2)*(C93:N98)),SUMIF(C92:N92,G2,C100:N100)),IF(R4&lt;7,SUMPRODUCT((B102:B107=R4)*(C92:N92=G2)*(C102:N107)),SUMIF(C92:N92,G2,C109:N109))),4)</f>
        <v>#DIV/0!</v>
      </c>
      <c r="T4" s="1895" t="e">
        <f t="shared" si="1"/>
        <v>#DIV/0!</v>
      </c>
      <c r="U4" s="1904"/>
      <c r="V4" s="1895" t="e">
        <f t="shared" si="0"/>
        <v>#DIV/0!</v>
      </c>
      <c r="W4" s="1896"/>
      <c r="X4" s="1896"/>
      <c r="Y4" s="1896"/>
      <c r="Z4" s="1896"/>
      <c r="AA4" s="1896"/>
      <c r="AB4" s="1896"/>
      <c r="AC4" s="1896"/>
      <c r="AD4" s="1897"/>
      <c r="AE4" s="1897"/>
      <c r="AF4" s="1897"/>
      <c r="AG4" s="1897"/>
      <c r="AH4" s="1897"/>
      <c r="AI4" s="1897"/>
      <c r="AJ4" s="1898"/>
    </row>
    <row r="5" spans="1:36" s="1914" customFormat="1" ht="15.6" thickBot="1">
      <c r="A5" s="1443" t="s">
        <v>2278</v>
      </c>
      <c r="B5" s="1443" t="s">
        <v>2279</v>
      </c>
      <c r="C5" s="1907">
        <f>ROUND(IF(E2="商业",C6*C7+C16,(IF(E2="住宅",C6*C12+C16,C6+C16))),0)</f>
        <v>0</v>
      </c>
      <c r="D5" s="1908">
        <f>ROUND(C6+C16,0)</f>
        <v>0</v>
      </c>
      <c r="E5" s="1908"/>
      <c r="F5" s="1909"/>
      <c r="G5" s="1910"/>
      <c r="H5" s="1910"/>
      <c r="I5" s="1910"/>
      <c r="J5" s="1796"/>
      <c r="K5" s="1503"/>
      <c r="L5" s="1902" t="s">
        <v>2280</v>
      </c>
      <c r="M5" s="1738">
        <f>SUMPRODUCT((区片价!B76:B109=I2)*(区片价!C3:F3=E2)*(区片价!C76:F109))</f>
        <v>0</v>
      </c>
      <c r="N5" s="1903">
        <f>SUMPRODUCT((因素修正幅度!B76:B109=I2)*(因素修正幅度!C3:F3=E2)*(因素修正幅度!C76:F109))</f>
        <v>0</v>
      </c>
      <c r="O5" s="2737"/>
      <c r="P5" s="2737"/>
      <c r="Q5" s="2737"/>
      <c r="R5" s="1895">
        <v>4</v>
      </c>
      <c r="S5" s="1895" t="e">
        <f>ROUND(IF(G3&gt;1,IF(R5&lt;7,SUMPRODUCT((B93:B98=R5)*(C92:N92=G2)*(C93:N98)),SUMIF(C92:N92,G2,C100:N100)),IF(R5&lt;7,SUMPRODUCT((B102:B107=R5)*(C92:N92=G2)*(C102:N107)),SUMIF(C92:N92,G2,C109:N109))),4)</f>
        <v>#DIV/0!</v>
      </c>
      <c r="T5" s="1895" t="e">
        <f t="shared" si="1"/>
        <v>#DIV/0!</v>
      </c>
      <c r="U5" s="1904"/>
      <c r="V5" s="1895" t="e">
        <f t="shared" si="0"/>
        <v>#DIV/0!</v>
      </c>
      <c r="W5" s="1896"/>
      <c r="X5" s="1896"/>
      <c r="Y5" s="1896"/>
      <c r="Z5" s="1896"/>
      <c r="AA5" s="1896"/>
      <c r="AB5" s="1896"/>
      <c r="AC5" s="1911"/>
      <c r="AD5" s="1912"/>
      <c r="AE5" s="1912"/>
      <c r="AF5" s="1912"/>
      <c r="AG5" s="1912"/>
      <c r="AH5" s="1912"/>
      <c r="AI5" s="1912"/>
      <c r="AJ5" s="1913"/>
    </row>
    <row r="6" spans="1:36" ht="15.6" thickBot="1">
      <c r="A6" s="1915">
        <v>1</v>
      </c>
      <c r="B6" s="1444" t="s">
        <v>2281</v>
      </c>
      <c r="C6" s="1916">
        <f>SUMIF(L1:L12,G2,M1:M12)</f>
        <v>0</v>
      </c>
      <c r="D6" s="1917" t="s">
        <v>2282</v>
      </c>
      <c r="E6" s="1444"/>
      <c r="F6" s="1444"/>
      <c r="G6" s="1918"/>
      <c r="H6" s="1918"/>
      <c r="I6" s="1918"/>
      <c r="J6" s="1919"/>
      <c r="K6" s="2738"/>
      <c r="L6" s="1902" t="s">
        <v>2283</v>
      </c>
      <c r="M6" s="1738">
        <f>SUMPRODUCT((区片价!B110:B157=I2)*(区片价!C3:F3=E2)*(区片价!C110:F157))</f>
        <v>0</v>
      </c>
      <c r="N6" s="1903">
        <f>SUMPRODUCT((因素修正幅度!B110:B157=I2)*(因素修正幅度!C3:F3=E2)*(因素修正幅度!C110:F157))</f>
        <v>0</v>
      </c>
      <c r="O6" s="2737"/>
      <c r="P6" s="2737"/>
      <c r="Q6" s="2737"/>
      <c r="R6" s="1895">
        <v>5</v>
      </c>
      <c r="S6" s="1895" t="e">
        <f>ROUND(IF(G3&gt;1,IF(R6&lt;7,SUMPRODUCT((B93:B98=R6)*(C92:N92=G2)*(C93:N98)),SUMIF(C92:N92,G2,C100:N100)),IF(R6&lt;7,SUMPRODUCT((B102:B107=R6)*(C92:N92=G2)*(C102:N107)),SUMIF(C92:N92,G2,C109:N109))),4)</f>
        <v>#DIV/0!</v>
      </c>
      <c r="T6" s="1895" t="e">
        <f t="shared" si="1"/>
        <v>#DIV/0!</v>
      </c>
      <c r="U6" s="1904"/>
      <c r="V6" s="1895" t="e">
        <f t="shared" si="0"/>
        <v>#DIV/0!</v>
      </c>
      <c r="W6" s="1896"/>
      <c r="X6" s="1896"/>
      <c r="Y6" s="1896"/>
      <c r="Z6" s="1896"/>
      <c r="AA6" s="1896"/>
      <c r="AB6" s="1896"/>
      <c r="AC6" s="1911"/>
      <c r="AD6" s="1912"/>
      <c r="AE6" s="1912"/>
      <c r="AF6" s="1912"/>
      <c r="AG6" s="1912"/>
      <c r="AH6" s="1912"/>
      <c r="AI6" s="1912"/>
      <c r="AJ6" s="1913"/>
    </row>
    <row r="7" spans="1:36" ht="24">
      <c r="A7" s="3417" t="str">
        <f>IF(E2="商业",IF(C8="不临58条商业街","",2),"")</f>
        <v/>
      </c>
      <c r="B7" s="1445" t="s">
        <v>2284</v>
      </c>
      <c r="C7" s="1920" t="e">
        <f>IF(C8="不临58条商业街",1,ROUND(1+(1.6*E8+1.2*E9+0.8*E10+0.4*E11)*C9,4))</f>
        <v>#DIV/0!</v>
      </c>
      <c r="D7" s="1921" t="s">
        <v>2285</v>
      </c>
      <c r="E7" s="1922"/>
      <c r="F7" s="1923"/>
      <c r="G7" s="1923"/>
      <c r="H7" s="1923"/>
      <c r="I7" s="1923"/>
      <c r="J7" s="1924"/>
      <c r="K7" s="2738"/>
      <c r="L7" s="1902" t="s">
        <v>2286</v>
      </c>
      <c r="M7" s="1738">
        <f>SUMPRODUCT((区片价!B158:B205=I2)*(区片价!C3:F3=E2)*(区片价!C158:F205))</f>
        <v>0</v>
      </c>
      <c r="N7" s="1903">
        <f>SUMPRODUCT((因素修正幅度!B158:B205=I2)*(因素修正幅度!C3:F3=E2)*(因素修正幅度!C158:F205))</f>
        <v>0</v>
      </c>
      <c r="O7" s="2737"/>
      <c r="P7" s="2737"/>
      <c r="Q7" s="2737"/>
      <c r="R7" s="1895">
        <v>6</v>
      </c>
      <c r="S7" s="1895" t="e">
        <f>ROUND(IF(G3&gt;1,IF(R7&lt;7,SUMPRODUCT((B93:B98=R7)*(C92:N92=G2)*(C93:N98)),SUMIF(C92:N92,G2,C100:N100)),IF(R7&lt;7,SUMPRODUCT((B102:B107=R7)*(C92:N92=G2)*(C102:N107)),SUMIF(C92:N92,G2,C109:N109))),4)</f>
        <v>#DIV/0!</v>
      </c>
      <c r="T7" s="1895" t="e">
        <f t="shared" si="1"/>
        <v>#DIV/0!</v>
      </c>
      <c r="U7" s="1904"/>
      <c r="V7" s="1895" t="e">
        <f t="shared" si="0"/>
        <v>#DIV/0!</v>
      </c>
      <c r="W7" s="1925" t="s">
        <v>2287</v>
      </c>
      <c r="X7" s="1926">
        <f>G2</f>
        <v>0</v>
      </c>
      <c r="Y7" s="1926" t="s">
        <v>2288</v>
      </c>
      <c r="Z7" s="1927">
        <f>G3</f>
        <v>0</v>
      </c>
      <c r="AA7" s="1896"/>
      <c r="AB7" s="1896"/>
      <c r="AC7" s="1896"/>
      <c r="AD7" s="1897"/>
      <c r="AE7" s="1897"/>
      <c r="AF7" s="1897"/>
      <c r="AG7" s="1897"/>
      <c r="AH7" s="1897"/>
      <c r="AI7" s="1897"/>
      <c r="AJ7" s="1898"/>
    </row>
    <row r="8" spans="1:36" ht="15">
      <c r="A8" s="3418"/>
      <c r="B8" s="46" t="s">
        <v>2289</v>
      </c>
      <c r="C8" s="1900"/>
      <c r="D8" s="61" t="s">
        <v>89</v>
      </c>
      <c r="E8" s="1928" t="e">
        <f>ROUND(C11/E7,4)</f>
        <v>#DIV/0!</v>
      </c>
      <c r="F8" s="1929" t="s">
        <v>2290</v>
      </c>
      <c r="G8" s="1930"/>
      <c r="H8" s="1930"/>
      <c r="I8" s="1930"/>
      <c r="J8" s="1931"/>
      <c r="K8" s="2737"/>
      <c r="L8" s="1902" t="s">
        <v>2291</v>
      </c>
      <c r="M8" s="1738">
        <f>SUMPRODUCT((区片价!B206:B244=I2)*(区片价!C3:F3=E2)*(区片价!C206:F244))</f>
        <v>0</v>
      </c>
      <c r="N8" s="1903">
        <f>SUMPRODUCT((因素修正幅度!B206:B244=I2)*(因素修正幅度!C3:F3=E2)*(因素修正幅度!C206:F244))</f>
        <v>0</v>
      </c>
      <c r="O8" s="2737"/>
      <c r="P8" s="2737"/>
      <c r="Q8" s="2737"/>
      <c r="R8" s="1895">
        <v>7</v>
      </c>
      <c r="S8" s="1904"/>
      <c r="T8" s="1895">
        <f t="shared" si="1"/>
        <v>0</v>
      </c>
      <c r="U8" s="1904"/>
      <c r="V8" s="1895">
        <f t="shared" si="0"/>
        <v>0</v>
      </c>
      <c r="W8" s="3411" t="s">
        <v>2292</v>
      </c>
      <c r="X8" s="3412"/>
      <c r="Y8" s="1932" t="s">
        <v>2293</v>
      </c>
      <c r="Z8" s="1932" t="s">
        <v>2294</v>
      </c>
      <c r="AA8" s="1932" t="s">
        <v>2295</v>
      </c>
      <c r="AB8" s="1932" t="s">
        <v>2296</v>
      </c>
      <c r="AC8" s="1932" t="s">
        <v>2297</v>
      </c>
      <c r="AD8" s="1932" t="s">
        <v>2298</v>
      </c>
      <c r="AE8" s="1932" t="s">
        <v>2299</v>
      </c>
      <c r="AF8" s="1932" t="s">
        <v>2300</v>
      </c>
      <c r="AG8" s="1932" t="s">
        <v>2301</v>
      </c>
      <c r="AH8" s="1932" t="s">
        <v>2302</v>
      </c>
      <c r="AI8" s="1932" t="s">
        <v>2303</v>
      </c>
      <c r="AJ8" s="1932" t="s">
        <v>2304</v>
      </c>
    </row>
    <row r="9" spans="1:36" ht="15">
      <c r="A9" s="3418"/>
      <c r="B9" s="46" t="s">
        <v>2305</v>
      </c>
      <c r="C9" s="1933">
        <f>SUMIF(修正!C71:C138,C8,修正!E71:E138)</f>
        <v>0</v>
      </c>
      <c r="D9" s="46" t="s">
        <v>90</v>
      </c>
      <c r="E9" s="46" t="e">
        <f>ROUND(C11/E7,4)</f>
        <v>#DIV/0!</v>
      </c>
      <c r="F9" s="1929" t="s">
        <v>2306</v>
      </c>
      <c r="G9" s="1930"/>
      <c r="H9" s="1930"/>
      <c r="I9" s="1930"/>
      <c r="J9" s="1931"/>
      <c r="K9" s="2737"/>
      <c r="L9" s="1902" t="s">
        <v>2307</v>
      </c>
      <c r="M9" s="1738">
        <f>SUMPRODUCT((区片价!B245:B289=I2)*(区片价!C3:F3=E2)*(区片价!C245:F289))</f>
        <v>0</v>
      </c>
      <c r="N9" s="1903">
        <f>SUMPRODUCT((因素修正幅度!B245:B289=I2)*(因素修正幅度!C3:F3=E2)*(因素修正幅度!C245:F289))</f>
        <v>0</v>
      </c>
      <c r="O9" s="2737"/>
      <c r="P9" s="2737"/>
      <c r="Q9" s="2737"/>
      <c r="R9" s="1895">
        <v>8</v>
      </c>
      <c r="S9" s="1904"/>
      <c r="T9" s="1895">
        <f t="shared" si="1"/>
        <v>0</v>
      </c>
      <c r="U9" s="1904"/>
      <c r="V9" s="1895">
        <f t="shared" ref="V9:V16" si="2">ROUND(T9*U9,0)</f>
        <v>0</v>
      </c>
      <c r="W9" s="3412" t="s">
        <v>2308</v>
      </c>
      <c r="X9" s="1934" t="s">
        <v>2309</v>
      </c>
      <c r="Y9" s="1935"/>
      <c r="Z9" s="1936">
        <f>$Y$9</f>
        <v>0</v>
      </c>
      <c r="AA9" s="1936">
        <f t="shared" ref="AA9:AJ9" si="3">$Y$9</f>
        <v>0</v>
      </c>
      <c r="AB9" s="1936">
        <f t="shared" si="3"/>
        <v>0</v>
      </c>
      <c r="AC9" s="1936">
        <f t="shared" si="3"/>
        <v>0</v>
      </c>
      <c r="AD9" s="1936">
        <f t="shared" si="3"/>
        <v>0</v>
      </c>
      <c r="AE9" s="1936">
        <f t="shared" si="3"/>
        <v>0</v>
      </c>
      <c r="AF9" s="1936">
        <f t="shared" si="3"/>
        <v>0</v>
      </c>
      <c r="AG9" s="1936">
        <f t="shared" si="3"/>
        <v>0</v>
      </c>
      <c r="AH9" s="1936">
        <f t="shared" si="3"/>
        <v>0</v>
      </c>
      <c r="AI9" s="1936">
        <f t="shared" si="3"/>
        <v>0</v>
      </c>
      <c r="AJ9" s="1936">
        <f t="shared" si="3"/>
        <v>0</v>
      </c>
    </row>
    <row r="10" spans="1:36" ht="15">
      <c r="A10" s="3418"/>
      <c r="B10" s="46" t="s">
        <v>2310</v>
      </c>
      <c r="C10" s="46">
        <f>SUMIF(修正!C71:C138,C8,修正!F71:F138)</f>
        <v>0</v>
      </c>
      <c r="D10" s="46" t="s">
        <v>91</v>
      </c>
      <c r="E10" s="46" t="e">
        <f>ROUND(C11/E7,4)</f>
        <v>#DIV/0!</v>
      </c>
      <c r="F10" s="1929" t="s">
        <v>2311</v>
      </c>
      <c r="G10" s="1930"/>
      <c r="H10" s="1930"/>
      <c r="I10" s="1930"/>
      <c r="J10" s="1931"/>
      <c r="K10" s="2737"/>
      <c r="L10" s="1902" t="s">
        <v>2312</v>
      </c>
      <c r="M10" s="1738">
        <f>SUMPRODUCT((区片价!B290:B316=I2)*(区片价!C3:F3=E2)*(区片价!C290:F316))</f>
        <v>0</v>
      </c>
      <c r="N10" s="1903">
        <f>SUMPRODUCT((因素修正幅度!B290:B316=I2)*(因素修正幅度!C3:F3=E2)*(因素修正幅度!C290:F316))</f>
        <v>0</v>
      </c>
      <c r="O10" s="2737"/>
      <c r="P10" s="2737"/>
      <c r="Q10" s="2737"/>
      <c r="R10" s="1895">
        <v>9</v>
      </c>
      <c r="S10" s="1904"/>
      <c r="T10" s="1895">
        <f t="shared" si="1"/>
        <v>0</v>
      </c>
      <c r="U10" s="1904"/>
      <c r="V10" s="1895">
        <f t="shared" si="2"/>
        <v>0</v>
      </c>
      <c r="W10" s="3412"/>
      <c r="X10" s="1934">
        <v>7</v>
      </c>
      <c r="Y10" s="1937">
        <f>(-0.163*(Y9^2)-0.59*Y9+7617)*(10^(-4))</f>
        <v>0.76170000000000004</v>
      </c>
      <c r="Z10" s="1937">
        <f>(-0.163*(Z9^2)-0.59*Z9+7617)*(10^(-4))</f>
        <v>0.76170000000000004</v>
      </c>
      <c r="AA10" s="1937">
        <f>(-0.161*(AA9^2)-7.509*AA9+6533)*(10^(-4))</f>
        <v>0.65329999999999999</v>
      </c>
      <c r="AB10" s="1937">
        <f>(-0.161*(AB9^2)-7.509*AB9+6533)*(10^(-4))</f>
        <v>0.65329999999999999</v>
      </c>
      <c r="AC10" s="1937">
        <f>(-0.161*(AC9^2)-7.509*AC9+6533)*(10^(-4))</f>
        <v>0.65329999999999999</v>
      </c>
      <c r="AD10" s="1937">
        <f>(-0.161*(AD9^2)-7.509*AD9+6533)*(10^(-4))</f>
        <v>0.65329999999999999</v>
      </c>
      <c r="AE10" s="1937">
        <f>(-0.161*(AE9^2)-7.509*AE9+6533)*(10^(-4))</f>
        <v>0.65329999999999999</v>
      </c>
      <c r="AF10" s="1937">
        <f>(-0.214*(AF9^2)-21.991*AF9+4665)*(10^(-4))</f>
        <v>0.46650000000000003</v>
      </c>
      <c r="AG10" s="1937">
        <f>(-0.214*(AG9^2)-21.991*AG9+4665)*(10^(-4))</f>
        <v>0.46650000000000003</v>
      </c>
      <c r="AH10" s="1937">
        <f>(-0.214*(AH9^2)-21.991*AH9+4665)*(10^(-4))</f>
        <v>0.46650000000000003</v>
      </c>
      <c r="AI10" s="1937">
        <f>(-0.214*(AI9^2)-21.991*AI9+4665)*(10^(-4))</f>
        <v>0.46650000000000003</v>
      </c>
      <c r="AJ10" s="1937">
        <f>(-0.214*(AJ9^2)-21.991*AJ9+4665)*(10^(-4))</f>
        <v>0.46650000000000003</v>
      </c>
    </row>
    <row r="11" spans="1:36" ht="15.6" thickBot="1">
      <c r="A11" s="3418"/>
      <c r="B11" s="1446" t="s">
        <v>2313</v>
      </c>
      <c r="C11" s="1446">
        <f>C10/4</f>
        <v>0</v>
      </c>
      <c r="D11" s="1446" t="s">
        <v>92</v>
      </c>
      <c r="E11" s="1446" t="e">
        <f>ROUND(C11/E7,4)</f>
        <v>#DIV/0!</v>
      </c>
      <c r="F11" s="1938" t="s">
        <v>2314</v>
      </c>
      <c r="G11" s="1939"/>
      <c r="H11" s="1939"/>
      <c r="I11" s="1939"/>
      <c r="J11" s="1940"/>
      <c r="K11" s="2737"/>
      <c r="L11" s="1902" t="s">
        <v>2315</v>
      </c>
      <c r="M11" s="1738">
        <f>SUMPRODUCT((区片价!B317:B337=I2)*(区片价!C3:F3=E2)*(区片价!C317:F337))</f>
        <v>0</v>
      </c>
      <c r="N11" s="1903">
        <f>SUMPRODUCT((因素修正幅度!B317:B337=I2)*(因素修正幅度!C3:F3=E2)*(因素修正幅度!C317:F337))</f>
        <v>0</v>
      </c>
      <c r="O11" s="2737"/>
      <c r="P11" s="2737"/>
      <c r="Q11" s="2737"/>
      <c r="R11" s="1895">
        <v>10</v>
      </c>
      <c r="S11" s="1904"/>
      <c r="T11" s="1895">
        <f t="shared" si="1"/>
        <v>0</v>
      </c>
      <c r="U11" s="1904"/>
      <c r="V11" s="1895">
        <f t="shared" si="2"/>
        <v>0</v>
      </c>
      <c r="W11" s="3412" t="s">
        <v>2316</v>
      </c>
      <c r="X11" s="1941" t="s">
        <v>2317</v>
      </c>
      <c r="Y11" s="1941">
        <f>$G$3</f>
        <v>0</v>
      </c>
      <c r="Z11" s="1941">
        <f t="shared" ref="Z11:AJ11" si="4">$G$3</f>
        <v>0</v>
      </c>
      <c r="AA11" s="1941">
        <f t="shared" si="4"/>
        <v>0</v>
      </c>
      <c r="AB11" s="1941">
        <f t="shared" si="4"/>
        <v>0</v>
      </c>
      <c r="AC11" s="1941">
        <f t="shared" si="4"/>
        <v>0</v>
      </c>
      <c r="AD11" s="1941">
        <f t="shared" si="4"/>
        <v>0</v>
      </c>
      <c r="AE11" s="1941">
        <f t="shared" si="4"/>
        <v>0</v>
      </c>
      <c r="AF11" s="1941">
        <f t="shared" si="4"/>
        <v>0</v>
      </c>
      <c r="AG11" s="1941">
        <f t="shared" si="4"/>
        <v>0</v>
      </c>
      <c r="AH11" s="1941">
        <f t="shared" si="4"/>
        <v>0</v>
      </c>
      <c r="AI11" s="1941">
        <f t="shared" si="4"/>
        <v>0</v>
      </c>
      <c r="AJ11" s="1941">
        <f t="shared" si="4"/>
        <v>0</v>
      </c>
    </row>
    <row r="12" spans="1:36" ht="25.8" thickBot="1">
      <c r="A12" s="3417">
        <f>IF(E2="住宅",2,"")</f>
        <v>2</v>
      </c>
      <c r="B12" s="1447" t="s">
        <v>2318</v>
      </c>
      <c r="C12" s="1920">
        <f>ROUND(C15*D15*E15*F15*G15*H15*I15*J15,4)</f>
        <v>1.32</v>
      </c>
      <c r="D12" s="1942" t="s">
        <v>2319</v>
      </c>
      <c r="E12" s="1943"/>
      <c r="F12" s="1943"/>
      <c r="G12" s="1943"/>
      <c r="H12" s="1943"/>
      <c r="I12" s="1943"/>
      <c r="J12" s="1944"/>
      <c r="K12" s="2737"/>
      <c r="L12" s="1761" t="s">
        <v>2320</v>
      </c>
      <c r="M12" s="1945">
        <f>SUMPRODUCT((区片价!B338:B344=I2)*(区片价!C3:F3=E2)*(区片价!C338:F344))</f>
        <v>0</v>
      </c>
      <c r="N12" s="1946">
        <f>SUMPRODUCT((因素修正幅度!B338:B344=I2)*(因素修正幅度!C3:F3=E2)*(因素修正幅度!C338:F344))</f>
        <v>0</v>
      </c>
      <c r="O12" s="2737"/>
      <c r="P12" s="2737"/>
      <c r="Q12" s="2737"/>
      <c r="R12" s="1895">
        <v>11</v>
      </c>
      <c r="S12" s="1904"/>
      <c r="T12" s="1895">
        <f t="shared" si="1"/>
        <v>0</v>
      </c>
      <c r="U12" s="1904"/>
      <c r="V12" s="1895">
        <f t="shared" si="2"/>
        <v>0</v>
      </c>
      <c r="W12" s="3412"/>
      <c r="X12" s="1947" t="s">
        <v>2321</v>
      </c>
      <c r="Y12" s="1936">
        <f t="shared" ref="Y12:AJ12" si="5">Y9</f>
        <v>0</v>
      </c>
      <c r="Z12" s="1936">
        <f t="shared" si="5"/>
        <v>0</v>
      </c>
      <c r="AA12" s="1936">
        <f t="shared" si="5"/>
        <v>0</v>
      </c>
      <c r="AB12" s="1936">
        <f t="shared" si="5"/>
        <v>0</v>
      </c>
      <c r="AC12" s="1936">
        <f t="shared" si="5"/>
        <v>0</v>
      </c>
      <c r="AD12" s="1936">
        <f t="shared" si="5"/>
        <v>0</v>
      </c>
      <c r="AE12" s="1936">
        <f t="shared" si="5"/>
        <v>0</v>
      </c>
      <c r="AF12" s="1936">
        <f t="shared" si="5"/>
        <v>0</v>
      </c>
      <c r="AG12" s="1936">
        <f t="shared" si="5"/>
        <v>0</v>
      </c>
      <c r="AH12" s="1936">
        <f t="shared" si="5"/>
        <v>0</v>
      </c>
      <c r="AI12" s="1936">
        <f t="shared" si="5"/>
        <v>0</v>
      </c>
      <c r="AJ12" s="1936">
        <f t="shared" si="5"/>
        <v>0</v>
      </c>
    </row>
    <row r="13" spans="1:36" ht="24">
      <c r="A13" s="3419"/>
      <c r="B13" s="1448" t="s">
        <v>2322</v>
      </c>
      <c r="C13" s="1948" t="s">
        <v>2323</v>
      </c>
      <c r="D13" s="1449" t="s">
        <v>2324</v>
      </c>
      <c r="E13" s="1449" t="s">
        <v>2325</v>
      </c>
      <c r="F13" s="260" t="s">
        <v>2326</v>
      </c>
      <c r="G13" s="1949" t="s">
        <v>2327</v>
      </c>
      <c r="H13" s="1949" t="s">
        <v>2327</v>
      </c>
      <c r="I13" s="1949" t="s">
        <v>2327</v>
      </c>
      <c r="J13" s="1950" t="s">
        <v>2327</v>
      </c>
      <c r="K13" s="2737"/>
      <c r="L13" s="2737"/>
      <c r="M13" s="2737"/>
      <c r="N13" s="2737"/>
      <c r="O13" s="2737"/>
      <c r="P13" s="2737"/>
      <c r="Q13" s="2737"/>
      <c r="R13" s="1895">
        <v>12</v>
      </c>
      <c r="S13" s="1904"/>
      <c r="T13" s="1895">
        <f t="shared" si="1"/>
        <v>0</v>
      </c>
      <c r="U13" s="1904"/>
      <c r="V13" s="1895">
        <f t="shared" si="2"/>
        <v>0</v>
      </c>
      <c r="W13" s="3412"/>
      <c r="X13" s="1947"/>
      <c r="Y13" s="1937" t="e">
        <f>(-0.163*(Y12^2)-0.59*Y12+7617)*(10^(-4))/Y11</f>
        <v>#DIV/0!</v>
      </c>
      <c r="Z13" s="1937" t="e">
        <f t="shared" ref="Z13:AJ13" si="6">(-0.163*(Z12^2)-0.59*Z12+7617)*(10^(-4))/Z11</f>
        <v>#DIV/0!</v>
      </c>
      <c r="AA13" s="1937" t="e">
        <f t="shared" si="6"/>
        <v>#DIV/0!</v>
      </c>
      <c r="AB13" s="1937" t="e">
        <f t="shared" si="6"/>
        <v>#DIV/0!</v>
      </c>
      <c r="AC13" s="1937" t="e">
        <f t="shared" si="6"/>
        <v>#DIV/0!</v>
      </c>
      <c r="AD13" s="1937" t="e">
        <f t="shared" si="6"/>
        <v>#DIV/0!</v>
      </c>
      <c r="AE13" s="1937" t="e">
        <f t="shared" si="6"/>
        <v>#DIV/0!</v>
      </c>
      <c r="AF13" s="1937" t="e">
        <f t="shared" si="6"/>
        <v>#DIV/0!</v>
      </c>
      <c r="AG13" s="1937" t="e">
        <f t="shared" si="6"/>
        <v>#DIV/0!</v>
      </c>
      <c r="AH13" s="1937" t="e">
        <f t="shared" si="6"/>
        <v>#DIV/0!</v>
      </c>
      <c r="AI13" s="1937" t="e">
        <f t="shared" si="6"/>
        <v>#DIV/0!</v>
      </c>
      <c r="AJ13" s="1937" t="e">
        <f t="shared" si="6"/>
        <v>#DIV/0!</v>
      </c>
    </row>
    <row r="14" spans="1:36" ht="15">
      <c r="A14" s="3419"/>
      <c r="B14" s="1449"/>
      <c r="C14" s="1951" t="s">
        <v>2328</v>
      </c>
      <c r="D14" s="1952" t="s">
        <v>2329</v>
      </c>
      <c r="E14" s="1952" t="s">
        <v>2329</v>
      </c>
      <c r="F14" s="1953" t="s">
        <v>2330</v>
      </c>
      <c r="G14" s="1954" t="s">
        <v>2331</v>
      </c>
      <c r="H14" s="1891"/>
      <c r="I14" s="1955"/>
      <c r="J14" s="1956"/>
      <c r="K14" s="2737"/>
      <c r="L14" s="2737"/>
      <c r="M14" s="2737"/>
      <c r="N14" s="2737"/>
      <c r="O14" s="2737"/>
      <c r="P14" s="2737"/>
      <c r="Q14" s="2737"/>
      <c r="R14" s="1895">
        <v>13</v>
      </c>
      <c r="S14" s="1904"/>
      <c r="T14" s="1895">
        <f t="shared" si="1"/>
        <v>0</v>
      </c>
      <c r="U14" s="1904"/>
      <c r="V14" s="1895">
        <f t="shared" si="2"/>
        <v>0</v>
      </c>
      <c r="W14" s="1896"/>
      <c r="X14" s="1896"/>
      <c r="Y14" s="1896"/>
      <c r="Z14" s="1896"/>
      <c r="AA14" s="1896"/>
      <c r="AB14" s="1896"/>
      <c r="AC14" s="1896"/>
      <c r="AD14" s="1897"/>
      <c r="AE14" s="1897"/>
      <c r="AF14" s="1897"/>
      <c r="AG14" s="1897"/>
      <c r="AH14" s="1897"/>
      <c r="AI14" s="1897"/>
      <c r="AJ14" s="1898"/>
    </row>
    <row r="15" spans="1:36" ht="15.6" thickBot="1">
      <c r="A15" s="3420"/>
      <c r="B15" s="1450" t="s">
        <v>2332</v>
      </c>
      <c r="C15" s="1957">
        <f>IF(C14="有",1.1,1)</f>
        <v>1.1000000000000001</v>
      </c>
      <c r="D15" s="1957">
        <f>IF(D14="有",1.1,1)</f>
        <v>1</v>
      </c>
      <c r="E15" s="1957">
        <f>IF(E14="有",1.1,1)</f>
        <v>1</v>
      </c>
      <c r="F15" s="1957">
        <f>IF(F14="500米范围内",1.2,IF(F14="500-1000米",1.1,1))</f>
        <v>1.2</v>
      </c>
      <c r="G15" s="1958">
        <v>1</v>
      </c>
      <c r="H15" s="1958">
        <v>1</v>
      </c>
      <c r="I15" s="1958">
        <v>1</v>
      </c>
      <c r="J15" s="1959">
        <v>1</v>
      </c>
      <c r="K15" s="2737"/>
      <c r="L15" s="2737"/>
      <c r="M15" s="2737"/>
      <c r="N15" s="2737"/>
      <c r="O15" s="2737"/>
      <c r="P15" s="2737"/>
      <c r="Q15" s="2737"/>
      <c r="R15" s="1895">
        <v>14</v>
      </c>
      <c r="S15" s="1904"/>
      <c r="T15" s="1895">
        <f t="shared" si="1"/>
        <v>0</v>
      </c>
      <c r="U15" s="1904"/>
      <c r="V15" s="1895">
        <f t="shared" si="2"/>
        <v>0</v>
      </c>
      <c r="W15" s="1896"/>
      <c r="X15" s="1896"/>
      <c r="Y15" s="1896"/>
      <c r="Z15" s="1896"/>
      <c r="AA15" s="1896"/>
      <c r="AB15" s="1896"/>
      <c r="AC15" s="1896"/>
      <c r="AD15" s="1897"/>
      <c r="AE15" s="1897"/>
      <c r="AF15" s="1897"/>
      <c r="AG15" s="1897"/>
      <c r="AH15" s="1897"/>
      <c r="AI15" s="1897"/>
      <c r="AJ15" s="1898"/>
    </row>
    <row r="16" spans="1:36" ht="24.6" customHeight="1">
      <c r="A16" s="3421">
        <f>IF(E2="办公",2,IF(E2="工业",2,IF(E2="住宅",3,IF(E2="商业",IF(C8="不临58条商业街",2,3)))))</f>
        <v>3</v>
      </c>
      <c r="B16" s="1468" t="s">
        <v>2338</v>
      </c>
      <c r="C16" s="1445">
        <f>ROUND(IF(F17="与级别开发程度一致",0,(G17-E17)/C17),0)</f>
        <v>0</v>
      </c>
      <c r="D16" s="3434" t="s">
        <v>2342</v>
      </c>
      <c r="E16" s="3435"/>
      <c r="F16" s="3434" t="s">
        <v>2339</v>
      </c>
      <c r="G16" s="3435"/>
      <c r="H16" s="1960"/>
      <c r="I16" s="1960"/>
      <c r="J16" s="1961"/>
      <c r="K16" s="1960"/>
      <c r="L16" s="1960"/>
      <c r="M16" s="1960"/>
      <c r="N16" s="1960"/>
      <c r="O16" s="1962"/>
      <c r="P16" s="2737"/>
      <c r="Q16" s="2737"/>
      <c r="R16" s="1895">
        <v>15</v>
      </c>
      <c r="S16" s="1904"/>
      <c r="T16" s="1895">
        <f t="shared" si="1"/>
        <v>0</v>
      </c>
      <c r="U16" s="1904"/>
      <c r="V16" s="1895">
        <f t="shared" si="2"/>
        <v>0</v>
      </c>
      <c r="W16" s="1896"/>
      <c r="X16" s="1896"/>
      <c r="Y16" s="1896"/>
      <c r="Z16" s="1896"/>
      <c r="AA16" s="1896"/>
      <c r="AB16" s="1896"/>
      <c r="AC16" s="1896"/>
      <c r="AD16" s="1897"/>
      <c r="AE16" s="1897"/>
      <c r="AF16" s="1897"/>
      <c r="AG16" s="1897"/>
      <c r="AH16" s="1897"/>
      <c r="AI16" s="1897"/>
      <c r="AJ16" s="1898"/>
    </row>
    <row r="17" spans="1:35" ht="27" thickBot="1">
      <c r="A17" s="3422"/>
      <c r="B17" s="1469" t="s">
        <v>2341</v>
      </c>
      <c r="C17" s="1963">
        <f>SUMPRODUCT((修正!A2:A7=E2)*(修正!B1:M1=G2)*(修正!B2:M7))</f>
        <v>0</v>
      </c>
      <c r="D17" s="1957" t="str">
        <f>IF(OR(G2="八级",G2="九级",G2="十级",G2="十一级",G2="十二级"),"五通一平","七通一平")</f>
        <v>七通一平</v>
      </c>
      <c r="E17" s="1964">
        <f>SUMPRODUCT((修正!B1:M1=G2)*(修正!B17:M17))</f>
        <v>0</v>
      </c>
      <c r="F17" s="1965" t="s">
        <v>2646</v>
      </c>
      <c r="G17" s="1458">
        <f>SUM(H17:O17)</f>
        <v>0</v>
      </c>
      <c r="H17" s="1963">
        <f>SUMPRODUCT((七通一平=H16)*(修正!B1:M1=G2)*(修正!B8:M16))</f>
        <v>0</v>
      </c>
      <c r="I17" s="1963">
        <f>SUMPRODUCT((七通一平=I16)*(修正!B1:M1=G2)*(修正!B8:M16))</f>
        <v>0</v>
      </c>
      <c r="J17" s="1966">
        <f>SUMPRODUCT((七通一平=J16)*(修正!B1:M1=G2)*(修正!B8:M16))</f>
        <v>0</v>
      </c>
      <c r="K17" s="1963">
        <f>SUMPRODUCT((七通一平=K16)*(修正!B1:M1=G2)*(修正!B8:M16))</f>
        <v>0</v>
      </c>
      <c r="L17" s="1963">
        <f>SUMPRODUCT((七通一平=L16)*(修正!B1:M1=G2)*(修正!B8:M16))</f>
        <v>0</v>
      </c>
      <c r="M17" s="1963">
        <f>SUMPRODUCT((七通一平=M16)*(修正!B1:M1=G2)*(修正!B8:M16))</f>
        <v>0</v>
      </c>
      <c r="N17" s="1963">
        <f>SUMPRODUCT((七通一平=N16)*(修正!B1:M1=G2)*(修正!B8:M16))</f>
        <v>0</v>
      </c>
      <c r="O17" s="1967">
        <f>SUMPRODUCT((七通一平=O16)*(修正!B1:M1=G2)*(修正!B8:M16))</f>
        <v>0</v>
      </c>
      <c r="P17" s="2737"/>
      <c r="Q17" s="2737"/>
      <c r="R17" s="1460"/>
      <c r="S17" s="1460"/>
      <c r="T17" s="1460"/>
      <c r="U17" s="1460"/>
      <c r="V17" s="1460"/>
      <c r="W17" s="1460"/>
      <c r="X17" s="1460"/>
      <c r="Y17" s="1460"/>
      <c r="Z17" s="1460"/>
      <c r="AA17" s="1460"/>
      <c r="AB17" s="1460"/>
      <c r="AC17" s="1460"/>
      <c r="AD17" s="1460"/>
      <c r="AE17" s="1460"/>
      <c r="AF17" s="1460"/>
    </row>
    <row r="18" spans="1:35" s="1914" customFormat="1" ht="15" thickBot="1">
      <c r="A18" s="1968" t="s">
        <v>2344</v>
      </c>
      <c r="B18" s="1467" t="s">
        <v>2345</v>
      </c>
      <c r="C18" s="1969">
        <f>SUMIF(修正!C20:C51,E3,修正!E20:E51)</f>
        <v>0</v>
      </c>
      <c r="D18" s="1970"/>
      <c r="E18" s="1971"/>
      <c r="F18" s="1971"/>
      <c r="G18" s="1971"/>
      <c r="H18" s="1971"/>
      <c r="I18" s="1971"/>
      <c r="J18" s="1972"/>
      <c r="K18" s="2248"/>
      <c r="L18" s="2248"/>
      <c r="M18" s="2248"/>
      <c r="N18" s="2248"/>
      <c r="O18" s="2737"/>
      <c r="P18" s="2737"/>
      <c r="Q18" s="2737"/>
      <c r="R18" s="2737"/>
      <c r="S18" s="2737"/>
      <c r="T18" s="2737"/>
      <c r="U18" s="2737"/>
      <c r="V18" s="2737"/>
      <c r="W18" s="2737"/>
      <c r="X18" s="1460"/>
      <c r="Y18" s="1460"/>
      <c r="Z18" s="1460"/>
      <c r="AA18" s="1460"/>
      <c r="AB18" s="1460"/>
      <c r="AC18" s="1460"/>
      <c r="AD18" s="1460"/>
      <c r="AE18" s="1460"/>
      <c r="AF18" s="1460"/>
      <c r="AG18" s="1461"/>
      <c r="AH18" s="1461"/>
      <c r="AI18" s="1461"/>
    </row>
    <row r="19" spans="1:35" s="1914" customFormat="1" ht="29.4" thickBot="1">
      <c r="A19" s="1968" t="s">
        <v>2346</v>
      </c>
      <c r="B19" s="1451" t="s">
        <v>2347</v>
      </c>
      <c r="C19" s="1974">
        <f>ROUND(IF(H19="按公示增长率计算",SUMPRODUCT((地价!A3:A41=YEAR(G19)&amp;"-"&amp;ROUNDUP(MONTH(G19)/3,0))*(地价!X2:AB2=E2)*(地价!X3:AB41)),IF(H19="地价指数",M20/M19,(1+I19)^O19)),4)</f>
        <v>1.7601</v>
      </c>
      <c r="D19" s="1975" t="s">
        <v>2348</v>
      </c>
      <c r="E19" s="1976">
        <v>41640</v>
      </c>
      <c r="F19" s="1975" t="s">
        <v>2349</v>
      </c>
      <c r="G19" s="1977">
        <f>'数据-取费表'!B2</f>
        <v>44901</v>
      </c>
      <c r="H19" s="1978" t="s">
        <v>2484</v>
      </c>
      <c r="I19" s="1979" t="str">
        <f>IF(H19="季度增幅（自定义）",SUMIF(N21:N24,E2,O21:O24),"")</f>
        <v/>
      </c>
      <c r="J19" s="1980"/>
      <c r="K19" s="2248"/>
      <c r="L19" s="1873" t="s">
        <v>2350</v>
      </c>
      <c r="M19" s="1981">
        <f>ROUND(SUMIF(地价!B2:F2,E2,地价!B41:F41),0)</f>
        <v>423</v>
      </c>
      <c r="N19" s="1982" t="s">
        <v>2351</v>
      </c>
      <c r="O19" s="1983">
        <f>ROUNDDOWN(DATEDIF(E19,G19,"M")/3,0)</f>
        <v>35</v>
      </c>
      <c r="P19" s="2737"/>
      <c r="Q19" s="2248"/>
      <c r="R19" s="2737"/>
      <c r="S19" s="2737"/>
      <c r="T19" s="2737"/>
      <c r="U19" s="2737"/>
      <c r="V19" s="2737"/>
      <c r="W19" s="2737"/>
      <c r="X19" s="1460"/>
      <c r="Y19" s="1460"/>
      <c r="Z19" s="1460"/>
      <c r="AA19" s="1460"/>
      <c r="AB19" s="1460"/>
      <c r="AC19" s="1460"/>
      <c r="AD19" s="1460"/>
      <c r="AE19" s="1973"/>
      <c r="AF19" s="1984"/>
      <c r="AG19" s="1985"/>
      <c r="AH19" s="1461"/>
    </row>
    <row r="20" spans="1:35" s="1914" customFormat="1" ht="29.4" thickBot="1">
      <c r="A20" s="1550" t="s">
        <v>2352</v>
      </c>
      <c r="B20" s="1452" t="s">
        <v>2353</v>
      </c>
      <c r="C20" s="1986">
        <f>ROUND(POWER(1+G20,J20-I20)*(POWER(1+G20,I20)-1)/(POWER(1+G20,J20)-1),4)</f>
        <v>0.68049999999999999</v>
      </c>
      <c r="D20" s="1987" t="s">
        <v>2354</v>
      </c>
      <c r="E20" s="2818">
        <f>存贷款利率!E22/100</f>
        <v>4.3499999999999997E-2</v>
      </c>
      <c r="F20" s="1987" t="s">
        <v>2343</v>
      </c>
      <c r="G20" s="2819">
        <f>SUMIF(M26:P26,E2,M28:P28)</f>
        <v>0.05</v>
      </c>
      <c r="H20" s="1987" t="s">
        <v>2355</v>
      </c>
      <c r="I20" s="1988">
        <f>'数据-取费表'!B13</f>
        <v>22</v>
      </c>
      <c r="J20" s="1989">
        <f>IF(E2="住宅",70,IF(E2="商业",40,50))</f>
        <v>70</v>
      </c>
      <c r="K20" s="2248"/>
      <c r="L20" s="1990" t="s">
        <v>2356</v>
      </c>
      <c r="M20" s="1991">
        <f>ROUND(SUMPRODUCT((地价!A4:A41=YEAR(G19)&amp;"-"&amp;ROUNDUP(MONTH(G19)/3,0))*(地价!B2:F2=E2)*(地价!B4:F41)),0)</f>
        <v>744</v>
      </c>
      <c r="N20" s="1992" t="s">
        <v>2357</v>
      </c>
      <c r="O20" s="1993" t="s">
        <v>2358</v>
      </c>
      <c r="P20" s="1994" t="s">
        <v>2359</v>
      </c>
      <c r="Q20" s="2248"/>
      <c r="R20" s="2737"/>
      <c r="S20" s="2737"/>
      <c r="T20" s="2737"/>
      <c r="U20" s="2737"/>
      <c r="V20" s="2737"/>
      <c r="W20" s="2737"/>
      <c r="X20" s="1460"/>
      <c r="Y20" s="1460"/>
      <c r="Z20" s="1460"/>
      <c r="AA20" s="1460"/>
      <c r="AB20" s="1460"/>
      <c r="AC20" s="1460"/>
      <c r="AD20" s="1460"/>
      <c r="AE20" s="1973"/>
      <c r="AF20" s="1973"/>
    </row>
    <row r="21" spans="1:35" s="1914" customFormat="1" ht="14.4">
      <c r="A21" s="1995" t="s">
        <v>2360</v>
      </c>
      <c r="B21" s="1453" t="s">
        <v>2361</v>
      </c>
      <c r="C21" s="1673">
        <f>IF(B21="容积率修正",IF(G3&lt;=10,D22,J22),C23)</f>
        <v>0</v>
      </c>
      <c r="D21" s="1996"/>
      <c r="E21" s="1996"/>
      <c r="F21" s="1996"/>
      <c r="G21" s="1996"/>
      <c r="H21" s="1996"/>
      <c r="I21" s="1996"/>
      <c r="J21" s="1593"/>
      <c r="K21" s="2248"/>
      <c r="L21" s="2248"/>
      <c r="M21" s="2248"/>
      <c r="N21" s="1997" t="s">
        <v>2362</v>
      </c>
      <c r="O21" s="1998"/>
      <c r="P21" s="1999">
        <f>SUMPRODUCT((地价!A3:A41=YEAR(G19)&amp;"-"&amp;ROUNDUP(MONTH(G19)/3,0))*(地价!AD2:AH2=N21)*(地价!AD3:AH41))</f>
        <v>9.4999999999999998E-3</v>
      </c>
      <c r="Q21" s="2248"/>
      <c r="R21" s="2737"/>
      <c r="S21" s="2737"/>
      <c r="T21" s="2737"/>
      <c r="U21" s="2737"/>
      <c r="V21" s="2737"/>
      <c r="W21" s="2737"/>
      <c r="X21" s="1460"/>
      <c r="Y21" s="1460"/>
      <c r="Z21" s="1460"/>
      <c r="AA21" s="1460"/>
      <c r="AB21" s="1460"/>
      <c r="AC21" s="1460"/>
      <c r="AD21" s="1460"/>
      <c r="AE21" s="1973"/>
      <c r="AF21" s="1973"/>
    </row>
    <row r="22" spans="1:35" s="1914" customFormat="1" ht="14.4">
      <c r="A22" s="1570">
        <v>1</v>
      </c>
      <c r="B22" s="1454" t="s">
        <v>2363</v>
      </c>
      <c r="C22" s="1454" t="s">
        <v>2364</v>
      </c>
      <c r="D22" s="1454">
        <f>IF(E22=G22,F22,IF(G3&lt;=10,ROUND(F22+(H22-F22)*(G3-E22)/(G22-E22),4),"——"))</f>
        <v>0</v>
      </c>
      <c r="E22" s="1905">
        <f>ROUNDDOWN(G3,1)</f>
        <v>0</v>
      </c>
      <c r="F22" s="145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5">
        <f>ROUNDUP(G3,1)</f>
        <v>0</v>
      </c>
      <c r="H22" s="145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4" t="s">
        <v>104</v>
      </c>
      <c r="J22" s="1544" t="str">
        <f>IF(G3&gt;10,D113,"——")</f>
        <v>——</v>
      </c>
      <c r="K22" s="2248"/>
      <c r="L22" s="2248"/>
      <c r="M22" s="2248"/>
      <c r="N22" s="1997" t="s">
        <v>2365</v>
      </c>
      <c r="O22" s="1998"/>
      <c r="P22" s="1999">
        <f>SUMPRODUCT((地价!A3:A41=YEAR(G19)&amp;"-"&amp;ROUNDUP(MONTH(G19)/3,0))*(地价!AD2:AH2=N22)*(地价!AD3:AH41))</f>
        <v>9.4999999999999998E-3</v>
      </c>
      <c r="Q22" s="2248"/>
      <c r="R22" s="2737"/>
      <c r="S22" s="2737"/>
      <c r="T22" s="2737"/>
      <c r="U22" s="2737"/>
      <c r="V22" s="2737"/>
      <c r="W22" s="2737"/>
      <c r="X22" s="1460"/>
      <c r="Y22" s="1460"/>
      <c r="Z22" s="1460"/>
      <c r="AA22" s="1460"/>
      <c r="AB22" s="1460"/>
      <c r="AC22" s="1460"/>
      <c r="AD22" s="1460"/>
      <c r="AE22" s="1973"/>
      <c r="AF22" s="1973"/>
    </row>
    <row r="23" spans="1:35" ht="28.8">
      <c r="A23" s="1570">
        <v>2</v>
      </c>
      <c r="B23" s="1454" t="s">
        <v>2366</v>
      </c>
      <c r="C23" s="2000" t="e">
        <f>ROUND(IF(G3&gt;1,IF(I3&lt;7,SUMPRODUCT((B93:B98=I3)*(C92:N92=G2)*(C93:N98)),SUMIF(C92:N92,G2,C100:N100)),IF(I3&lt;7,SUMPRODUCT((B102:B107=I3)*(C92:N92=G2)*(C102:N107)),SUMIF(C92:N92,G2,C109:N109))),4)</f>
        <v>#DIV/0!</v>
      </c>
      <c r="D23" s="1891"/>
      <c r="E23" s="1891"/>
      <c r="F23" s="2001"/>
      <c r="G23" s="2002"/>
      <c r="H23" s="1441"/>
      <c r="I23" s="1454"/>
      <c r="J23" s="1544"/>
      <c r="K23" s="2737"/>
      <c r="L23" s="2737"/>
      <c r="M23" s="2737"/>
      <c r="N23" s="1997" t="s">
        <v>2367</v>
      </c>
      <c r="O23" s="1998"/>
      <c r="P23" s="1999">
        <f>SUMPRODUCT((地价!A3:A41=YEAR(G19)&amp;"-"&amp;ROUNDUP(MONTH(G19)/3,0))*(地价!AD2:AH2=N23)*(地价!AD3:AH41))</f>
        <v>1.6899999999999998E-2</v>
      </c>
      <c r="Q23" s="2737"/>
      <c r="R23" s="2737"/>
      <c r="S23" s="2737"/>
      <c r="T23" s="2737"/>
      <c r="U23" s="2737"/>
      <c r="V23" s="2737"/>
      <c r="W23" s="2737"/>
      <c r="X23" s="1460"/>
      <c r="Y23" s="1460"/>
      <c r="Z23" s="1460"/>
      <c r="AA23" s="1460"/>
      <c r="AB23" s="1460"/>
      <c r="AC23" s="1460"/>
      <c r="AD23" s="1460"/>
      <c r="AE23" s="1460"/>
      <c r="AF23" s="1460"/>
    </row>
    <row r="24" spans="1:35" s="1914" customFormat="1" ht="15" thickBot="1">
      <c r="A24" s="2003" t="s">
        <v>2368</v>
      </c>
      <c r="B24" s="1455" t="s">
        <v>2369</v>
      </c>
      <c r="C24" s="2004">
        <f>SUMIF(A46:A88,E2,B46:B88)</f>
        <v>1</v>
      </c>
      <c r="D24" s="2005"/>
      <c r="E24" s="2006"/>
      <c r="F24" s="2006"/>
      <c r="G24" s="2006"/>
      <c r="H24" s="2006"/>
      <c r="I24" s="2006"/>
      <c r="J24" s="1548"/>
      <c r="K24" s="2248"/>
      <c r="L24" s="2248"/>
      <c r="M24" s="2248"/>
      <c r="N24" s="2007" t="s">
        <v>2370</v>
      </c>
      <c r="O24" s="2008"/>
      <c r="P24" s="2009">
        <f>SUMPRODUCT((地价!A3:A41=YEAR(G19)&amp;"-"&amp;ROUNDUP(MONTH(G19)/3,0))*(地价!AD2:AH2=N24)*(地价!AD3:AH41))</f>
        <v>1.12E-2</v>
      </c>
      <c r="Q24" s="2248"/>
      <c r="R24" s="2737"/>
      <c r="S24" s="2737"/>
      <c r="T24" s="2737"/>
      <c r="U24" s="2737"/>
      <c r="V24" s="2737"/>
      <c r="W24" s="2737"/>
      <c r="X24" s="1460"/>
      <c r="Y24" s="1460"/>
      <c r="Z24" s="1460"/>
      <c r="AA24" s="1460"/>
      <c r="AB24" s="1460"/>
      <c r="AC24" s="1460"/>
      <c r="AD24" s="1460"/>
      <c r="AE24" s="1973"/>
      <c r="AF24" s="1973"/>
    </row>
    <row r="25" spans="1:35" ht="15" thickBot="1">
      <c r="A25" s="1550" t="s">
        <v>2371</v>
      </c>
      <c r="B25" s="1456" t="s">
        <v>2372</v>
      </c>
      <c r="C25" s="2010"/>
      <c r="D25" s="1923"/>
      <c r="E25" s="1923"/>
      <c r="F25" s="2011"/>
      <c r="G25" s="1923"/>
      <c r="H25" s="1923"/>
      <c r="I25" s="1923"/>
      <c r="J25" s="1924"/>
      <c r="K25" s="2737"/>
      <c r="L25" s="2737"/>
      <c r="M25" s="2737"/>
      <c r="N25" s="2739" t="s">
        <v>2373</v>
      </c>
      <c r="O25" s="1911"/>
      <c r="P25" s="2740">
        <f>SUMPRODUCT((地价!A3:A41=YEAR(G19)&amp;"-"&amp;ROUNDUP(MONTH(G19)/3,0))*(地价!AD2:AH2=N25)*(地价!AD3:AH41))</f>
        <v>1.5299999999999999E-2</v>
      </c>
      <c r="Q25" s="2737"/>
      <c r="R25" s="2737"/>
      <c r="S25" s="2737"/>
      <c r="T25" s="2737"/>
      <c r="U25" s="2737"/>
      <c r="V25" s="2737"/>
      <c r="W25" s="2737"/>
      <c r="X25" s="1460"/>
      <c r="Y25" s="1460"/>
      <c r="Z25" s="1460"/>
      <c r="AA25" s="1460"/>
      <c r="AB25" s="1460"/>
      <c r="AC25" s="1460"/>
      <c r="AD25" s="1460"/>
      <c r="AE25" s="1460"/>
      <c r="AF25" s="1460"/>
    </row>
    <row r="26" spans="1:35" ht="14.4">
      <c r="A26" s="1535"/>
      <c r="B26" s="1454" t="s">
        <v>2374</v>
      </c>
      <c r="C26" s="2602" t="e">
        <f>IF(B21="容积率修正",E29+SUM(E33:E39),SUM(V2:V16)+SUM(E33:E39))</f>
        <v>#REF!</v>
      </c>
      <c r="D26" s="2012"/>
      <c r="E26" s="1891"/>
      <c r="F26" s="1327"/>
      <c r="G26" s="1891"/>
      <c r="H26" s="1891"/>
      <c r="I26" s="1891"/>
      <c r="J26" s="2013"/>
      <c r="K26" s="2737"/>
      <c r="L26" s="2741" t="s">
        <v>2333</v>
      </c>
      <c r="M26" s="1921" t="s">
        <v>2334</v>
      </c>
      <c r="N26" s="1921" t="s">
        <v>2335</v>
      </c>
      <c r="O26" s="1921" t="s">
        <v>2336</v>
      </c>
      <c r="P26" s="2742" t="s">
        <v>2337</v>
      </c>
      <c r="Q26" s="2737"/>
      <c r="R26" s="2737"/>
      <c r="S26" s="2737"/>
      <c r="T26" s="2737"/>
      <c r="U26" s="2737"/>
      <c r="V26" s="2737"/>
      <c r="W26" s="2737"/>
      <c r="X26" s="1460"/>
      <c r="Y26" s="1460"/>
      <c r="Z26" s="1460"/>
      <c r="AA26" s="1460"/>
      <c r="AB26" s="1460"/>
      <c r="AC26" s="1460"/>
      <c r="AD26" s="1460"/>
      <c r="AE26" s="1460"/>
      <c r="AF26" s="1460"/>
    </row>
    <row r="27" spans="1:35" ht="15" thickBot="1">
      <c r="A27" s="1535"/>
      <c r="B27" s="1457" t="s">
        <v>2375</v>
      </c>
      <c r="C27" s="2014" t="e">
        <f>E30+SUM(I33:I39)</f>
        <v>#REF!</v>
      </c>
      <c r="D27" s="1966"/>
      <c r="E27" s="2015"/>
      <c r="F27" s="2016"/>
      <c r="G27" s="2015"/>
      <c r="H27" s="2015"/>
      <c r="I27" s="2015"/>
      <c r="J27" s="2017"/>
      <c r="K27" s="2737"/>
      <c r="L27" s="2018" t="s">
        <v>2340</v>
      </c>
      <c r="M27" s="1933">
        <v>0.25</v>
      </c>
      <c r="N27" s="1933">
        <v>0.2</v>
      </c>
      <c r="O27" s="1933">
        <v>0.15</v>
      </c>
      <c r="P27" s="2019">
        <v>0.1</v>
      </c>
      <c r="Q27" s="2737"/>
      <c r="R27" s="2737"/>
      <c r="S27" s="2737"/>
      <c r="T27" s="2737"/>
      <c r="U27" s="2737"/>
      <c r="V27" s="2737"/>
      <c r="W27" s="2737"/>
      <c r="X27" s="1460"/>
      <c r="Y27" s="1460"/>
      <c r="Z27" s="1460"/>
      <c r="AA27" s="1460"/>
      <c r="AB27" s="1460"/>
      <c r="AC27" s="1460"/>
      <c r="AD27" s="1460"/>
      <c r="AE27" s="1460"/>
      <c r="AF27" s="1460"/>
    </row>
    <row r="28" spans="1:35" ht="15" thickBot="1">
      <c r="A28" s="1550"/>
      <c r="B28" s="2020" t="s">
        <v>2376</v>
      </c>
      <c r="C28" s="2021" t="s">
        <v>2377</v>
      </c>
      <c r="D28" s="2021" t="s">
        <v>2378</v>
      </c>
      <c r="E28" s="1456" t="s">
        <v>2379</v>
      </c>
      <c r="F28" s="1920"/>
      <c r="G28" s="1943"/>
      <c r="H28" s="1943"/>
      <c r="I28" s="1943"/>
      <c r="J28" s="1944"/>
      <c r="K28" s="2737"/>
      <c r="L28" s="2022" t="s">
        <v>2343</v>
      </c>
      <c r="M28" s="2023">
        <f>ROUND($E$20*(1+M27),3)</f>
        <v>5.3999999999999999E-2</v>
      </c>
      <c r="N28" s="2023">
        <f>ROUND($E$20*(1+N27),3)</f>
        <v>5.1999999999999998E-2</v>
      </c>
      <c r="O28" s="2023">
        <f>ROUND($E$20*(1+O27),3)</f>
        <v>0.05</v>
      </c>
      <c r="P28" s="1946">
        <f>ROUND($E$20*(1+P27),3)</f>
        <v>4.8000000000000001E-2</v>
      </c>
      <c r="Q28" s="2737"/>
      <c r="R28" s="2737"/>
      <c r="S28" s="2737"/>
      <c r="T28" s="2737"/>
      <c r="U28" s="2737"/>
      <c r="V28" s="2737"/>
      <c r="W28" s="2737"/>
      <c r="X28" s="1460"/>
      <c r="Y28" s="1460"/>
      <c r="Z28" s="1460"/>
      <c r="AA28" s="1460"/>
      <c r="AB28" s="1460"/>
      <c r="AC28" s="1460"/>
      <c r="AD28" s="1460"/>
      <c r="AE28" s="1460"/>
      <c r="AF28" s="1460"/>
    </row>
    <row r="29" spans="1:35" ht="25.2">
      <c r="A29" s="2024"/>
      <c r="B29" s="1441" t="s">
        <v>2380</v>
      </c>
      <c r="C29" s="50">
        <f>ROUND(C5*C18*C19*C20*C21*C24,0)</f>
        <v>0</v>
      </c>
      <c r="D29" s="2025">
        <f>项目基本情况!C12</f>
        <v>165.59</v>
      </c>
      <c r="E29" s="1840">
        <f>ROUND(C29*D29,0)</f>
        <v>0</v>
      </c>
      <c r="F29" s="2026" t="s">
        <v>2381</v>
      </c>
      <c r="G29" s="2027"/>
      <c r="H29" s="2027"/>
      <c r="I29" s="2027"/>
      <c r="J29" s="2028"/>
      <c r="K29" s="2737"/>
      <c r="L29" s="2737"/>
      <c r="M29" s="2737"/>
      <c r="N29" s="2737"/>
      <c r="O29" s="2737"/>
      <c r="P29" s="2737"/>
      <c r="Q29" s="2737"/>
      <c r="R29" s="2737"/>
      <c r="S29" s="2737"/>
      <c r="T29" s="2737"/>
      <c r="U29" s="2737"/>
      <c r="V29" s="2737"/>
      <c r="W29" s="2737"/>
      <c r="X29" s="1460"/>
      <c r="Y29" s="1460"/>
      <c r="Z29" s="1460"/>
      <c r="AA29" s="1460"/>
      <c r="AB29" s="1460"/>
      <c r="AC29" s="1460"/>
      <c r="AD29" s="1460"/>
      <c r="AE29" s="1460"/>
      <c r="AF29" s="1460"/>
    </row>
    <row r="30" spans="1:35" ht="25.8" thickBot="1">
      <c r="A30" s="2029"/>
      <c r="B30" s="1458" t="s">
        <v>2382</v>
      </c>
      <c r="C30" s="1957">
        <f>ROUND(IF(E2="工业",C29*M39,C29*M38),0)</f>
        <v>0</v>
      </c>
      <c r="D30" s="1958"/>
      <c r="E30" s="1840">
        <f>ROUND(C30*D30,0)</f>
        <v>0</v>
      </c>
      <c r="F30" s="2030" t="s">
        <v>2383</v>
      </c>
      <c r="G30" s="2031"/>
      <c r="H30" s="2031"/>
      <c r="I30" s="2031"/>
      <c r="J30" s="2032"/>
      <c r="K30" s="2737"/>
      <c r="L30" s="2737"/>
      <c r="M30" s="2737"/>
      <c r="N30" s="2737"/>
      <c r="O30" s="2737"/>
      <c r="P30" s="2737"/>
      <c r="Q30" s="2737"/>
      <c r="R30" s="2737"/>
      <c r="S30" s="2737"/>
      <c r="T30" s="2737"/>
      <c r="U30" s="2737"/>
      <c r="V30" s="2737"/>
      <c r="W30" s="2737"/>
      <c r="X30" s="1460"/>
      <c r="Y30" s="1460"/>
      <c r="Z30" s="1460"/>
      <c r="AA30" s="1460"/>
      <c r="AB30" s="1460"/>
      <c r="AC30" s="1460"/>
      <c r="AD30" s="1460"/>
      <c r="AE30" s="1460"/>
      <c r="AF30" s="1460"/>
    </row>
    <row r="31" spans="1:35">
      <c r="A31" s="2033"/>
      <c r="B31" s="1459" t="s">
        <v>2384</v>
      </c>
      <c r="C31" s="2034" t="s">
        <v>2385</v>
      </c>
      <c r="D31" s="1943"/>
      <c r="E31" s="2034"/>
      <c r="F31" s="2034"/>
      <c r="G31" s="1942" t="s">
        <v>2386</v>
      </c>
      <c r="H31" s="1943"/>
      <c r="I31" s="2035"/>
      <c r="J31" s="1944"/>
      <c r="K31" s="2737"/>
      <c r="L31" s="2737"/>
      <c r="M31" s="2737"/>
      <c r="N31" s="2737"/>
      <c r="O31" s="2737"/>
      <c r="P31" s="2737"/>
      <c r="Q31" s="2737"/>
      <c r="R31" s="2737"/>
      <c r="S31" s="2737"/>
      <c r="T31" s="2737"/>
      <c r="U31" s="2737"/>
      <c r="V31" s="2737"/>
      <c r="W31" s="2737"/>
      <c r="X31" s="1460"/>
      <c r="Y31" s="1460"/>
      <c r="Z31" s="1460"/>
      <c r="AA31" s="1460"/>
      <c r="AB31" s="1460"/>
      <c r="AC31" s="1460"/>
      <c r="AD31" s="1460"/>
      <c r="AE31" s="1460"/>
      <c r="AF31" s="1460"/>
    </row>
    <row r="32" spans="1:35" ht="36">
      <c r="A32" s="2024"/>
      <c r="B32" s="2036"/>
      <c r="C32" s="1637" t="s">
        <v>2377</v>
      </c>
      <c r="D32" s="1634" t="s">
        <v>2378</v>
      </c>
      <c r="E32" s="1634" t="s">
        <v>2379</v>
      </c>
      <c r="F32" s="46" t="s">
        <v>2387</v>
      </c>
      <c r="G32" s="2000" t="s">
        <v>2377</v>
      </c>
      <c r="H32" s="2000" t="s">
        <v>2378</v>
      </c>
      <c r="I32" s="2000" t="s">
        <v>2379</v>
      </c>
      <c r="J32" s="1872"/>
      <c r="K32" s="2737"/>
      <c r="L32" s="2737"/>
      <c r="M32" s="2737"/>
      <c r="N32" s="2737"/>
      <c r="O32" s="2737"/>
      <c r="P32" s="2737"/>
      <c r="Q32" s="2737"/>
      <c r="R32" s="2737"/>
      <c r="S32" s="2737"/>
      <c r="T32" s="2737"/>
      <c r="U32" s="2737"/>
      <c r="V32" s="2737"/>
      <c r="W32" s="2737"/>
      <c r="X32" s="1460"/>
      <c r="Y32" s="1460"/>
      <c r="Z32" s="1460"/>
      <c r="AA32" s="1460"/>
      <c r="AB32" s="1460"/>
      <c r="AC32" s="1460"/>
      <c r="AD32" s="1460"/>
      <c r="AE32" s="1460"/>
      <c r="AF32" s="1460"/>
    </row>
    <row r="33" spans="1:33">
      <c r="A33" s="3431" t="s">
        <v>2388</v>
      </c>
      <c r="B33" s="2037" t="s">
        <v>2389</v>
      </c>
      <c r="C33" s="50">
        <f>ROUND(D5*C19*C20*C24*F33,0)</f>
        <v>0</v>
      </c>
      <c r="D33" s="2025"/>
      <c r="E33" s="46">
        <f t="shared" ref="E33:E39" si="7">ROUND(C33*D33,0)</f>
        <v>0</v>
      </c>
      <c r="F33" s="46">
        <f>SUMIF(修正!A57:A68,G2,修正!B57:B68)</f>
        <v>0</v>
      </c>
      <c r="G33" s="46">
        <f t="shared" ref="G33" si="8">ROUND(IF(E2="工业",C33*$M$39,C33*$M$38),0)</f>
        <v>0</v>
      </c>
      <c r="H33" s="46">
        <f>D33</f>
        <v>0</v>
      </c>
      <c r="I33" s="46">
        <f t="shared" ref="I33:I39" si="9">ROUND(G33*H33,0)</f>
        <v>0</v>
      </c>
      <c r="J33" s="2013"/>
      <c r="K33" s="2737"/>
      <c r="L33" s="2737"/>
      <c r="M33" s="2737"/>
      <c r="N33" s="2737"/>
      <c r="O33" s="2737"/>
      <c r="P33" s="2737"/>
      <c r="Q33" s="2737"/>
      <c r="R33" s="2737"/>
      <c r="S33" s="2737"/>
      <c r="T33" s="2737"/>
      <c r="U33" s="2737"/>
      <c r="V33" s="2737"/>
      <c r="W33" s="2737"/>
      <c r="X33" s="1460"/>
      <c r="Y33" s="1460"/>
      <c r="Z33" s="1460"/>
      <c r="AA33" s="1460"/>
      <c r="AB33" s="1460"/>
      <c r="AC33" s="1460"/>
      <c r="AD33" s="1460"/>
      <c r="AE33" s="1460"/>
      <c r="AF33" s="1460"/>
    </row>
    <row r="34" spans="1:33">
      <c r="A34" s="3432"/>
      <c r="B34" s="1948" t="s">
        <v>2390</v>
      </c>
      <c r="C34" s="50">
        <f>ROUND(D5*C19*C20*C24*F34,0)</f>
        <v>0</v>
      </c>
      <c r="D34" s="2025"/>
      <c r="E34" s="46">
        <f t="shared" si="7"/>
        <v>0</v>
      </c>
      <c r="F34" s="46">
        <f>SUMIF(修正!A57:A68,G2,修正!C57:C68)</f>
        <v>0</v>
      </c>
      <c r="G34" s="46">
        <f>ROUND(IF(E2="工业",C34*$M$39,C34*$M$38),0)</f>
        <v>0</v>
      </c>
      <c r="H34" s="46">
        <f t="shared" ref="H34:H39" si="10">D34</f>
        <v>0</v>
      </c>
      <c r="I34" s="46">
        <f t="shared" si="9"/>
        <v>0</v>
      </c>
      <c r="J34" s="2013"/>
      <c r="K34" s="2737"/>
      <c r="L34" s="2737"/>
      <c r="M34" s="2737"/>
      <c r="N34" s="2737"/>
      <c r="O34" s="2737"/>
      <c r="P34" s="2737"/>
      <c r="Q34" s="2737"/>
      <c r="R34" s="2737"/>
      <c r="S34" s="2737"/>
      <c r="T34" s="2737"/>
      <c r="U34" s="2737"/>
      <c r="V34" s="2737"/>
      <c r="W34" s="2737"/>
      <c r="X34" s="1460"/>
      <c r="Y34" s="1460"/>
      <c r="Z34" s="1460"/>
      <c r="AA34" s="1460"/>
      <c r="AB34" s="1460"/>
      <c r="AC34" s="1460"/>
      <c r="AD34" s="1460"/>
      <c r="AE34" s="1460"/>
      <c r="AF34" s="1460"/>
    </row>
    <row r="35" spans="1:33">
      <c r="A35" s="3432"/>
      <c r="B35" s="1948" t="s">
        <v>2391</v>
      </c>
      <c r="C35" s="50">
        <f>ROUND(D5*C19*C20*C24*F35,0)</f>
        <v>0</v>
      </c>
      <c r="D35" s="2025"/>
      <c r="E35" s="46">
        <f t="shared" si="7"/>
        <v>0</v>
      </c>
      <c r="F35" s="46">
        <f>SUMIF(修正!A57:A68,G2,修正!D57:D68)</f>
        <v>0</v>
      </c>
      <c r="G35" s="46">
        <f>ROUND(IF(E2="工业",C35*$M$39,C35*$M$38),0)</f>
        <v>0</v>
      </c>
      <c r="H35" s="46">
        <f t="shared" si="10"/>
        <v>0</v>
      </c>
      <c r="I35" s="46">
        <f t="shared" si="9"/>
        <v>0</v>
      </c>
      <c r="J35" s="2013"/>
      <c r="K35" s="2737"/>
      <c r="L35" s="2737"/>
      <c r="M35" s="2737"/>
      <c r="N35" s="2737"/>
      <c r="O35" s="2737"/>
      <c r="P35" s="2737"/>
      <c r="Q35" s="2737"/>
      <c r="R35" s="2737"/>
      <c r="S35" s="2737"/>
      <c r="T35" s="2737"/>
      <c r="U35" s="2737"/>
      <c r="V35" s="2737"/>
      <c r="W35" s="2737"/>
      <c r="X35" s="1460"/>
      <c r="Y35" s="1460"/>
      <c r="Z35" s="1460"/>
      <c r="AA35" s="1460"/>
      <c r="AB35" s="1460"/>
      <c r="AC35" s="1460"/>
      <c r="AD35" s="1460"/>
      <c r="AE35" s="1460"/>
      <c r="AF35" s="1460"/>
    </row>
    <row r="36" spans="1:33" ht="13.8" thickBot="1">
      <c r="A36" s="3433"/>
      <c r="B36" s="1948" t="s">
        <v>2392</v>
      </c>
      <c r="C36" s="50" t="e">
        <f>ROUND(D5*C19*C20*C24*F36,0)</f>
        <v>#REF!</v>
      </c>
      <c r="D36" s="2025"/>
      <c r="E36" s="46" t="e">
        <f t="shared" si="7"/>
        <v>#REF!</v>
      </c>
      <c r="F36" s="46" t="e">
        <f>SUMIF(修正!A57:A68,G2,修正!#REF!)</f>
        <v>#REF!</v>
      </c>
      <c r="G36" s="46" t="e">
        <f>ROUND(IF(E2="工业",C36*$M$39,C36*$M$38),0)</f>
        <v>#REF!</v>
      </c>
      <c r="H36" s="46">
        <f t="shared" si="10"/>
        <v>0</v>
      </c>
      <c r="I36" s="46" t="e">
        <f t="shared" si="9"/>
        <v>#REF!</v>
      </c>
      <c r="J36" s="2013"/>
      <c r="K36" s="2737"/>
      <c r="L36" s="2737"/>
      <c r="M36" s="2737"/>
      <c r="N36" s="2737"/>
      <c r="O36" s="2737"/>
      <c r="P36" s="2737"/>
      <c r="Q36" s="2737"/>
      <c r="R36" s="2737"/>
      <c r="S36" s="2737"/>
      <c r="T36" s="2737"/>
      <c r="U36" s="2737"/>
      <c r="V36" s="2737"/>
      <c r="W36" s="2737"/>
      <c r="X36" s="1460"/>
      <c r="Y36" s="1460"/>
      <c r="Z36" s="1460"/>
      <c r="AA36" s="1460"/>
      <c r="AB36" s="1460"/>
      <c r="AC36" s="1460"/>
      <c r="AD36" s="1460"/>
      <c r="AE36" s="1460"/>
      <c r="AF36" s="1460"/>
    </row>
    <row r="37" spans="1:33">
      <c r="A37" s="2038"/>
      <c r="B37" s="1948" t="s">
        <v>2393</v>
      </c>
      <c r="C37" s="46">
        <f>ROUND(D5*C19*C20*C24*F37,0)</f>
        <v>0</v>
      </c>
      <c r="D37" s="2025"/>
      <c r="E37" s="46">
        <f t="shared" si="7"/>
        <v>0</v>
      </c>
      <c r="F37" s="50">
        <f>SUMIF(修正!A57:A68,G2,修正!E57:E68)</f>
        <v>0</v>
      </c>
      <c r="G37" s="46">
        <f>ROUND(IF(E2="工业",C37*$M$39,C37*$M$38),0)</f>
        <v>0</v>
      </c>
      <c r="H37" s="46">
        <f t="shared" si="10"/>
        <v>0</v>
      </c>
      <c r="I37" s="46">
        <f t="shared" si="9"/>
        <v>0</v>
      </c>
      <c r="J37" s="2013"/>
      <c r="K37" s="2737"/>
      <c r="L37" s="2039" t="s">
        <v>2394</v>
      </c>
      <c r="M37" s="1924"/>
      <c r="N37" s="2737"/>
      <c r="O37" s="2737"/>
      <c r="P37" s="2737"/>
      <c r="Q37" s="2737"/>
      <c r="R37" s="2737"/>
      <c r="S37" s="2737"/>
      <c r="T37" s="2737"/>
      <c r="U37" s="2737"/>
      <c r="V37" s="2737"/>
      <c r="W37" s="2737"/>
      <c r="X37" s="1460"/>
      <c r="Y37" s="1460"/>
      <c r="Z37" s="1460"/>
      <c r="AA37" s="1460"/>
      <c r="AB37" s="1460"/>
      <c r="AC37" s="1460"/>
      <c r="AD37" s="1460"/>
      <c r="AE37" s="1460"/>
      <c r="AF37" s="1460"/>
    </row>
    <row r="38" spans="1:33">
      <c r="A38" s="2038"/>
      <c r="B38" s="1948" t="s">
        <v>2395</v>
      </c>
      <c r="C38" s="46">
        <f>ROUND(D5*C19*C41*C24*F38,0)</f>
        <v>0</v>
      </c>
      <c r="D38" s="2025"/>
      <c r="E38" s="46">
        <f t="shared" si="7"/>
        <v>0</v>
      </c>
      <c r="F38" s="50">
        <f>SUMIF(修正!A57:A68,G2,修正!F57:F68)</f>
        <v>0</v>
      </c>
      <c r="G38" s="46">
        <f>ROUND(IF(E2="工业",C38*$M$39,C38*$M$38),0)</f>
        <v>0</v>
      </c>
      <c r="H38" s="46">
        <f t="shared" si="10"/>
        <v>0</v>
      </c>
      <c r="I38" s="46">
        <f t="shared" si="9"/>
        <v>0</v>
      </c>
      <c r="J38" s="2013"/>
      <c r="K38" s="2737"/>
      <c r="L38" s="2040" t="s">
        <v>2396</v>
      </c>
      <c r="M38" s="2041">
        <v>0.25</v>
      </c>
      <c r="N38" s="2737"/>
      <c r="O38" s="2737"/>
      <c r="P38" s="2737"/>
      <c r="Q38" s="2737"/>
      <c r="R38" s="2737"/>
      <c r="S38" s="2737"/>
      <c r="T38" s="2737"/>
      <c r="U38" s="2737"/>
      <c r="V38" s="2737"/>
      <c r="W38" s="2737"/>
      <c r="X38" s="1460"/>
      <c r="Y38" s="1460"/>
      <c r="Z38" s="1460"/>
      <c r="AA38" s="1460"/>
      <c r="AB38" s="1460"/>
      <c r="AC38" s="1460"/>
      <c r="AD38" s="1460"/>
      <c r="AE38" s="1460"/>
      <c r="AF38" s="1460"/>
    </row>
    <row r="39" spans="1:33" ht="13.8" thickBot="1">
      <c r="A39" s="2029"/>
      <c r="B39" s="2042" t="s">
        <v>2397</v>
      </c>
      <c r="C39" s="1957">
        <f>ROUND(D5*C19*C41*C24*F39,0)</f>
        <v>0</v>
      </c>
      <c r="D39" s="1958"/>
      <c r="E39" s="1957">
        <f t="shared" si="7"/>
        <v>0</v>
      </c>
      <c r="F39" s="52">
        <f>SUMIF(修正!A57:A68,G2,修正!G57:G68)</f>
        <v>0</v>
      </c>
      <c r="G39" s="1957">
        <f>ROUND(IF(E2="工业",C39*$M$39,C39*$M$38),0)</f>
        <v>0</v>
      </c>
      <c r="H39" s="1957">
        <f t="shared" si="10"/>
        <v>0</v>
      </c>
      <c r="I39" s="1957">
        <f t="shared" si="9"/>
        <v>0</v>
      </c>
      <c r="J39" s="2017"/>
      <c r="K39" s="2737"/>
      <c r="L39" s="2043" t="s">
        <v>2337</v>
      </c>
      <c r="M39" s="2044">
        <v>0.15</v>
      </c>
      <c r="N39" s="2737"/>
      <c r="O39" s="2737"/>
      <c r="P39" s="2737"/>
      <c r="Q39" s="2737"/>
      <c r="R39" s="2737"/>
      <c r="S39" s="2737"/>
      <c r="T39" s="2737"/>
      <c r="U39" s="2737"/>
      <c r="V39" s="2737"/>
      <c r="W39" s="2737"/>
      <c r="X39" s="1460"/>
      <c r="Y39" s="1460"/>
      <c r="Z39" s="1460"/>
      <c r="AA39" s="1460"/>
      <c r="AB39" s="1460"/>
      <c r="AC39" s="1460"/>
      <c r="AD39" s="1460"/>
      <c r="AE39" s="1460"/>
      <c r="AF39" s="1460"/>
    </row>
    <row r="40" spans="1:33" s="2045" customFormat="1">
      <c r="A40" s="1460"/>
      <c r="B40" s="1460"/>
      <c r="C40" s="1460"/>
      <c r="D40" s="1460"/>
      <c r="E40" s="1460"/>
      <c r="F40" s="1460"/>
      <c r="G40" s="1460"/>
      <c r="H40" s="1460"/>
      <c r="I40" s="1460"/>
      <c r="J40" s="1460"/>
      <c r="K40" s="2737"/>
      <c r="L40" s="2737"/>
      <c r="M40" s="2737"/>
      <c r="N40" s="2737"/>
      <c r="O40" s="2737"/>
      <c r="P40" s="2737"/>
      <c r="Q40" s="2737"/>
      <c r="R40" s="2737"/>
      <c r="S40" s="2737"/>
      <c r="T40" s="2737"/>
      <c r="U40" s="2737"/>
      <c r="V40" s="2737"/>
      <c r="W40" s="2737"/>
      <c r="X40" s="1460"/>
      <c r="Y40" s="1460"/>
      <c r="Z40" s="1460"/>
      <c r="AA40" s="1460"/>
      <c r="AB40" s="1460"/>
      <c r="AC40" s="1460"/>
      <c r="AD40" s="1460"/>
      <c r="AE40" s="1460"/>
      <c r="AF40" s="1460"/>
    </row>
    <row r="41" spans="1:33" s="2045" customFormat="1" ht="24">
      <c r="A41" s="1460"/>
      <c r="B41" s="2046" t="s">
        <v>2476</v>
      </c>
      <c r="C41" s="46">
        <f>ROUND(POWER(1+E41,H41-G41)*(POWER(1+E41,G41)-1)/(POWER(1+E41,H41)-1),4)</f>
        <v>0</v>
      </c>
      <c r="D41" s="46" t="s">
        <v>2474</v>
      </c>
      <c r="E41" s="2047">
        <f>G20</f>
        <v>0.05</v>
      </c>
      <c r="F41" s="46" t="s">
        <v>2475</v>
      </c>
      <c r="G41" s="2025"/>
      <c r="H41" s="46">
        <v>50</v>
      </c>
      <c r="I41" s="1460"/>
      <c r="J41" s="1460"/>
      <c r="K41" s="2737"/>
      <c r="L41" s="2737"/>
      <c r="M41" s="2737"/>
      <c r="N41" s="2737"/>
      <c r="O41" s="2737"/>
      <c r="P41" s="2737"/>
      <c r="Q41" s="2737"/>
      <c r="R41" s="2737"/>
      <c r="S41" s="2737"/>
      <c r="T41" s="2737"/>
      <c r="U41" s="2737"/>
      <c r="V41" s="2737"/>
      <c r="W41" s="2737"/>
      <c r="X41" s="1460"/>
      <c r="Y41" s="1460"/>
      <c r="Z41" s="1460"/>
      <c r="AA41" s="1460"/>
      <c r="AB41" s="1460"/>
      <c r="AC41" s="1460"/>
      <c r="AD41" s="1460"/>
      <c r="AE41" s="1460"/>
      <c r="AF41" s="1460"/>
    </row>
    <row r="42" spans="1:33" s="2045" customFormat="1">
      <c r="A42" s="2737"/>
      <c r="B42" s="2737"/>
      <c r="C42" s="2737"/>
      <c r="D42" s="2737"/>
      <c r="E42" s="2737"/>
      <c r="F42" s="2737"/>
      <c r="G42" s="2737"/>
      <c r="H42" s="2737"/>
      <c r="I42" s="2737"/>
      <c r="J42" s="2737"/>
      <c r="K42" s="2737"/>
      <c r="L42" s="2737"/>
      <c r="M42" s="2737"/>
      <c r="N42" s="2737"/>
      <c r="O42" s="2737"/>
      <c r="P42" s="2737"/>
      <c r="Q42" s="2737"/>
      <c r="R42" s="2737"/>
      <c r="S42" s="2737"/>
      <c r="T42" s="2737"/>
      <c r="U42" s="2737"/>
      <c r="V42" s="2737"/>
      <c r="W42" s="2737"/>
      <c r="X42" s="1460"/>
      <c r="Y42" s="1460"/>
      <c r="Z42" s="1460"/>
      <c r="AA42" s="1460"/>
      <c r="AB42" s="1460"/>
      <c r="AC42" s="1460"/>
      <c r="AD42" s="1460"/>
      <c r="AE42" s="1460"/>
      <c r="AF42" s="1460"/>
    </row>
    <row r="43" spans="1:33" s="2045" customFormat="1">
      <c r="A43" s="2737"/>
      <c r="B43" s="2737"/>
      <c r="C43" s="2737"/>
      <c r="D43" s="2737"/>
      <c r="E43" s="2737"/>
      <c r="F43" s="2737"/>
      <c r="G43" s="2737"/>
      <c r="H43" s="2737"/>
      <c r="I43" s="2737"/>
      <c r="J43" s="2737"/>
      <c r="K43" s="2737"/>
      <c r="L43" s="2737"/>
      <c r="M43" s="2737"/>
      <c r="N43" s="2737"/>
      <c r="O43" s="2737"/>
      <c r="P43" s="2737"/>
      <c r="Q43" s="2737"/>
      <c r="R43" s="2737"/>
      <c r="S43" s="2737"/>
      <c r="T43" s="2737"/>
      <c r="U43" s="2737"/>
      <c r="V43" s="2737"/>
      <c r="W43" s="2737"/>
      <c r="X43" s="1460"/>
      <c r="Y43" s="1460"/>
      <c r="Z43" s="1460"/>
      <c r="AA43" s="1460"/>
      <c r="AB43" s="1460"/>
      <c r="AC43" s="1460"/>
      <c r="AD43" s="1460"/>
      <c r="AE43" s="1460"/>
      <c r="AF43" s="1460"/>
    </row>
    <row r="44" spans="1:33" s="2045" customFormat="1">
      <c r="A44" s="2737"/>
      <c r="B44" s="2737"/>
      <c r="C44" s="2737"/>
      <c r="D44" s="2737"/>
      <c r="E44" s="2737"/>
      <c r="F44" s="2737"/>
      <c r="G44" s="2737"/>
      <c r="H44" s="2737"/>
      <c r="I44" s="2737"/>
      <c r="J44" s="2737"/>
      <c r="K44" s="2737"/>
      <c r="L44" s="2737"/>
      <c r="M44" s="2737"/>
      <c r="N44" s="2737"/>
      <c r="O44" s="2737"/>
      <c r="P44" s="2737"/>
      <c r="Q44" s="2737"/>
      <c r="R44" s="2737"/>
      <c r="S44" s="2737"/>
      <c r="T44" s="2737"/>
      <c r="U44" s="2737"/>
      <c r="V44" s="2737"/>
      <c r="W44" s="2737"/>
      <c r="X44" s="1460"/>
      <c r="Y44" s="1460"/>
      <c r="Z44" s="1460"/>
      <c r="AA44" s="1460"/>
      <c r="AB44" s="1460"/>
      <c r="AC44" s="1460"/>
      <c r="AD44" s="1460"/>
      <c r="AE44" s="1460"/>
      <c r="AF44" s="1460"/>
    </row>
    <row r="45" spans="1:33" s="2045" customFormat="1" ht="15" thickBot="1">
      <c r="A45" s="2048" t="s">
        <v>2398</v>
      </c>
      <c r="B45" s="2049"/>
      <c r="C45" s="584"/>
      <c r="D45" s="584"/>
      <c r="E45" s="584"/>
      <c r="F45" s="584"/>
      <c r="G45" s="584"/>
      <c r="H45" s="584"/>
      <c r="I45" s="584"/>
      <c r="J45" s="584"/>
      <c r="K45" s="584"/>
      <c r="L45" s="584"/>
      <c r="M45" s="584"/>
      <c r="N45" s="1891"/>
      <c r="O45" s="1460"/>
      <c r="P45" s="1460"/>
      <c r="Q45" s="2737"/>
      <c r="R45" s="2737"/>
      <c r="S45" s="2737"/>
      <c r="T45" s="2737"/>
      <c r="U45" s="2737"/>
      <c r="V45" s="2737"/>
      <c r="W45" s="2737"/>
      <c r="X45" s="1460"/>
      <c r="Y45" s="1460"/>
      <c r="Z45" s="1460"/>
      <c r="AA45" s="1460"/>
      <c r="AB45" s="1460"/>
      <c r="AC45" s="1460"/>
      <c r="AD45" s="1460"/>
      <c r="AE45" s="1460"/>
      <c r="AF45" s="1460"/>
    </row>
    <row r="46" spans="1:33" s="2045" customFormat="1" ht="14.4">
      <c r="A46" s="2050" t="s">
        <v>2399</v>
      </c>
      <c r="B46" s="2051">
        <f>1+E48</f>
        <v>1</v>
      </c>
      <c r="C46" s="2052"/>
      <c r="D46" s="2053"/>
      <c r="E46" s="2054"/>
      <c r="F46" s="2048"/>
      <c r="G46" s="584"/>
      <c r="H46" s="584"/>
      <c r="I46" s="584"/>
      <c r="J46" s="584"/>
      <c r="K46" s="584"/>
      <c r="L46" s="584"/>
      <c r="M46" s="1891"/>
      <c r="N46" s="2055"/>
      <c r="O46" s="1460"/>
      <c r="P46" s="1460"/>
      <c r="Q46" s="2737"/>
      <c r="R46" s="2737"/>
      <c r="S46" s="2737"/>
      <c r="T46" s="2737"/>
      <c r="U46" s="2737"/>
      <c r="V46" s="2737"/>
      <c r="W46" s="2737"/>
      <c r="X46" s="1460"/>
      <c r="Y46" s="1460"/>
      <c r="Z46" s="1460"/>
      <c r="AA46" s="1460"/>
      <c r="AB46" s="1460"/>
      <c r="AC46" s="1460"/>
      <c r="AD46" s="1460"/>
      <c r="AE46" s="1460"/>
    </row>
    <row r="47" spans="1:33" s="2045" customFormat="1" ht="25.2">
      <c r="A47" s="2056" t="s">
        <v>2400</v>
      </c>
      <c r="B47" s="2057" t="s">
        <v>2401</v>
      </c>
      <c r="C47" s="2057" t="s">
        <v>2402</v>
      </c>
      <c r="D47" s="2057" t="s">
        <v>2403</v>
      </c>
      <c r="E47" s="2058" t="s">
        <v>2404</v>
      </c>
      <c r="F47" s="2012" t="s">
        <v>2405</v>
      </c>
      <c r="G47" s="2057" t="s">
        <v>2406</v>
      </c>
      <c r="H47" s="2059" t="s">
        <v>2407</v>
      </c>
      <c r="I47" s="2057" t="s">
        <v>2408</v>
      </c>
      <c r="J47" s="1472" t="s">
        <v>2409</v>
      </c>
      <c r="K47" s="1472" t="s">
        <v>2410</v>
      </c>
      <c r="L47" s="1472" t="s">
        <v>2411</v>
      </c>
      <c r="M47" s="1472" t="s">
        <v>2412</v>
      </c>
      <c r="N47" s="1472" t="s">
        <v>2413</v>
      </c>
      <c r="O47" s="1460"/>
      <c r="P47" s="1460"/>
      <c r="Q47" s="2737"/>
      <c r="R47" s="2737"/>
      <c r="S47" s="2737"/>
      <c r="T47" s="2737"/>
      <c r="U47" s="2737"/>
      <c r="V47" s="2737"/>
      <c r="W47" s="2737"/>
      <c r="X47" s="1460"/>
      <c r="Y47" s="1460"/>
      <c r="Z47" s="1460"/>
      <c r="AA47" s="1460"/>
      <c r="AB47" s="1460"/>
      <c r="AC47" s="1460"/>
      <c r="AD47" s="1460"/>
      <c r="AE47" s="1460"/>
      <c r="AF47" s="1460"/>
      <c r="AG47" s="1460"/>
    </row>
    <row r="48" spans="1:33" s="2045" customFormat="1" ht="52.8">
      <c r="A48" s="2056" t="s">
        <v>2414</v>
      </c>
      <c r="B48" s="2060" t="str">
        <f>估价对象房地状况!C16</f>
        <v>估价对象位于XX商圈，周边商业氛围成熟，人流量大，商业繁华度好</v>
      </c>
      <c r="C48" s="1952"/>
      <c r="D48" s="2061">
        <f t="shared" ref="D48:D56" si="11">SUMIF($J$47:$N$47,C48,J48:N48)</f>
        <v>0</v>
      </c>
      <c r="E48" s="2062">
        <f>ROUND(SUM(D48:D56),4)</f>
        <v>0</v>
      </c>
      <c r="F48" s="2063" t="str">
        <f>IF(E2="商业",SUMIF(L1:L12,G2,N1:N12),"——")</f>
        <v>——</v>
      </c>
      <c r="G48" s="2064"/>
      <c r="H48" s="2065" t="str">
        <f t="shared" ref="H48:H56" si="12">IFERROR(ROUNDDOWN($F$48*I48/2,4),"——")</f>
        <v>——</v>
      </c>
      <c r="I48" s="2066">
        <v>0.33</v>
      </c>
      <c r="J48" s="2067">
        <f t="shared" ref="J48:J56" si="13">K48+$G48</f>
        <v>0</v>
      </c>
      <c r="K48" s="2067">
        <f t="shared" ref="K48:K56" si="14">$L48+$G48</f>
        <v>0</v>
      </c>
      <c r="L48" s="2067">
        <v>0</v>
      </c>
      <c r="M48" s="2067">
        <f t="shared" ref="M48:N56" si="15">L48-$G48</f>
        <v>0</v>
      </c>
      <c r="N48" s="2067">
        <f t="shared" si="15"/>
        <v>0</v>
      </c>
      <c r="O48" s="1460"/>
      <c r="P48" s="1460"/>
      <c r="Q48" s="2737"/>
      <c r="R48" s="2737"/>
      <c r="S48" s="2737"/>
      <c r="T48" s="2737"/>
      <c r="U48" s="2737"/>
      <c r="V48" s="2737"/>
      <c r="W48" s="2737"/>
      <c r="X48" s="1460"/>
      <c r="Y48" s="1460"/>
      <c r="Z48" s="1460"/>
      <c r="AA48" s="1460"/>
      <c r="AB48" s="1460"/>
      <c r="AC48" s="1460"/>
      <c r="AD48" s="1460"/>
      <c r="AE48" s="1460"/>
      <c r="AF48" s="1460"/>
      <c r="AG48" s="1460"/>
    </row>
    <row r="49" spans="1:33" s="2045" customFormat="1" ht="66">
      <c r="A49" s="2056" t="s">
        <v>2415</v>
      </c>
      <c r="B49" s="2057" t="str">
        <f>估价对象房地状况!C18</f>
        <v>估价对象周边道路状况、公共交通通达情况、停车便捷程度，综合评价交通便捷度较好</v>
      </c>
      <c r="C49" s="1952"/>
      <c r="D49" s="2061">
        <f t="shared" si="11"/>
        <v>0</v>
      </c>
      <c r="E49" s="2068"/>
      <c r="F49" s="2063"/>
      <c r="G49" s="2064"/>
      <c r="H49" s="2065" t="str">
        <f t="shared" si="12"/>
        <v>——</v>
      </c>
      <c r="I49" s="2066">
        <v>0.25</v>
      </c>
      <c r="J49" s="2067">
        <f t="shared" si="13"/>
        <v>0</v>
      </c>
      <c r="K49" s="2067">
        <f t="shared" si="14"/>
        <v>0</v>
      </c>
      <c r="L49" s="2067">
        <v>0</v>
      </c>
      <c r="M49" s="2067">
        <f t="shared" si="15"/>
        <v>0</v>
      </c>
      <c r="N49" s="2067">
        <f t="shared" si="15"/>
        <v>0</v>
      </c>
      <c r="O49" s="1460"/>
      <c r="P49" s="1460"/>
      <c r="Q49" s="2737"/>
      <c r="R49" s="2737"/>
      <c r="S49" s="2737"/>
      <c r="T49" s="2737"/>
      <c r="U49" s="2737"/>
      <c r="V49" s="2737"/>
      <c r="W49" s="2737"/>
      <c r="X49" s="1460"/>
      <c r="Y49" s="1460"/>
      <c r="Z49" s="1460"/>
      <c r="AA49" s="1460"/>
      <c r="AB49" s="1460"/>
      <c r="AC49" s="1460"/>
      <c r="AD49" s="1460"/>
      <c r="AE49" s="1460"/>
      <c r="AF49" s="1460"/>
      <c r="AG49" s="1460"/>
    </row>
    <row r="50" spans="1:33" s="2045" customFormat="1" ht="24">
      <c r="A50" s="2056" t="s">
        <v>2416</v>
      </c>
      <c r="B50" s="2057">
        <f>估价对象房地状况!C19</f>
        <v>0</v>
      </c>
      <c r="C50" s="1952"/>
      <c r="D50" s="2061">
        <f t="shared" si="11"/>
        <v>0</v>
      </c>
      <c r="E50" s="2068"/>
      <c r="F50" s="2063"/>
      <c r="G50" s="2064"/>
      <c r="H50" s="2065" t="str">
        <f t="shared" si="12"/>
        <v>——</v>
      </c>
      <c r="I50" s="2066">
        <v>0.05</v>
      </c>
      <c r="J50" s="2067">
        <f t="shared" si="13"/>
        <v>0</v>
      </c>
      <c r="K50" s="2067">
        <f t="shared" si="14"/>
        <v>0</v>
      </c>
      <c r="L50" s="2067">
        <v>0</v>
      </c>
      <c r="M50" s="2067">
        <f t="shared" si="15"/>
        <v>0</v>
      </c>
      <c r="N50" s="2067">
        <f t="shared" si="15"/>
        <v>0</v>
      </c>
      <c r="O50" s="1460"/>
      <c r="P50" s="1460"/>
      <c r="Q50" s="2737"/>
      <c r="R50" s="2737"/>
      <c r="S50" s="2737"/>
      <c r="T50" s="2737"/>
      <c r="U50" s="2737"/>
      <c r="V50" s="2737"/>
      <c r="W50" s="2737"/>
      <c r="X50" s="1460"/>
      <c r="Y50" s="1460"/>
      <c r="Z50" s="1460"/>
      <c r="AA50" s="1460"/>
      <c r="AB50" s="1460"/>
      <c r="AC50" s="1460"/>
      <c r="AD50" s="1460"/>
      <c r="AE50" s="1460"/>
      <c r="AF50" s="1460"/>
      <c r="AG50" s="1460"/>
    </row>
    <row r="51" spans="1:33" s="2045" customFormat="1" ht="50.4">
      <c r="A51" s="2056" t="s">
        <v>2417</v>
      </c>
      <c r="B51" s="2069" t="s">
        <v>2418</v>
      </c>
      <c r="C51" s="1952"/>
      <c r="D51" s="2061">
        <f t="shared" si="11"/>
        <v>0</v>
      </c>
      <c r="E51" s="2068"/>
      <c r="F51" s="2063"/>
      <c r="G51" s="2064"/>
      <c r="H51" s="2065" t="str">
        <f t="shared" si="12"/>
        <v>——</v>
      </c>
      <c r="I51" s="2066">
        <v>0.05</v>
      </c>
      <c r="J51" s="2067">
        <f t="shared" si="13"/>
        <v>0</v>
      </c>
      <c r="K51" s="2067">
        <f t="shared" si="14"/>
        <v>0</v>
      </c>
      <c r="L51" s="2067">
        <v>0</v>
      </c>
      <c r="M51" s="2067">
        <f t="shared" si="15"/>
        <v>0</v>
      </c>
      <c r="N51" s="2067">
        <f t="shared" si="15"/>
        <v>0</v>
      </c>
      <c r="O51" s="1460"/>
      <c r="P51" s="1460"/>
      <c r="Q51" s="2737"/>
      <c r="R51" s="2737"/>
      <c r="S51" s="2737"/>
      <c r="T51" s="2737"/>
      <c r="U51" s="2737"/>
      <c r="V51" s="2737"/>
      <c r="W51" s="2737"/>
      <c r="X51" s="1460"/>
      <c r="Y51" s="1460"/>
      <c r="Z51" s="1460"/>
      <c r="AA51" s="1460"/>
      <c r="AB51" s="1460"/>
      <c r="AC51" s="1460"/>
      <c r="AD51" s="1460"/>
      <c r="AE51" s="1460"/>
      <c r="AF51" s="1460"/>
      <c r="AG51" s="1460"/>
    </row>
    <row r="52" spans="1:33" s="2045" customFormat="1" ht="24">
      <c r="A52" s="2056" t="s">
        <v>2419</v>
      </c>
      <c r="B52" s="2057">
        <f>估价对象房地状况!C24</f>
        <v>0</v>
      </c>
      <c r="C52" s="1952"/>
      <c r="D52" s="2061">
        <f t="shared" si="11"/>
        <v>0</v>
      </c>
      <c r="E52" s="2068"/>
      <c r="F52" s="2063"/>
      <c r="G52" s="2064"/>
      <c r="H52" s="2065" t="str">
        <f t="shared" si="12"/>
        <v>——</v>
      </c>
      <c r="I52" s="2066">
        <v>0.08</v>
      </c>
      <c r="J52" s="2067">
        <f t="shared" si="13"/>
        <v>0</v>
      </c>
      <c r="K52" s="2067">
        <f t="shared" si="14"/>
        <v>0</v>
      </c>
      <c r="L52" s="2067">
        <v>0</v>
      </c>
      <c r="M52" s="2067">
        <f t="shared" si="15"/>
        <v>0</v>
      </c>
      <c r="N52" s="2067">
        <f t="shared" si="15"/>
        <v>0</v>
      </c>
      <c r="O52" s="1460"/>
      <c r="P52" s="1460"/>
      <c r="Q52" s="2737"/>
      <c r="R52" s="2737"/>
      <c r="S52" s="2737"/>
      <c r="T52" s="2737"/>
      <c r="U52" s="2737"/>
      <c r="V52" s="2737"/>
      <c r="W52" s="2737"/>
      <c r="X52" s="1460"/>
      <c r="Y52" s="1460"/>
      <c r="Z52" s="1460"/>
      <c r="AA52" s="1460"/>
      <c r="AB52" s="1460"/>
      <c r="AC52" s="1460"/>
      <c r="AD52" s="1460"/>
      <c r="AE52" s="1460"/>
      <c r="AF52" s="1460"/>
      <c r="AG52" s="1460"/>
    </row>
    <row r="53" spans="1:33" s="2045" customFormat="1" ht="36">
      <c r="A53" s="2056" t="s">
        <v>2420</v>
      </c>
      <c r="B53" s="2070" t="s">
        <v>2421</v>
      </c>
      <c r="C53" s="1952"/>
      <c r="D53" s="2061">
        <f t="shared" si="11"/>
        <v>0</v>
      </c>
      <c r="E53" s="2068"/>
      <c r="F53" s="2063"/>
      <c r="G53" s="2064"/>
      <c r="H53" s="2065" t="str">
        <f t="shared" si="12"/>
        <v>——</v>
      </c>
      <c r="I53" s="2066">
        <v>0.03</v>
      </c>
      <c r="J53" s="2067">
        <f t="shared" si="13"/>
        <v>0</v>
      </c>
      <c r="K53" s="2067">
        <f t="shared" si="14"/>
        <v>0</v>
      </c>
      <c r="L53" s="2067">
        <v>0</v>
      </c>
      <c r="M53" s="2067">
        <f t="shared" si="15"/>
        <v>0</v>
      </c>
      <c r="N53" s="2067">
        <f t="shared" si="15"/>
        <v>0</v>
      </c>
      <c r="O53" s="1460"/>
      <c r="P53" s="1460"/>
      <c r="Q53" s="2737"/>
      <c r="R53" s="2737"/>
      <c r="S53" s="2737"/>
      <c r="T53" s="2737"/>
      <c r="U53" s="2737"/>
      <c r="V53" s="2737"/>
      <c r="W53" s="2737"/>
      <c r="X53" s="1460"/>
      <c r="Y53" s="1460"/>
      <c r="Z53" s="1460"/>
      <c r="AA53" s="1460"/>
      <c r="AB53" s="1460"/>
      <c r="AC53" s="1460"/>
      <c r="AD53" s="1460"/>
      <c r="AE53" s="1460"/>
      <c r="AF53" s="1460"/>
      <c r="AG53" s="1460"/>
    </row>
    <row r="54" spans="1:33" s="2045" customFormat="1" ht="26.4">
      <c r="A54" s="2071" t="s">
        <v>2422</v>
      </c>
      <c r="B54" s="1448" t="str">
        <f>估价对象房地状况!C21</f>
        <v>估价对象所在区域公共配套设施齐备情况</v>
      </c>
      <c r="C54" s="1952"/>
      <c r="D54" s="2061">
        <f t="shared" si="11"/>
        <v>0</v>
      </c>
      <c r="E54" s="2068"/>
      <c r="F54" s="2063"/>
      <c r="G54" s="2064"/>
      <c r="H54" s="2065" t="str">
        <f t="shared" si="12"/>
        <v>——</v>
      </c>
      <c r="I54" s="2066">
        <v>0.05</v>
      </c>
      <c r="J54" s="2067">
        <f t="shared" si="13"/>
        <v>0</v>
      </c>
      <c r="K54" s="2067">
        <f t="shared" si="14"/>
        <v>0</v>
      </c>
      <c r="L54" s="2067">
        <v>0</v>
      </c>
      <c r="M54" s="2067">
        <f t="shared" si="15"/>
        <v>0</v>
      </c>
      <c r="N54" s="2067">
        <f t="shared" si="15"/>
        <v>0</v>
      </c>
      <c r="O54" s="1460"/>
      <c r="P54" s="1460"/>
      <c r="Q54" s="2737"/>
      <c r="R54" s="2737"/>
      <c r="S54" s="2737"/>
      <c r="T54" s="2737"/>
      <c r="U54" s="2737"/>
      <c r="V54" s="2737"/>
      <c r="W54" s="2737"/>
      <c r="X54" s="1460"/>
      <c r="Y54" s="1460"/>
      <c r="Z54" s="1460"/>
      <c r="AA54" s="1460"/>
      <c r="AB54" s="1460"/>
      <c r="AC54" s="1460"/>
      <c r="AD54" s="1460"/>
      <c r="AE54" s="1460"/>
      <c r="AF54" s="1460"/>
      <c r="AG54" s="1460"/>
    </row>
    <row r="55" spans="1:33" s="2045" customFormat="1" ht="26.4">
      <c r="A55" s="2071" t="s">
        <v>2423</v>
      </c>
      <c r="B55" s="2057" t="str">
        <f>估价对象房地状况!C22</f>
        <v>估价对象所在区域基础设施水平</v>
      </c>
      <c r="C55" s="1952"/>
      <c r="D55" s="2061">
        <f t="shared" si="11"/>
        <v>0</v>
      </c>
      <c r="E55" s="2068"/>
      <c r="F55" s="2063"/>
      <c r="G55" s="2064"/>
      <c r="H55" s="2065" t="str">
        <f t="shared" si="12"/>
        <v>——</v>
      </c>
      <c r="I55" s="2066">
        <v>0.1</v>
      </c>
      <c r="J55" s="2067">
        <f t="shared" si="13"/>
        <v>0</v>
      </c>
      <c r="K55" s="2067">
        <f t="shared" si="14"/>
        <v>0</v>
      </c>
      <c r="L55" s="2067">
        <v>0</v>
      </c>
      <c r="M55" s="2067">
        <f t="shared" si="15"/>
        <v>0</v>
      </c>
      <c r="N55" s="2067">
        <f t="shared" si="15"/>
        <v>0</v>
      </c>
      <c r="O55" s="1460"/>
      <c r="P55" s="1460"/>
      <c r="Q55" s="2737"/>
      <c r="R55" s="2737"/>
      <c r="S55" s="2737"/>
      <c r="T55" s="2737"/>
      <c r="U55" s="2737"/>
      <c r="V55" s="2737"/>
      <c r="W55" s="2737"/>
      <c r="X55" s="1460"/>
      <c r="Y55" s="1460"/>
      <c r="Z55" s="1460"/>
      <c r="AA55" s="1460"/>
      <c r="AB55" s="1460"/>
      <c r="AC55" s="1460"/>
      <c r="AD55" s="1460"/>
      <c r="AE55" s="1460"/>
      <c r="AF55" s="1460"/>
      <c r="AG55" s="1460"/>
    </row>
    <row r="56" spans="1:33" s="2045" customFormat="1" ht="40.200000000000003" thickBot="1">
      <c r="A56" s="2072" t="s">
        <v>2424</v>
      </c>
      <c r="B56" s="2073" t="str">
        <f>估价对象房地状况!C20</f>
        <v>区域自然环境：；人文环境；综合评价环境状况一般</v>
      </c>
      <c r="C56" s="1952"/>
      <c r="D56" s="2061">
        <f t="shared" si="11"/>
        <v>0</v>
      </c>
      <c r="E56" s="2074"/>
      <c r="F56" s="2063"/>
      <c r="G56" s="2064"/>
      <c r="H56" s="2065" t="str">
        <f t="shared" si="12"/>
        <v>——</v>
      </c>
      <c r="I56" s="2075">
        <v>0.06</v>
      </c>
      <c r="J56" s="2067">
        <f t="shared" si="13"/>
        <v>0</v>
      </c>
      <c r="K56" s="2067">
        <f t="shared" si="14"/>
        <v>0</v>
      </c>
      <c r="L56" s="2067">
        <v>0</v>
      </c>
      <c r="M56" s="2067">
        <f t="shared" si="15"/>
        <v>0</v>
      </c>
      <c r="N56" s="2067">
        <f t="shared" si="15"/>
        <v>0</v>
      </c>
      <c r="O56" s="1460"/>
      <c r="P56" s="1460"/>
      <c r="Q56" s="2737"/>
      <c r="R56" s="2737"/>
      <c r="S56" s="2737"/>
      <c r="T56" s="2737"/>
      <c r="U56" s="2737"/>
      <c r="V56" s="2737"/>
      <c r="W56" s="2737"/>
      <c r="X56" s="1460"/>
      <c r="Y56" s="1460"/>
      <c r="Z56" s="1460"/>
      <c r="AA56" s="1460"/>
      <c r="AB56" s="1460"/>
      <c r="AC56" s="1460"/>
      <c r="AD56" s="1460"/>
      <c r="AE56" s="1460"/>
      <c r="AF56" s="1460"/>
      <c r="AG56" s="1460"/>
    </row>
    <row r="57" spans="1:33" s="2045" customFormat="1" ht="14.4">
      <c r="A57" s="2050" t="s">
        <v>2425</v>
      </c>
      <c r="B57" s="2076">
        <f>1+E59</f>
        <v>1</v>
      </c>
      <c r="C57" s="2053"/>
      <c r="D57" s="2053"/>
      <c r="E57" s="2054"/>
      <c r="F57" s="2048"/>
      <c r="G57" s="584"/>
      <c r="H57" s="584"/>
      <c r="I57" s="584"/>
      <c r="J57" s="584"/>
      <c r="K57" s="584"/>
      <c r="L57" s="584"/>
      <c r="M57" s="584"/>
      <c r="N57" s="584"/>
      <c r="O57" s="1460"/>
      <c r="P57" s="1460"/>
      <c r="Q57" s="2737"/>
      <c r="R57" s="2737"/>
      <c r="S57" s="2737"/>
      <c r="T57" s="2737"/>
      <c r="U57" s="2737"/>
      <c r="V57" s="2737"/>
      <c r="W57" s="2737"/>
      <c r="X57" s="1460"/>
      <c r="Y57" s="1460"/>
      <c r="Z57" s="1460"/>
      <c r="AA57" s="1460"/>
      <c r="AB57" s="1460"/>
      <c r="AC57" s="1460"/>
      <c r="AD57" s="1460"/>
      <c r="AE57" s="1460"/>
      <c r="AF57" s="1460"/>
      <c r="AG57" s="1460"/>
    </row>
    <row r="58" spans="1:33" s="2045" customFormat="1" ht="25.2">
      <c r="A58" s="2056" t="s">
        <v>2400</v>
      </c>
      <c r="B58" s="2057"/>
      <c r="C58" s="2057" t="s">
        <v>2402</v>
      </c>
      <c r="D58" s="2057" t="s">
        <v>2403</v>
      </c>
      <c r="E58" s="2058" t="s">
        <v>2404</v>
      </c>
      <c r="F58" s="2012" t="s">
        <v>2405</v>
      </c>
      <c r="G58" s="2057" t="s">
        <v>2426</v>
      </c>
      <c r="H58" s="2059" t="s">
        <v>2427</v>
      </c>
      <c r="I58" s="2057" t="s">
        <v>2428</v>
      </c>
      <c r="J58" s="1472" t="s">
        <v>2069</v>
      </c>
      <c r="K58" s="1472" t="s">
        <v>2070</v>
      </c>
      <c r="L58" s="1472" t="s">
        <v>2071</v>
      </c>
      <c r="M58" s="1472" t="s">
        <v>2072</v>
      </c>
      <c r="N58" s="1472" t="s">
        <v>2073</v>
      </c>
      <c r="O58" s="1460"/>
      <c r="P58" s="1460"/>
      <c r="Q58" s="2737"/>
      <c r="R58" s="2737"/>
      <c r="S58" s="2737"/>
      <c r="T58" s="2737"/>
      <c r="U58" s="2737"/>
      <c r="V58" s="2737"/>
      <c r="W58" s="2737"/>
      <c r="X58" s="1460"/>
      <c r="Y58" s="1460"/>
      <c r="Z58" s="1460"/>
      <c r="AA58" s="1460"/>
      <c r="AB58" s="1460"/>
      <c r="AC58" s="1460"/>
      <c r="AD58" s="1460"/>
      <c r="AE58" s="1460"/>
      <c r="AF58" s="1460"/>
      <c r="AG58" s="1460"/>
    </row>
    <row r="59" spans="1:33" s="2045" customFormat="1" ht="52.8">
      <c r="A59" s="2056" t="s">
        <v>2429</v>
      </c>
      <c r="B59" s="2060" t="str">
        <f>估价对象房地状况!C17</f>
        <v>估价对象位于XX商圈，周边办公楼项目较多，入驻率高，办公集聚程度较好</v>
      </c>
      <c r="C59" s="1952"/>
      <c r="D59" s="2061">
        <f t="shared" ref="D59:D67" si="16">SUMIF($J$58:$N$58,C59,J59:N59)</f>
        <v>0</v>
      </c>
      <c r="E59" s="2062">
        <f>ROUND(SUM(D59:D67),4)</f>
        <v>0</v>
      </c>
      <c r="F59" s="2063" t="str">
        <f>IF(E2="办公",SUMIF(L1:L12,G2,N1:N12),"——")</f>
        <v>——</v>
      </c>
      <c r="G59" s="2064"/>
      <c r="H59" s="2065" t="str">
        <f t="shared" ref="H59:H67" si="17">IFERROR(ROUNDDOWN($F$59*I59/2,4),"——")</f>
        <v>——</v>
      </c>
      <c r="I59" s="2066">
        <v>0.24</v>
      </c>
      <c r="J59" s="2067">
        <f t="shared" ref="J59:J67" si="18">K59+$G59</f>
        <v>0</v>
      </c>
      <c r="K59" s="2067">
        <f t="shared" ref="K59:K67" si="19">$L59+$G59</f>
        <v>0</v>
      </c>
      <c r="L59" s="2067">
        <v>0</v>
      </c>
      <c r="M59" s="2067">
        <f t="shared" ref="M59:N67" si="20">L59-$G59</f>
        <v>0</v>
      </c>
      <c r="N59" s="2067">
        <f t="shared" si="20"/>
        <v>0</v>
      </c>
      <c r="O59" s="1460"/>
      <c r="P59" s="1460"/>
      <c r="Q59" s="2737"/>
      <c r="R59" s="2737"/>
      <c r="S59" s="2737"/>
      <c r="T59" s="2737"/>
      <c r="U59" s="2737"/>
      <c r="V59" s="2737"/>
      <c r="W59" s="2737"/>
      <c r="X59" s="1460"/>
      <c r="Y59" s="1460"/>
      <c r="Z59" s="1460"/>
      <c r="AA59" s="1460"/>
      <c r="AB59" s="1460"/>
      <c r="AC59" s="1460"/>
      <c r="AD59" s="1460"/>
      <c r="AE59" s="1460"/>
      <c r="AF59" s="1460"/>
      <c r="AG59" s="1460"/>
    </row>
    <row r="60" spans="1:33" s="2045" customFormat="1" ht="66">
      <c r="A60" s="2056" t="s">
        <v>2415</v>
      </c>
      <c r="B60" s="2057" t="str">
        <f>估价对象房地状况!C18</f>
        <v>估价对象周边道路状况、公共交通通达情况、停车便捷程度，综合评价交通便捷度较好</v>
      </c>
      <c r="C60" s="1952"/>
      <c r="D60" s="2061">
        <f t="shared" si="16"/>
        <v>0</v>
      </c>
      <c r="E60" s="2068"/>
      <c r="F60" s="2063"/>
      <c r="G60" s="2064"/>
      <c r="H60" s="2065" t="str">
        <f t="shared" si="17"/>
        <v>——</v>
      </c>
      <c r="I60" s="2066">
        <v>0.3</v>
      </c>
      <c r="J60" s="2067">
        <f t="shared" si="18"/>
        <v>0</v>
      </c>
      <c r="K60" s="2067">
        <f t="shared" si="19"/>
        <v>0</v>
      </c>
      <c r="L60" s="2067">
        <v>0</v>
      </c>
      <c r="M60" s="2067">
        <f t="shared" si="20"/>
        <v>0</v>
      </c>
      <c r="N60" s="2067">
        <f t="shared" si="20"/>
        <v>0</v>
      </c>
      <c r="O60" s="1460"/>
      <c r="P60" s="1460"/>
      <c r="Q60" s="2737"/>
      <c r="R60" s="2737"/>
      <c r="S60" s="2737"/>
      <c r="T60" s="2737"/>
      <c r="U60" s="2737"/>
      <c r="V60" s="2737"/>
      <c r="W60" s="2737"/>
      <c r="X60" s="1460"/>
      <c r="Y60" s="1460"/>
      <c r="Z60" s="1460"/>
      <c r="AA60" s="1460"/>
      <c r="AB60" s="1460"/>
      <c r="AC60" s="1460"/>
      <c r="AD60" s="1460"/>
      <c r="AE60" s="1460"/>
      <c r="AF60" s="1460"/>
      <c r="AG60" s="1460"/>
    </row>
    <row r="61" spans="1:33" s="2045" customFormat="1" ht="24">
      <c r="A61" s="2056" t="s">
        <v>2416</v>
      </c>
      <c r="B61" s="2057">
        <f>估价对象房地状况!C19</f>
        <v>0</v>
      </c>
      <c r="C61" s="1952"/>
      <c r="D61" s="2061">
        <f t="shared" si="16"/>
        <v>0</v>
      </c>
      <c r="E61" s="2068"/>
      <c r="F61" s="2063"/>
      <c r="G61" s="2064"/>
      <c r="H61" s="2065" t="str">
        <f t="shared" si="17"/>
        <v>——</v>
      </c>
      <c r="I61" s="2066">
        <v>0.08</v>
      </c>
      <c r="J61" s="2067">
        <f t="shared" si="18"/>
        <v>0</v>
      </c>
      <c r="K61" s="2067">
        <f t="shared" si="19"/>
        <v>0</v>
      </c>
      <c r="L61" s="2067">
        <v>0</v>
      </c>
      <c r="M61" s="2067">
        <f t="shared" si="20"/>
        <v>0</v>
      </c>
      <c r="N61" s="2067">
        <f t="shared" si="20"/>
        <v>0</v>
      </c>
      <c r="O61" s="1460"/>
      <c r="P61" s="1460"/>
      <c r="Q61" s="2737"/>
      <c r="R61" s="2737"/>
      <c r="S61" s="2737"/>
      <c r="T61" s="2737"/>
      <c r="U61" s="2737"/>
      <c r="V61" s="2737"/>
      <c r="W61" s="2737"/>
      <c r="X61" s="1460"/>
      <c r="Y61" s="1460"/>
      <c r="Z61" s="1460"/>
      <c r="AA61" s="1460"/>
      <c r="AB61" s="1460"/>
      <c r="AC61" s="1460"/>
      <c r="AD61" s="1460"/>
      <c r="AE61" s="1460"/>
      <c r="AF61" s="1460"/>
      <c r="AG61" s="1460"/>
    </row>
    <row r="62" spans="1:33" s="2045" customFormat="1" ht="50.4">
      <c r="A62" s="2056" t="s">
        <v>2417</v>
      </c>
      <c r="B62" s="2069" t="s">
        <v>2418</v>
      </c>
      <c r="C62" s="1952"/>
      <c r="D62" s="2061">
        <f t="shared" si="16"/>
        <v>0</v>
      </c>
      <c r="E62" s="2068"/>
      <c r="F62" s="2063"/>
      <c r="G62" s="2064"/>
      <c r="H62" s="2065" t="str">
        <f t="shared" si="17"/>
        <v>——</v>
      </c>
      <c r="I62" s="2066">
        <v>0.04</v>
      </c>
      <c r="J62" s="2067">
        <f t="shared" si="18"/>
        <v>0</v>
      </c>
      <c r="K62" s="2067">
        <f t="shared" si="19"/>
        <v>0</v>
      </c>
      <c r="L62" s="2067">
        <v>0</v>
      </c>
      <c r="M62" s="2067">
        <f t="shared" si="20"/>
        <v>0</v>
      </c>
      <c r="N62" s="2067">
        <f t="shared" si="20"/>
        <v>0</v>
      </c>
      <c r="O62" s="1460"/>
      <c r="P62" s="1460"/>
      <c r="Q62" s="2737"/>
      <c r="R62" s="2737"/>
      <c r="S62" s="2737"/>
      <c r="T62" s="2737"/>
      <c r="U62" s="2737"/>
      <c r="V62" s="2737"/>
      <c r="W62" s="2737"/>
      <c r="X62" s="1460"/>
      <c r="Y62" s="1460"/>
      <c r="Z62" s="1460"/>
      <c r="AA62" s="1460"/>
      <c r="AB62" s="1460"/>
      <c r="AC62" s="1460"/>
      <c r="AD62" s="1460"/>
      <c r="AE62" s="1460"/>
      <c r="AF62" s="1460"/>
      <c r="AG62" s="1460"/>
    </row>
    <row r="63" spans="1:33" s="2045" customFormat="1" ht="24">
      <c r="A63" s="2056" t="s">
        <v>2419</v>
      </c>
      <c r="B63" s="2057">
        <f>估价对象房地状况!C24</f>
        <v>0</v>
      </c>
      <c r="C63" s="1952"/>
      <c r="D63" s="2061">
        <f t="shared" si="16"/>
        <v>0</v>
      </c>
      <c r="E63" s="2068"/>
      <c r="F63" s="2063"/>
      <c r="G63" s="2064"/>
      <c r="H63" s="2065" t="str">
        <f t="shared" si="17"/>
        <v>——</v>
      </c>
      <c r="I63" s="2066">
        <v>0.05</v>
      </c>
      <c r="J63" s="2067">
        <f t="shared" si="18"/>
        <v>0</v>
      </c>
      <c r="K63" s="2067">
        <f t="shared" si="19"/>
        <v>0</v>
      </c>
      <c r="L63" s="2067">
        <v>0</v>
      </c>
      <c r="M63" s="2067">
        <f t="shared" si="20"/>
        <v>0</v>
      </c>
      <c r="N63" s="2067">
        <f t="shared" si="20"/>
        <v>0</v>
      </c>
      <c r="O63" s="1460"/>
      <c r="P63" s="1460"/>
      <c r="Q63" s="2737"/>
      <c r="R63" s="2737"/>
      <c r="S63" s="2737"/>
      <c r="T63" s="2737"/>
      <c r="U63" s="2737"/>
      <c r="V63" s="2737"/>
      <c r="W63" s="2737"/>
      <c r="X63" s="1460"/>
      <c r="Y63" s="1460"/>
      <c r="Z63" s="1460"/>
      <c r="AA63" s="1460"/>
      <c r="AB63" s="1460"/>
      <c r="AC63" s="1460"/>
      <c r="AD63" s="1460"/>
      <c r="AE63" s="1460"/>
      <c r="AF63" s="1460"/>
      <c r="AG63" s="1460"/>
    </row>
    <row r="64" spans="1:33" s="2045" customFormat="1" ht="36">
      <c r="A64" s="2056" t="s">
        <v>2420</v>
      </c>
      <c r="B64" s="2070" t="s">
        <v>2421</v>
      </c>
      <c r="C64" s="1952"/>
      <c r="D64" s="2061">
        <f t="shared" si="16"/>
        <v>0</v>
      </c>
      <c r="E64" s="2068"/>
      <c r="F64" s="2063"/>
      <c r="G64" s="2064"/>
      <c r="H64" s="2065" t="str">
        <f t="shared" si="17"/>
        <v>——</v>
      </c>
      <c r="I64" s="2066">
        <v>0.05</v>
      </c>
      <c r="J64" s="2067">
        <f t="shared" si="18"/>
        <v>0</v>
      </c>
      <c r="K64" s="2067">
        <f t="shared" si="19"/>
        <v>0</v>
      </c>
      <c r="L64" s="2067">
        <v>0</v>
      </c>
      <c r="M64" s="2067">
        <f t="shared" si="20"/>
        <v>0</v>
      </c>
      <c r="N64" s="2067">
        <f t="shared" si="20"/>
        <v>0</v>
      </c>
      <c r="O64" s="1460"/>
      <c r="P64" s="1460"/>
      <c r="Q64" s="2737"/>
      <c r="R64" s="2737"/>
      <c r="S64" s="2737"/>
      <c r="T64" s="2737"/>
      <c r="U64" s="2737"/>
      <c r="V64" s="2737"/>
      <c r="W64" s="2737"/>
      <c r="X64" s="1460"/>
      <c r="Y64" s="1460"/>
      <c r="Z64" s="1460"/>
      <c r="AA64" s="1460"/>
      <c r="AB64" s="1460"/>
      <c r="AC64" s="1460"/>
      <c r="AD64" s="1460"/>
      <c r="AE64" s="1460"/>
      <c r="AF64" s="1460"/>
      <c r="AG64" s="1460"/>
    </row>
    <row r="65" spans="1:33" s="2045" customFormat="1" ht="26.4">
      <c r="A65" s="2056" t="s">
        <v>2422</v>
      </c>
      <c r="B65" s="1448" t="str">
        <f>估价对象房地状况!C21</f>
        <v>估价对象所在区域公共配套设施齐备情况</v>
      </c>
      <c r="C65" s="1952"/>
      <c r="D65" s="2061">
        <f t="shared" si="16"/>
        <v>0</v>
      </c>
      <c r="E65" s="2068"/>
      <c r="F65" s="2063"/>
      <c r="G65" s="2064"/>
      <c r="H65" s="2065" t="str">
        <f t="shared" si="17"/>
        <v>——</v>
      </c>
      <c r="I65" s="2066">
        <v>0.06</v>
      </c>
      <c r="J65" s="2067">
        <f t="shared" si="18"/>
        <v>0</v>
      </c>
      <c r="K65" s="2067">
        <f t="shared" si="19"/>
        <v>0</v>
      </c>
      <c r="L65" s="2067">
        <v>0</v>
      </c>
      <c r="M65" s="2067">
        <f t="shared" si="20"/>
        <v>0</v>
      </c>
      <c r="N65" s="2067">
        <f t="shared" si="20"/>
        <v>0</v>
      </c>
      <c r="O65" s="1460"/>
      <c r="P65" s="1460"/>
      <c r="Q65" s="2737"/>
      <c r="R65" s="2737"/>
      <c r="S65" s="2737"/>
      <c r="T65" s="2737"/>
      <c r="U65" s="2737"/>
      <c r="V65" s="2737"/>
      <c r="W65" s="2737"/>
      <c r="X65" s="1460"/>
      <c r="Y65" s="1460"/>
      <c r="Z65" s="1460"/>
      <c r="AA65" s="1460"/>
      <c r="AB65" s="1460"/>
      <c r="AC65" s="1460"/>
      <c r="AD65" s="1460"/>
      <c r="AE65" s="1460"/>
      <c r="AF65" s="1460"/>
      <c r="AG65" s="1460"/>
    </row>
    <row r="66" spans="1:33" s="2045" customFormat="1" ht="26.4">
      <c r="A66" s="2056" t="s">
        <v>2423</v>
      </c>
      <c r="B66" s="1448" t="str">
        <f>估价对象房地状况!C22</f>
        <v>估价对象所在区域基础设施水平</v>
      </c>
      <c r="C66" s="1952"/>
      <c r="D66" s="2061">
        <f t="shared" si="16"/>
        <v>0</v>
      </c>
      <c r="E66" s="2068"/>
      <c r="F66" s="2063"/>
      <c r="G66" s="2064"/>
      <c r="H66" s="2065" t="str">
        <f t="shared" si="17"/>
        <v>——</v>
      </c>
      <c r="I66" s="2066">
        <v>0.12</v>
      </c>
      <c r="J66" s="2067">
        <f t="shared" si="18"/>
        <v>0</v>
      </c>
      <c r="K66" s="2067">
        <f t="shared" si="19"/>
        <v>0</v>
      </c>
      <c r="L66" s="2067">
        <v>0</v>
      </c>
      <c r="M66" s="2067">
        <f t="shared" si="20"/>
        <v>0</v>
      </c>
      <c r="N66" s="2067">
        <f t="shared" si="20"/>
        <v>0</v>
      </c>
      <c r="O66" s="1460"/>
      <c r="P66" s="1460"/>
      <c r="Q66" s="2737"/>
      <c r="R66" s="2737"/>
      <c r="S66" s="2737"/>
      <c r="T66" s="2737"/>
      <c r="U66" s="2737"/>
      <c r="V66" s="2737"/>
      <c r="W66" s="2737"/>
      <c r="X66" s="1460"/>
      <c r="Y66" s="1460"/>
      <c r="Z66" s="1460"/>
      <c r="AA66" s="1460"/>
      <c r="AB66" s="1460"/>
      <c r="AC66" s="1460"/>
      <c r="AD66" s="1460"/>
      <c r="AE66" s="1460"/>
      <c r="AF66" s="1460"/>
      <c r="AG66" s="1460"/>
    </row>
    <row r="67" spans="1:33" s="2045" customFormat="1" ht="40.200000000000003" thickBot="1">
      <c r="A67" s="2072" t="s">
        <v>2424</v>
      </c>
      <c r="B67" s="2077" t="str">
        <f>估价对象房地状况!C20</f>
        <v>区域自然环境：；人文环境；综合评价环境状况一般</v>
      </c>
      <c r="C67" s="1952"/>
      <c r="D67" s="2061">
        <f t="shared" si="16"/>
        <v>0</v>
      </c>
      <c r="E67" s="2074"/>
      <c r="F67" s="2063"/>
      <c r="G67" s="2064"/>
      <c r="H67" s="2065" t="str">
        <f t="shared" si="17"/>
        <v>——</v>
      </c>
      <c r="I67" s="2075">
        <v>0.06</v>
      </c>
      <c r="J67" s="2067">
        <f t="shared" si="18"/>
        <v>0</v>
      </c>
      <c r="K67" s="2067">
        <f t="shared" si="19"/>
        <v>0</v>
      </c>
      <c r="L67" s="2067">
        <v>0</v>
      </c>
      <c r="M67" s="2067">
        <f t="shared" si="20"/>
        <v>0</v>
      </c>
      <c r="N67" s="2067">
        <f t="shared" si="20"/>
        <v>0</v>
      </c>
      <c r="O67" s="1460"/>
      <c r="P67" s="1460"/>
      <c r="Q67" s="2737"/>
      <c r="R67" s="2737"/>
      <c r="S67" s="2737"/>
      <c r="T67" s="2737"/>
      <c r="U67" s="2737"/>
      <c r="V67" s="2737"/>
      <c r="W67" s="2737"/>
      <c r="X67" s="1460"/>
      <c r="Y67" s="1460"/>
      <c r="Z67" s="1460"/>
      <c r="AA67" s="1460"/>
      <c r="AB67" s="1460"/>
      <c r="AC67" s="1460"/>
      <c r="AD67" s="1460"/>
      <c r="AE67" s="1460"/>
      <c r="AF67" s="1460"/>
      <c r="AG67" s="1460"/>
    </row>
    <row r="68" spans="1:33" s="2045" customFormat="1" ht="14.4">
      <c r="A68" s="2050" t="s">
        <v>2430</v>
      </c>
      <c r="B68" s="2076">
        <f>1+E70</f>
        <v>1</v>
      </c>
      <c r="C68" s="2053"/>
      <c r="D68" s="2053"/>
      <c r="E68" s="2054"/>
      <c r="F68" s="2048"/>
      <c r="G68" s="584"/>
      <c r="H68" s="584"/>
      <c r="I68" s="584"/>
      <c r="J68" s="584"/>
      <c r="K68" s="584"/>
      <c r="L68" s="584"/>
      <c r="M68" s="584"/>
      <c r="N68" s="584"/>
      <c r="O68" s="1460"/>
      <c r="P68" s="1460"/>
      <c r="Q68" s="2737"/>
      <c r="R68" s="2737"/>
      <c r="S68" s="2737"/>
      <c r="T68" s="2737"/>
      <c r="U68" s="2737"/>
      <c r="V68" s="2737"/>
      <c r="W68" s="2737"/>
      <c r="X68" s="1460"/>
      <c r="Y68" s="1460"/>
      <c r="Z68" s="1460"/>
      <c r="AA68" s="1460"/>
      <c r="AB68" s="1460"/>
      <c r="AC68" s="1460"/>
      <c r="AD68" s="1460"/>
      <c r="AE68" s="1460"/>
      <c r="AF68" s="1460"/>
      <c r="AG68" s="1460"/>
    </row>
    <row r="69" spans="1:33" s="2045" customFormat="1" ht="25.2">
      <c r="A69" s="2056" t="s">
        <v>2400</v>
      </c>
      <c r="B69" s="2057"/>
      <c r="C69" s="2057" t="s">
        <v>2402</v>
      </c>
      <c r="D69" s="2057" t="s">
        <v>2403</v>
      </c>
      <c r="E69" s="2058" t="s">
        <v>2404</v>
      </c>
      <c r="F69" s="2012" t="s">
        <v>2405</v>
      </c>
      <c r="G69" s="2057" t="s">
        <v>2426</v>
      </c>
      <c r="H69" s="2059" t="s">
        <v>2427</v>
      </c>
      <c r="I69" s="2057" t="s">
        <v>2428</v>
      </c>
      <c r="J69" s="1472" t="s">
        <v>2069</v>
      </c>
      <c r="K69" s="1472" t="s">
        <v>2070</v>
      </c>
      <c r="L69" s="1472" t="s">
        <v>2071</v>
      </c>
      <c r="M69" s="1472" t="s">
        <v>2072</v>
      </c>
      <c r="N69" s="1472" t="s">
        <v>2073</v>
      </c>
      <c r="O69" s="1460"/>
      <c r="P69" s="1460"/>
      <c r="Q69" s="2737"/>
      <c r="R69" s="2737"/>
      <c r="S69" s="2737"/>
      <c r="T69" s="2737"/>
      <c r="U69" s="2737"/>
      <c r="V69" s="2737"/>
      <c r="W69" s="2737"/>
      <c r="X69" s="1460"/>
      <c r="Y69" s="1460"/>
      <c r="Z69" s="1460"/>
      <c r="AA69" s="1460"/>
      <c r="AB69" s="1460"/>
      <c r="AC69" s="1460"/>
      <c r="AD69" s="1460"/>
      <c r="AE69" s="1460"/>
      <c r="AF69" s="1460"/>
      <c r="AG69" s="1460"/>
    </row>
    <row r="70" spans="1:33" s="2045" customFormat="1" ht="66">
      <c r="A70" s="2056" t="s">
        <v>2431</v>
      </c>
      <c r="B70" s="2060" t="str">
        <f>估价对象房地状况!C15</f>
        <v>估价对象周边居住用地比例、居住小区规模和社区发展完善程度，综合评价居住社区成熟度一般</v>
      </c>
      <c r="C70" s="1952"/>
      <c r="D70" s="2061">
        <f t="shared" ref="D70:D78" si="21">SUMIF($J$69:$N$69,C70,J70:N70)</f>
        <v>0</v>
      </c>
      <c r="E70" s="2062">
        <f>ROUND(SUM(D70:D78),4)</f>
        <v>0</v>
      </c>
      <c r="F70" s="2063">
        <f>IF(E2="住宅",SUMIF(L1:L12,G2,N1:N12),"——")</f>
        <v>0</v>
      </c>
      <c r="G70" s="2064"/>
      <c r="H70" s="2065">
        <f t="shared" ref="H70:H78" si="22">IFERROR(ROUNDDOWN($F$70*I70/2,4),"——")</f>
        <v>0</v>
      </c>
      <c r="I70" s="2066">
        <v>0.14000000000000001</v>
      </c>
      <c r="J70" s="2067">
        <f t="shared" ref="J70:J78" si="23">K70+$G70</f>
        <v>0</v>
      </c>
      <c r="K70" s="2067">
        <f t="shared" ref="K70:K78" si="24">$L70+$G70</f>
        <v>0</v>
      </c>
      <c r="L70" s="2067">
        <v>0</v>
      </c>
      <c r="M70" s="2067">
        <f t="shared" ref="M70:N78" si="25">L70-$G70</f>
        <v>0</v>
      </c>
      <c r="N70" s="2067">
        <f t="shared" si="25"/>
        <v>0</v>
      </c>
      <c r="O70" s="1460"/>
      <c r="P70" s="1460"/>
      <c r="Q70" s="2737"/>
      <c r="R70" s="2737"/>
      <c r="S70" s="2737"/>
      <c r="T70" s="2737"/>
      <c r="U70" s="2737"/>
      <c r="V70" s="2737"/>
      <c r="W70" s="2737"/>
      <c r="X70" s="1460"/>
      <c r="Y70" s="1460"/>
      <c r="Z70" s="1460"/>
      <c r="AA70" s="1460"/>
      <c r="AB70" s="1460"/>
      <c r="AC70" s="1460"/>
      <c r="AD70" s="1460"/>
      <c r="AE70" s="1460"/>
      <c r="AF70" s="1460"/>
      <c r="AG70" s="1460"/>
    </row>
    <row r="71" spans="1:33" s="2045" customFormat="1" ht="66">
      <c r="A71" s="2056" t="s">
        <v>2415</v>
      </c>
      <c r="B71" s="2057" t="str">
        <f>估价对象房地状况!C18</f>
        <v>估价对象周边道路状况、公共交通通达情况、停车便捷程度，综合评价交通便捷度较好</v>
      </c>
      <c r="C71" s="1952"/>
      <c r="D71" s="2061">
        <f t="shared" si="21"/>
        <v>0</v>
      </c>
      <c r="E71" s="2068"/>
      <c r="F71" s="2063"/>
      <c r="G71" s="2064"/>
      <c r="H71" s="2065">
        <f t="shared" si="22"/>
        <v>0</v>
      </c>
      <c r="I71" s="2066">
        <v>0.3</v>
      </c>
      <c r="J71" s="2067">
        <f t="shared" si="23"/>
        <v>0</v>
      </c>
      <c r="K71" s="2067">
        <f t="shared" si="24"/>
        <v>0</v>
      </c>
      <c r="L71" s="2067">
        <v>0</v>
      </c>
      <c r="M71" s="2067">
        <f t="shared" si="25"/>
        <v>0</v>
      </c>
      <c r="N71" s="2067">
        <f t="shared" si="25"/>
        <v>0</v>
      </c>
      <c r="O71" s="1460"/>
      <c r="P71" s="1460"/>
      <c r="Q71" s="2737"/>
      <c r="R71" s="2737"/>
      <c r="S71" s="2737"/>
      <c r="T71" s="2737"/>
      <c r="U71" s="2737"/>
      <c r="V71" s="2737"/>
      <c r="W71" s="2737"/>
      <c r="X71" s="1460"/>
      <c r="Y71" s="1460"/>
      <c r="Z71" s="1460"/>
      <c r="AA71" s="1460"/>
      <c r="AB71" s="1460"/>
      <c r="AC71" s="1460"/>
      <c r="AD71" s="1460"/>
      <c r="AE71" s="1460"/>
      <c r="AF71" s="1460"/>
      <c r="AG71" s="1460"/>
    </row>
    <row r="72" spans="1:33" s="2045" customFormat="1" ht="24">
      <c r="A72" s="2056" t="s">
        <v>2416</v>
      </c>
      <c r="B72" s="2057">
        <f>估价对象房地状况!C19</f>
        <v>0</v>
      </c>
      <c r="C72" s="1952"/>
      <c r="D72" s="2061">
        <f t="shared" si="21"/>
        <v>0</v>
      </c>
      <c r="E72" s="2068"/>
      <c r="F72" s="2063"/>
      <c r="G72" s="2064"/>
      <c r="H72" s="2065">
        <f t="shared" si="22"/>
        <v>0</v>
      </c>
      <c r="I72" s="2066">
        <v>0.08</v>
      </c>
      <c r="J72" s="2067">
        <f t="shared" si="23"/>
        <v>0</v>
      </c>
      <c r="K72" s="2067">
        <f t="shared" si="24"/>
        <v>0</v>
      </c>
      <c r="L72" s="2067">
        <v>0</v>
      </c>
      <c r="M72" s="2067">
        <f t="shared" si="25"/>
        <v>0</v>
      </c>
      <c r="N72" s="2067">
        <f t="shared" si="25"/>
        <v>0</v>
      </c>
      <c r="O72" s="1460"/>
      <c r="P72" s="1460"/>
      <c r="Q72" s="2737"/>
      <c r="R72" s="2737"/>
      <c r="S72" s="2737"/>
      <c r="T72" s="2737"/>
      <c r="U72" s="2737"/>
      <c r="V72" s="2737"/>
      <c r="W72" s="2737"/>
      <c r="X72" s="1460"/>
      <c r="Y72" s="1460"/>
      <c r="Z72" s="1460"/>
      <c r="AA72" s="1460"/>
      <c r="AB72" s="1460"/>
      <c r="AC72" s="1460"/>
      <c r="AD72" s="1460"/>
      <c r="AE72" s="1460"/>
      <c r="AF72" s="1460"/>
      <c r="AG72" s="1460"/>
    </row>
    <row r="73" spans="1:33" s="2045" customFormat="1" ht="13.8">
      <c r="A73" s="2056" t="s">
        <v>2432</v>
      </c>
      <c r="B73" s="2057">
        <f>估价对象房地状况!C24</f>
        <v>0</v>
      </c>
      <c r="C73" s="1952"/>
      <c r="D73" s="2061">
        <f t="shared" si="21"/>
        <v>0</v>
      </c>
      <c r="E73" s="2068"/>
      <c r="F73" s="2063"/>
      <c r="G73" s="2064"/>
      <c r="H73" s="2065">
        <f t="shared" si="22"/>
        <v>0</v>
      </c>
      <c r="I73" s="2066">
        <v>0.04</v>
      </c>
      <c r="J73" s="2067">
        <f t="shared" si="23"/>
        <v>0</v>
      </c>
      <c r="K73" s="2067">
        <f t="shared" si="24"/>
        <v>0</v>
      </c>
      <c r="L73" s="2067">
        <v>0</v>
      </c>
      <c r="M73" s="2067">
        <f t="shared" si="25"/>
        <v>0</v>
      </c>
      <c r="N73" s="2067">
        <f t="shared" si="25"/>
        <v>0</v>
      </c>
      <c r="O73" s="1460"/>
      <c r="P73" s="1460"/>
      <c r="Q73" s="2737"/>
      <c r="R73" s="2737"/>
      <c r="S73" s="2737"/>
      <c r="T73" s="2737"/>
      <c r="U73" s="2737"/>
      <c r="V73" s="2737"/>
      <c r="W73" s="2737"/>
      <c r="X73" s="1460"/>
      <c r="Y73" s="1460"/>
      <c r="Z73" s="1460"/>
      <c r="AA73" s="1460"/>
      <c r="AB73" s="1460"/>
      <c r="AC73" s="1460"/>
      <c r="AD73" s="1460"/>
      <c r="AE73" s="1460"/>
      <c r="AF73" s="1460"/>
      <c r="AG73" s="1460"/>
    </row>
    <row r="74" spans="1:33" s="2045" customFormat="1" ht="26.4">
      <c r="A74" s="2056" t="s">
        <v>2422</v>
      </c>
      <c r="B74" s="1448" t="str">
        <f>估价对象房地状况!C21</f>
        <v>估价对象所在区域公共配套设施齐备情况</v>
      </c>
      <c r="C74" s="1952"/>
      <c r="D74" s="2061">
        <f t="shared" si="21"/>
        <v>0</v>
      </c>
      <c r="E74" s="2068"/>
      <c r="F74" s="2063"/>
      <c r="G74" s="2064"/>
      <c r="H74" s="2065">
        <f t="shared" si="22"/>
        <v>0</v>
      </c>
      <c r="I74" s="2066">
        <v>0.08</v>
      </c>
      <c r="J74" s="2067">
        <f t="shared" si="23"/>
        <v>0</v>
      </c>
      <c r="K74" s="2067">
        <f t="shared" si="24"/>
        <v>0</v>
      </c>
      <c r="L74" s="2067">
        <v>0</v>
      </c>
      <c r="M74" s="2067">
        <f t="shared" si="25"/>
        <v>0</v>
      </c>
      <c r="N74" s="2067">
        <f t="shared" si="25"/>
        <v>0</v>
      </c>
      <c r="O74" s="1460"/>
      <c r="P74" s="1460"/>
      <c r="Q74" s="2737"/>
      <c r="R74" s="2737"/>
      <c r="S74" s="2737"/>
      <c r="T74" s="2737"/>
      <c r="U74" s="2737"/>
      <c r="V74" s="2737"/>
      <c r="W74" s="2737"/>
      <c r="X74" s="1460"/>
      <c r="Y74" s="1460"/>
      <c r="Z74" s="1460"/>
      <c r="AA74" s="1460"/>
      <c r="AB74" s="1460"/>
      <c r="AC74" s="1460"/>
      <c r="AD74" s="1460"/>
      <c r="AE74" s="1460"/>
      <c r="AF74" s="1460"/>
      <c r="AG74" s="1460"/>
    </row>
    <row r="75" spans="1:33" s="2045" customFormat="1" ht="26.4">
      <c r="A75" s="2056" t="s">
        <v>2423</v>
      </c>
      <c r="B75" s="1448" t="str">
        <f>估价对象房地状况!C22</f>
        <v>估价对象所在区域基础设施水平</v>
      </c>
      <c r="C75" s="1952"/>
      <c r="D75" s="2061">
        <f t="shared" si="21"/>
        <v>0</v>
      </c>
      <c r="E75" s="2068"/>
      <c r="F75" s="2063"/>
      <c r="G75" s="2064"/>
      <c r="H75" s="2065">
        <f t="shared" si="22"/>
        <v>0</v>
      </c>
      <c r="I75" s="2066">
        <v>0.12</v>
      </c>
      <c r="J75" s="2067">
        <f t="shared" si="23"/>
        <v>0</v>
      </c>
      <c r="K75" s="2067">
        <f t="shared" si="24"/>
        <v>0</v>
      </c>
      <c r="L75" s="2067">
        <v>0</v>
      </c>
      <c r="M75" s="2067">
        <f t="shared" si="25"/>
        <v>0</v>
      </c>
      <c r="N75" s="2067">
        <f t="shared" si="25"/>
        <v>0</v>
      </c>
      <c r="O75" s="1460"/>
      <c r="P75" s="1460"/>
      <c r="Q75" s="2737"/>
      <c r="R75" s="2737"/>
      <c r="S75" s="2737"/>
      <c r="T75" s="2737"/>
      <c r="U75" s="2737"/>
      <c r="V75" s="2737"/>
      <c r="W75" s="2737"/>
      <c r="X75" s="1460"/>
      <c r="Y75" s="1460"/>
      <c r="Z75" s="1460"/>
      <c r="AA75" s="1460"/>
      <c r="AB75" s="1460"/>
      <c r="AC75" s="1460"/>
      <c r="AD75" s="1460"/>
      <c r="AE75" s="1460"/>
      <c r="AF75" s="1460"/>
      <c r="AG75" s="1460"/>
    </row>
    <row r="76" spans="1:33" ht="36">
      <c r="A76" s="2056" t="s">
        <v>2420</v>
      </c>
      <c r="B76" s="2070" t="s">
        <v>2421</v>
      </c>
      <c r="C76" s="1952"/>
      <c r="D76" s="2061">
        <f t="shared" si="21"/>
        <v>0</v>
      </c>
      <c r="E76" s="2068"/>
      <c r="F76" s="2063"/>
      <c r="G76" s="2064"/>
      <c r="H76" s="2065">
        <f t="shared" si="22"/>
        <v>0</v>
      </c>
      <c r="I76" s="2066">
        <v>0.05</v>
      </c>
      <c r="J76" s="2067">
        <f t="shared" si="23"/>
        <v>0</v>
      </c>
      <c r="K76" s="2067">
        <f t="shared" si="24"/>
        <v>0</v>
      </c>
      <c r="L76" s="2067">
        <v>0</v>
      </c>
      <c r="M76" s="2067">
        <f t="shared" si="25"/>
        <v>0</v>
      </c>
      <c r="N76" s="2067">
        <f t="shared" si="25"/>
        <v>0</v>
      </c>
      <c r="AA76" s="1461"/>
      <c r="AG76" s="2045"/>
    </row>
    <row r="77" spans="1:33" ht="39.6">
      <c r="A77" s="2056" t="s">
        <v>2424</v>
      </c>
      <c r="B77" s="2060" t="str">
        <f>估价对象房地状况!C20</f>
        <v>区域自然环境：；人文环境；综合评价环境状况一般</v>
      </c>
      <c r="C77" s="1952"/>
      <c r="D77" s="2061">
        <f t="shared" si="21"/>
        <v>0</v>
      </c>
      <c r="E77" s="2068"/>
      <c r="F77" s="2063"/>
      <c r="G77" s="2064"/>
      <c r="H77" s="2065">
        <f t="shared" si="22"/>
        <v>0</v>
      </c>
      <c r="I77" s="2066">
        <v>0.15</v>
      </c>
      <c r="J77" s="2067">
        <f t="shared" si="23"/>
        <v>0</v>
      </c>
      <c r="K77" s="2067">
        <f t="shared" si="24"/>
        <v>0</v>
      </c>
      <c r="L77" s="2067">
        <v>0</v>
      </c>
      <c r="M77" s="2067">
        <f t="shared" si="25"/>
        <v>0</v>
      </c>
      <c r="N77" s="2067">
        <f t="shared" si="25"/>
        <v>0</v>
      </c>
      <c r="AA77" s="1461"/>
      <c r="AG77" s="2045"/>
    </row>
    <row r="78" spans="1:33" ht="36.6" thickBot="1">
      <c r="A78" s="2072" t="s">
        <v>2433</v>
      </c>
      <c r="B78" s="2078"/>
      <c r="C78" s="1952"/>
      <c r="D78" s="2061">
        <f t="shared" si="21"/>
        <v>0</v>
      </c>
      <c r="E78" s="2074"/>
      <c r="F78" s="2063"/>
      <c r="G78" s="2064"/>
      <c r="H78" s="2065">
        <f t="shared" si="22"/>
        <v>0</v>
      </c>
      <c r="I78" s="2075">
        <v>0.04</v>
      </c>
      <c r="J78" s="2067">
        <f t="shared" si="23"/>
        <v>0</v>
      </c>
      <c r="K78" s="2067">
        <f t="shared" si="24"/>
        <v>0</v>
      </c>
      <c r="L78" s="2067">
        <v>0</v>
      </c>
      <c r="M78" s="2067">
        <f t="shared" si="25"/>
        <v>0</v>
      </c>
      <c r="N78" s="2067">
        <f t="shared" si="25"/>
        <v>0</v>
      </c>
      <c r="AA78" s="1461"/>
      <c r="AG78" s="2045"/>
    </row>
    <row r="79" spans="1:33" ht="14.4">
      <c r="A79" s="2050" t="s">
        <v>2434</v>
      </c>
      <c r="B79" s="2076">
        <f>1+E81</f>
        <v>1</v>
      </c>
      <c r="C79" s="2053"/>
      <c r="D79" s="2053"/>
      <c r="E79" s="2054"/>
      <c r="F79" s="2048"/>
      <c r="G79" s="584"/>
      <c r="H79" s="584"/>
      <c r="I79" s="584"/>
      <c r="J79" s="584"/>
      <c r="K79" s="584"/>
      <c r="L79" s="584"/>
      <c r="M79" s="584"/>
      <c r="N79" s="584"/>
      <c r="AA79" s="1461"/>
      <c r="AG79" s="2045"/>
    </row>
    <row r="80" spans="1:33" ht="25.2">
      <c r="A80" s="2056" t="s">
        <v>2400</v>
      </c>
      <c r="B80" s="2057"/>
      <c r="C80" s="2057" t="s">
        <v>2402</v>
      </c>
      <c r="D80" s="2057" t="s">
        <v>2403</v>
      </c>
      <c r="E80" s="2058" t="s">
        <v>2404</v>
      </c>
      <c r="F80" s="2012" t="s">
        <v>2405</v>
      </c>
      <c r="G80" s="2057" t="s">
        <v>2426</v>
      </c>
      <c r="H80" s="2059" t="s">
        <v>2427</v>
      </c>
      <c r="I80" s="2057" t="s">
        <v>2428</v>
      </c>
      <c r="J80" s="1472" t="s">
        <v>2069</v>
      </c>
      <c r="K80" s="1472" t="s">
        <v>2070</v>
      </c>
      <c r="L80" s="1472" t="s">
        <v>2071</v>
      </c>
      <c r="M80" s="1472" t="s">
        <v>2072</v>
      </c>
      <c r="N80" s="1472" t="s">
        <v>2073</v>
      </c>
      <c r="AA80" s="1461"/>
      <c r="AG80" s="2045"/>
    </row>
    <row r="81" spans="1:33" ht="39.6">
      <c r="A81" s="2056" t="s">
        <v>2435</v>
      </c>
      <c r="B81" s="2057" t="str">
        <f>估价对象房地状况!G15</f>
        <v>估价对象位于XX开发区，园区建设成熟度XX，产业集聚程度XX</v>
      </c>
      <c r="C81" s="1952"/>
      <c r="D81" s="2061">
        <f t="shared" ref="D81:D88" si="26">SUMIF($J$80:$N$80,C81,J81:N81)</f>
        <v>0</v>
      </c>
      <c r="E81" s="2062">
        <f>ROUND(SUM(D81:D88),4)</f>
        <v>0</v>
      </c>
      <c r="F81" s="2063" t="str">
        <f>IF(E2="工业",SUMIF(L1:L12,G2,N1:N12),"——")</f>
        <v>——</v>
      </c>
      <c r="G81" s="2064"/>
      <c r="H81" s="2065" t="str">
        <f t="shared" ref="H81:H88" si="27">IFERROR(ROUNDDOWN($F$81*I81/2,4),"——")</f>
        <v>——</v>
      </c>
      <c r="I81" s="2066">
        <v>0.26</v>
      </c>
      <c r="J81" s="2067">
        <f t="shared" ref="J81:J88" si="28">K81+$G81</f>
        <v>0</v>
      </c>
      <c r="K81" s="2067">
        <f t="shared" ref="K81:K88" si="29">$L81+$G81</f>
        <v>0</v>
      </c>
      <c r="L81" s="2067">
        <v>0</v>
      </c>
      <c r="M81" s="2067">
        <f t="shared" ref="M81:N88" si="30">L81-$G81</f>
        <v>0</v>
      </c>
      <c r="N81" s="2067">
        <f t="shared" si="30"/>
        <v>0</v>
      </c>
      <c r="AA81" s="1461"/>
      <c r="AG81" s="2045"/>
    </row>
    <row r="82" spans="1:33" ht="66">
      <c r="A82" s="2056" t="s">
        <v>2415</v>
      </c>
      <c r="B82" s="2057" t="str">
        <f>估价对象房地状况!G16</f>
        <v>估价对象周边道路状况、公共交通通达情况、停车便捷程度，综合评价交通便捷度较好</v>
      </c>
      <c r="C82" s="1952"/>
      <c r="D82" s="2061">
        <f t="shared" si="26"/>
        <v>0</v>
      </c>
      <c r="E82" s="2068"/>
      <c r="F82" s="2063"/>
      <c r="G82" s="2064"/>
      <c r="H82" s="2065" t="str">
        <f t="shared" si="27"/>
        <v>——</v>
      </c>
      <c r="I82" s="2066">
        <v>0.33</v>
      </c>
      <c r="J82" s="2067">
        <f t="shared" si="28"/>
        <v>0</v>
      </c>
      <c r="K82" s="2067">
        <f t="shared" si="29"/>
        <v>0</v>
      </c>
      <c r="L82" s="2067">
        <v>0</v>
      </c>
      <c r="M82" s="2067">
        <f t="shared" si="30"/>
        <v>0</v>
      </c>
      <c r="N82" s="2067">
        <f t="shared" si="30"/>
        <v>0</v>
      </c>
      <c r="AA82" s="1461"/>
      <c r="AG82" s="2045"/>
    </row>
    <row r="83" spans="1:33" ht="24">
      <c r="A83" s="2056" t="s">
        <v>2416</v>
      </c>
      <c r="B83" s="2057">
        <f>估价对象房地状况!G17</f>
        <v>0</v>
      </c>
      <c r="C83" s="1952"/>
      <c r="D83" s="2061">
        <f t="shared" si="26"/>
        <v>0</v>
      </c>
      <c r="E83" s="2068"/>
      <c r="F83" s="2063"/>
      <c r="G83" s="2064"/>
      <c r="H83" s="2065" t="str">
        <f t="shared" si="27"/>
        <v>——</v>
      </c>
      <c r="I83" s="2066">
        <v>0.05</v>
      </c>
      <c r="J83" s="2067">
        <f t="shared" si="28"/>
        <v>0</v>
      </c>
      <c r="K83" s="2067">
        <f t="shared" si="29"/>
        <v>0</v>
      </c>
      <c r="L83" s="2067">
        <v>0</v>
      </c>
      <c r="M83" s="2067">
        <f t="shared" si="30"/>
        <v>0</v>
      </c>
      <c r="N83" s="2067">
        <f t="shared" si="30"/>
        <v>0</v>
      </c>
      <c r="AA83" s="1461"/>
      <c r="AG83" s="2045"/>
    </row>
    <row r="84" spans="1:33" ht="13.8">
      <c r="A84" s="2056" t="s">
        <v>2432</v>
      </c>
      <c r="B84" s="2057">
        <f>估价对象房地状况!G22</f>
        <v>0</v>
      </c>
      <c r="C84" s="1952"/>
      <c r="D84" s="2061">
        <f t="shared" si="26"/>
        <v>0</v>
      </c>
      <c r="E84" s="2068"/>
      <c r="F84" s="2063"/>
      <c r="G84" s="2064"/>
      <c r="H84" s="2065" t="str">
        <f t="shared" si="27"/>
        <v>——</v>
      </c>
      <c r="I84" s="2066">
        <v>0.04</v>
      </c>
      <c r="J84" s="2067">
        <f t="shared" si="28"/>
        <v>0</v>
      </c>
      <c r="K84" s="2067">
        <f t="shared" si="29"/>
        <v>0</v>
      </c>
      <c r="L84" s="2067">
        <v>0</v>
      </c>
      <c r="M84" s="2067">
        <f t="shared" si="30"/>
        <v>0</v>
      </c>
      <c r="N84" s="2067">
        <f t="shared" si="30"/>
        <v>0</v>
      </c>
      <c r="AA84" s="1461"/>
      <c r="AG84" s="2045"/>
    </row>
    <row r="85" spans="1:33" ht="26.4">
      <c r="A85" s="2056" t="s">
        <v>2422</v>
      </c>
      <c r="B85" s="1448" t="str">
        <f>估价对象房地状况!G19</f>
        <v>估价对象所在区域公共配套设施齐备情况</v>
      </c>
      <c r="C85" s="1952"/>
      <c r="D85" s="2061">
        <f t="shared" si="26"/>
        <v>0</v>
      </c>
      <c r="E85" s="2068"/>
      <c r="F85" s="2063"/>
      <c r="G85" s="2064"/>
      <c r="H85" s="2065" t="str">
        <f t="shared" si="27"/>
        <v>——</v>
      </c>
      <c r="I85" s="2066">
        <v>0.06</v>
      </c>
      <c r="J85" s="2067">
        <f t="shared" si="28"/>
        <v>0</v>
      </c>
      <c r="K85" s="2067">
        <f t="shared" si="29"/>
        <v>0</v>
      </c>
      <c r="L85" s="2067">
        <v>0</v>
      </c>
      <c r="M85" s="2067">
        <f t="shared" si="30"/>
        <v>0</v>
      </c>
      <c r="N85" s="2067">
        <f t="shared" si="30"/>
        <v>0</v>
      </c>
      <c r="AA85" s="1461"/>
      <c r="AG85" s="2045"/>
    </row>
    <row r="86" spans="1:33" ht="26.4">
      <c r="A86" s="2056" t="s">
        <v>2423</v>
      </c>
      <c r="B86" s="1448" t="str">
        <f>估价对象房地状况!G20</f>
        <v>估价对象所在区域基础设施水平</v>
      </c>
      <c r="C86" s="1952"/>
      <c r="D86" s="2061">
        <f t="shared" si="26"/>
        <v>0</v>
      </c>
      <c r="E86" s="2068"/>
      <c r="F86" s="2063"/>
      <c r="G86" s="2064"/>
      <c r="H86" s="2065" t="str">
        <f t="shared" si="27"/>
        <v>——</v>
      </c>
      <c r="I86" s="2066">
        <v>0.15</v>
      </c>
      <c r="J86" s="2067">
        <f t="shared" si="28"/>
        <v>0</v>
      </c>
      <c r="K86" s="2067">
        <f t="shared" si="29"/>
        <v>0</v>
      </c>
      <c r="L86" s="2067">
        <v>0</v>
      </c>
      <c r="M86" s="2067">
        <f t="shared" si="30"/>
        <v>0</v>
      </c>
      <c r="N86" s="2067">
        <f t="shared" si="30"/>
        <v>0</v>
      </c>
      <c r="AA86" s="1461"/>
      <c r="AG86" s="2045"/>
    </row>
    <row r="87" spans="1:33" ht="36">
      <c r="A87" s="2056" t="s">
        <v>2420</v>
      </c>
      <c r="B87" s="2070" t="s">
        <v>2421</v>
      </c>
      <c r="C87" s="1952"/>
      <c r="D87" s="2061">
        <f t="shared" si="26"/>
        <v>0</v>
      </c>
      <c r="E87" s="2068"/>
      <c r="F87" s="2063"/>
      <c r="G87" s="2064"/>
      <c r="H87" s="2065" t="str">
        <f t="shared" si="27"/>
        <v>——</v>
      </c>
      <c r="I87" s="2066">
        <v>0.05</v>
      </c>
      <c r="J87" s="2067">
        <f t="shared" si="28"/>
        <v>0</v>
      </c>
      <c r="K87" s="2067">
        <f t="shared" si="29"/>
        <v>0</v>
      </c>
      <c r="L87" s="2067">
        <v>0</v>
      </c>
      <c r="M87" s="2067">
        <f t="shared" si="30"/>
        <v>0</v>
      </c>
      <c r="N87" s="2067">
        <f t="shared" si="30"/>
        <v>0</v>
      </c>
      <c r="AA87" s="1461"/>
      <c r="AG87" s="2045"/>
    </row>
    <row r="88" spans="1:33" ht="53.4" thickBot="1">
      <c r="A88" s="2072" t="s">
        <v>2436</v>
      </c>
      <c r="B88" s="2079" t="str">
        <f>估价对象房地状况!G18</f>
        <v>该园区内是否有污染型企业，绿化情况，卫生条件，整体环境状况判断</v>
      </c>
      <c r="C88" s="2080"/>
      <c r="D88" s="2081">
        <f t="shared" si="26"/>
        <v>0</v>
      </c>
      <c r="E88" s="2074"/>
      <c r="F88" s="2063"/>
      <c r="G88" s="2064"/>
      <c r="H88" s="2065" t="str">
        <f t="shared" si="27"/>
        <v>——</v>
      </c>
      <c r="I88" s="2075">
        <v>0.06</v>
      </c>
      <c r="J88" s="2067">
        <f t="shared" si="28"/>
        <v>0</v>
      </c>
      <c r="K88" s="2067">
        <f t="shared" si="29"/>
        <v>0</v>
      </c>
      <c r="L88" s="2067">
        <v>0</v>
      </c>
      <c r="M88" s="2067">
        <f t="shared" si="30"/>
        <v>0</v>
      </c>
      <c r="N88" s="2067">
        <f t="shared" si="30"/>
        <v>0</v>
      </c>
      <c r="AA88" s="1461"/>
      <c r="AG88" s="2045"/>
    </row>
    <row r="90" spans="1:33">
      <c r="A90" s="3423" t="s">
        <v>2437</v>
      </c>
      <c r="B90" s="3423"/>
      <c r="C90" s="3423"/>
      <c r="D90" s="3423"/>
      <c r="E90" s="3423"/>
      <c r="F90" s="3423"/>
      <c r="G90" s="3423"/>
      <c r="H90" s="3423"/>
      <c r="I90" s="3423"/>
      <c r="J90" s="3423"/>
      <c r="K90" s="2082"/>
      <c r="L90" s="2082"/>
      <c r="M90" s="2082"/>
      <c r="N90" s="2082"/>
    </row>
    <row r="91" spans="1:33">
      <c r="A91" s="3425" t="s">
        <v>2438</v>
      </c>
      <c r="B91" s="3425" t="s">
        <v>2439</v>
      </c>
      <c r="C91" s="2026" t="s">
        <v>2440</v>
      </c>
      <c r="D91" s="2027"/>
      <c r="E91" s="2027"/>
      <c r="F91" s="2027"/>
      <c r="G91" s="2027"/>
      <c r="H91" s="2027"/>
      <c r="I91" s="2027"/>
      <c r="J91" s="2083"/>
      <c r="K91" s="1360"/>
      <c r="L91" s="1360"/>
      <c r="M91" s="1360"/>
      <c r="N91" s="1360"/>
    </row>
    <row r="92" spans="1:33">
      <c r="A92" s="3425"/>
      <c r="B92" s="3425"/>
      <c r="C92" s="1840" t="s">
        <v>2293</v>
      </c>
      <c r="D92" s="1840" t="s">
        <v>2294</v>
      </c>
      <c r="E92" s="1840" t="s">
        <v>2295</v>
      </c>
      <c r="F92" s="1840" t="s">
        <v>2296</v>
      </c>
      <c r="G92" s="1840" t="s">
        <v>2297</v>
      </c>
      <c r="H92" s="1840" t="s">
        <v>2298</v>
      </c>
      <c r="I92" s="1840" t="s">
        <v>2299</v>
      </c>
      <c r="J92" s="1840" t="s">
        <v>2300</v>
      </c>
      <c r="K92" s="1840" t="s">
        <v>2301</v>
      </c>
      <c r="L92" s="1840" t="s">
        <v>2302</v>
      </c>
      <c r="M92" s="1840" t="s">
        <v>2303</v>
      </c>
      <c r="N92" s="1840" t="s">
        <v>2304</v>
      </c>
    </row>
    <row r="93" spans="1:33">
      <c r="A93" s="3426" t="s">
        <v>2441</v>
      </c>
      <c r="B93" s="2084">
        <v>1</v>
      </c>
      <c r="C93" s="2085">
        <v>1.9361999999999999</v>
      </c>
      <c r="D93" s="2085">
        <v>1.9361999999999999</v>
      </c>
      <c r="E93" s="2085">
        <v>1.8629</v>
      </c>
      <c r="F93" s="2085">
        <v>1.8629</v>
      </c>
      <c r="G93" s="2085">
        <v>1.8629</v>
      </c>
      <c r="H93" s="2085">
        <v>1.8629</v>
      </c>
      <c r="I93" s="2085">
        <v>1.8629</v>
      </c>
      <c r="J93" s="2085">
        <v>1.9419999999999999</v>
      </c>
      <c r="K93" s="2085">
        <v>1.9419999999999999</v>
      </c>
      <c r="L93" s="2085">
        <v>1.9419999999999999</v>
      </c>
      <c r="M93" s="2085">
        <v>1.9419999999999999</v>
      </c>
      <c r="N93" s="2085">
        <v>1.9419999999999999</v>
      </c>
    </row>
    <row r="94" spans="1:33">
      <c r="A94" s="3427"/>
      <c r="B94" s="2084">
        <v>2</v>
      </c>
      <c r="C94" s="2085">
        <v>1.4198</v>
      </c>
      <c r="D94" s="2085">
        <v>1.4198</v>
      </c>
      <c r="E94" s="2085">
        <v>1.3371999999999999</v>
      </c>
      <c r="F94" s="2085">
        <v>1.3371999999999999</v>
      </c>
      <c r="G94" s="2085">
        <v>1.3371999999999999</v>
      </c>
      <c r="H94" s="2085">
        <v>1.3371999999999999</v>
      </c>
      <c r="I94" s="2085">
        <v>1.3371999999999999</v>
      </c>
      <c r="J94" s="2085">
        <v>1.2799</v>
      </c>
      <c r="K94" s="2085">
        <v>1.2799</v>
      </c>
      <c r="L94" s="2085">
        <v>1.2799</v>
      </c>
      <c r="M94" s="2085">
        <v>1.2799</v>
      </c>
      <c r="N94" s="2085">
        <v>1.2799</v>
      </c>
    </row>
    <row r="95" spans="1:33">
      <c r="A95" s="3427"/>
      <c r="B95" s="2084">
        <v>3</v>
      </c>
      <c r="C95" s="2085">
        <v>1.1594</v>
      </c>
      <c r="D95" s="2085">
        <v>1.1594</v>
      </c>
      <c r="E95" s="2085">
        <v>1.0788</v>
      </c>
      <c r="F95" s="2085">
        <v>1.0788</v>
      </c>
      <c r="G95" s="2085">
        <v>1.0788</v>
      </c>
      <c r="H95" s="2085">
        <v>1.0788</v>
      </c>
      <c r="I95" s="2085">
        <v>1.0788</v>
      </c>
      <c r="J95" s="2085">
        <v>1.0072000000000001</v>
      </c>
      <c r="K95" s="2085">
        <v>1.0072000000000001</v>
      </c>
      <c r="L95" s="2085">
        <v>1.0072000000000001</v>
      </c>
      <c r="M95" s="2085">
        <v>1.0072000000000001</v>
      </c>
      <c r="N95" s="2085">
        <v>1.0072000000000001</v>
      </c>
    </row>
    <row r="96" spans="1:33">
      <c r="A96" s="3427"/>
      <c r="B96" s="2084">
        <v>4</v>
      </c>
      <c r="C96" s="2085">
        <v>0.96220000000000006</v>
      </c>
      <c r="D96" s="2085">
        <v>0.96220000000000006</v>
      </c>
      <c r="E96" s="2085">
        <v>0.86560000000000004</v>
      </c>
      <c r="F96" s="2085">
        <v>0.86560000000000004</v>
      </c>
      <c r="G96" s="2085">
        <v>0.86560000000000004</v>
      </c>
      <c r="H96" s="2085">
        <v>0.86560000000000004</v>
      </c>
      <c r="I96" s="2085">
        <v>0.86560000000000004</v>
      </c>
      <c r="J96" s="2085">
        <v>0.75249999999999995</v>
      </c>
      <c r="K96" s="2085">
        <v>0.75249999999999995</v>
      </c>
      <c r="L96" s="2085">
        <v>0.75249999999999995</v>
      </c>
      <c r="M96" s="2085">
        <v>0.75249999999999995</v>
      </c>
      <c r="N96" s="2085">
        <v>0.75249999999999995</v>
      </c>
    </row>
    <row r="97" spans="1:14">
      <c r="A97" s="3427"/>
      <c r="B97" s="2084">
        <v>5</v>
      </c>
      <c r="C97" s="2085">
        <v>0.8417</v>
      </c>
      <c r="D97" s="2085">
        <v>0.8417</v>
      </c>
      <c r="E97" s="2085">
        <v>0.73709999999999998</v>
      </c>
      <c r="F97" s="2085">
        <v>0.73709999999999998</v>
      </c>
      <c r="G97" s="2085">
        <v>0.73709999999999998</v>
      </c>
      <c r="H97" s="2085">
        <v>0.73709999999999998</v>
      </c>
      <c r="I97" s="2085">
        <v>0.73709999999999998</v>
      </c>
      <c r="J97" s="2085">
        <v>0.56589999999999996</v>
      </c>
      <c r="K97" s="2085">
        <v>0.56589999999999996</v>
      </c>
      <c r="L97" s="2085">
        <v>0.56589999999999996</v>
      </c>
      <c r="M97" s="2085">
        <v>0.56589999999999996</v>
      </c>
      <c r="N97" s="2085">
        <v>0.56589999999999996</v>
      </c>
    </row>
    <row r="98" spans="1:14">
      <c r="A98" s="3427"/>
      <c r="B98" s="2084">
        <v>6</v>
      </c>
      <c r="C98" s="2085">
        <v>0.76080000000000003</v>
      </c>
      <c r="D98" s="2085">
        <v>0.76080000000000003</v>
      </c>
      <c r="E98" s="2085">
        <v>0.6482</v>
      </c>
      <c r="F98" s="2085">
        <v>0.6482</v>
      </c>
      <c r="G98" s="2085">
        <v>0.6482</v>
      </c>
      <c r="H98" s="2085">
        <v>0.6482</v>
      </c>
      <c r="I98" s="2085">
        <v>0.6482</v>
      </c>
      <c r="J98" s="2085">
        <v>0.45250000000000001</v>
      </c>
      <c r="K98" s="2085">
        <v>0.45250000000000001</v>
      </c>
      <c r="L98" s="2085">
        <v>0.45250000000000001</v>
      </c>
      <c r="M98" s="2085">
        <v>0.45250000000000001</v>
      </c>
      <c r="N98" s="2085">
        <v>0.45250000000000001</v>
      </c>
    </row>
    <row r="99" spans="1:14">
      <c r="A99" s="3427"/>
      <c r="B99" s="2084" t="s">
        <v>2309</v>
      </c>
      <c r="C99" s="2086">
        <f>$I$3</f>
        <v>0</v>
      </c>
      <c r="D99" s="2086">
        <f t="shared" ref="D99:M99" si="31">$I$3</f>
        <v>0</v>
      </c>
      <c r="E99" s="2086">
        <f t="shared" si="31"/>
        <v>0</v>
      </c>
      <c r="F99" s="2086">
        <f t="shared" si="31"/>
        <v>0</v>
      </c>
      <c r="G99" s="2086">
        <f t="shared" si="31"/>
        <v>0</v>
      </c>
      <c r="H99" s="2086">
        <f t="shared" si="31"/>
        <v>0</v>
      </c>
      <c r="I99" s="2086">
        <f t="shared" si="31"/>
        <v>0</v>
      </c>
      <c r="J99" s="2086">
        <f t="shared" si="31"/>
        <v>0</v>
      </c>
      <c r="K99" s="2086">
        <f t="shared" si="31"/>
        <v>0</v>
      </c>
      <c r="L99" s="2086">
        <f t="shared" si="31"/>
        <v>0</v>
      </c>
      <c r="M99" s="2086">
        <f t="shared" si="31"/>
        <v>0</v>
      </c>
      <c r="N99" s="2086">
        <f>$I$3</f>
        <v>0</v>
      </c>
    </row>
    <row r="100" spans="1:14">
      <c r="A100" s="3428"/>
      <c r="B100" s="2084">
        <v>7</v>
      </c>
      <c r="C100" s="2087">
        <f>(-0.163*(C99^2)-0.59*C99+7617)*(10^(-4))</f>
        <v>0.76170000000000004</v>
      </c>
      <c r="D100" s="2087">
        <f>(-0.163*(D99^2)-0.59*D99+7617)*(10^(-4))</f>
        <v>0.76170000000000004</v>
      </c>
      <c r="E100" s="2087">
        <f>(-0.161*(E99^2)-7.509*E99+6533)*(10^(-4))</f>
        <v>0.65329999999999999</v>
      </c>
      <c r="F100" s="2087">
        <f>(-0.161*(F99^2)-7.509*F99+6533)*(10^(-4))</f>
        <v>0.65329999999999999</v>
      </c>
      <c r="G100" s="2087">
        <f>(-0.161*(G99^2)-7.509*G99+6533)*(10^(-4))</f>
        <v>0.65329999999999999</v>
      </c>
      <c r="H100" s="2087">
        <f>(-0.161*(H99^2)-7.509*H99+6533)*(10^(-4))</f>
        <v>0.65329999999999999</v>
      </c>
      <c r="I100" s="2087">
        <f>(-0.161*(I99^2)-7.509*I99+6533)*(10^(-4))</f>
        <v>0.65329999999999999</v>
      </c>
      <c r="J100" s="2087">
        <f>(-0.214*(J99^2)-21.991*J99+4665)*(10^(-4))</f>
        <v>0.46650000000000003</v>
      </c>
      <c r="K100" s="2087">
        <f>(-0.214*(K99^2)-21.991*K99+4665)*(10^(-4))</f>
        <v>0.46650000000000003</v>
      </c>
      <c r="L100" s="2087">
        <f>(-0.214*(L99^2)-21.991*L99+4665)*(10^(-4))</f>
        <v>0.46650000000000003</v>
      </c>
      <c r="M100" s="2087">
        <f>(-0.214*(M99^2)-21.991*M99+4665)*(10^(-4))</f>
        <v>0.46650000000000003</v>
      </c>
      <c r="N100" s="2087">
        <f>(-0.214*(N99^2)-21.991*N99+4665)*(10^(-4))</f>
        <v>0.46650000000000003</v>
      </c>
    </row>
    <row r="101" spans="1:14">
      <c r="A101" s="3426" t="s">
        <v>2442</v>
      </c>
      <c r="B101" s="2088" t="s">
        <v>2443</v>
      </c>
      <c r="C101" s="2089">
        <f>$G$3</f>
        <v>0</v>
      </c>
      <c r="D101" s="2089">
        <f t="shared" ref="D101:N101" si="32">$G$3</f>
        <v>0</v>
      </c>
      <c r="E101" s="2089">
        <f t="shared" si="32"/>
        <v>0</v>
      </c>
      <c r="F101" s="2089">
        <f t="shared" si="32"/>
        <v>0</v>
      </c>
      <c r="G101" s="2089">
        <f t="shared" si="32"/>
        <v>0</v>
      </c>
      <c r="H101" s="2089">
        <f t="shared" si="32"/>
        <v>0</v>
      </c>
      <c r="I101" s="2089">
        <f t="shared" si="32"/>
        <v>0</v>
      </c>
      <c r="J101" s="2089">
        <f t="shared" si="32"/>
        <v>0</v>
      </c>
      <c r="K101" s="2089">
        <f t="shared" si="32"/>
        <v>0</v>
      </c>
      <c r="L101" s="2089">
        <f t="shared" si="32"/>
        <v>0</v>
      </c>
      <c r="M101" s="2089">
        <f t="shared" si="32"/>
        <v>0</v>
      </c>
      <c r="N101" s="2089">
        <f t="shared" si="32"/>
        <v>0</v>
      </c>
    </row>
    <row r="102" spans="1:14">
      <c r="A102" s="3427"/>
      <c r="B102" s="2084">
        <v>1</v>
      </c>
      <c r="C102" s="2085" t="e">
        <f>1.9362/C101</f>
        <v>#DIV/0!</v>
      </c>
      <c r="D102" s="2085" t="e">
        <f>1.9362/D101</f>
        <v>#DIV/0!</v>
      </c>
      <c r="E102" s="2085" t="e">
        <f>1.8629/E101</f>
        <v>#DIV/0!</v>
      </c>
      <c r="F102" s="2085" t="e">
        <f>1.8629/F101</f>
        <v>#DIV/0!</v>
      </c>
      <c r="G102" s="2085" t="e">
        <f>1.8629/G101</f>
        <v>#DIV/0!</v>
      </c>
      <c r="H102" s="2085" t="e">
        <f>1.8629/H101</f>
        <v>#DIV/0!</v>
      </c>
      <c r="I102" s="2085" t="e">
        <f>1.8629/I101</f>
        <v>#DIV/0!</v>
      </c>
      <c r="J102" s="2085" t="e">
        <f>1.942/J101</f>
        <v>#DIV/0!</v>
      </c>
      <c r="K102" s="2085" t="e">
        <f>1.942/K101</f>
        <v>#DIV/0!</v>
      </c>
      <c r="L102" s="2085" t="e">
        <f>1.942/L101</f>
        <v>#DIV/0!</v>
      </c>
      <c r="M102" s="2085" t="e">
        <f>1.942/M101</f>
        <v>#DIV/0!</v>
      </c>
      <c r="N102" s="2085" t="e">
        <f>1.942/N101</f>
        <v>#DIV/0!</v>
      </c>
    </row>
    <row r="103" spans="1:14">
      <c r="A103" s="3427"/>
      <c r="B103" s="2084">
        <v>2</v>
      </c>
      <c r="C103" s="2085" t="e">
        <f>1.4198/C101</f>
        <v>#DIV/0!</v>
      </c>
      <c r="D103" s="2085" t="e">
        <f>1.4198/D101</f>
        <v>#DIV/0!</v>
      </c>
      <c r="E103" s="2085" t="e">
        <f>1.3372/E101</f>
        <v>#DIV/0!</v>
      </c>
      <c r="F103" s="2085" t="e">
        <f>1.3372/F101</f>
        <v>#DIV/0!</v>
      </c>
      <c r="G103" s="2085" t="e">
        <f>1.3372/G101</f>
        <v>#DIV/0!</v>
      </c>
      <c r="H103" s="2085" t="e">
        <f>1.3372/H101</f>
        <v>#DIV/0!</v>
      </c>
      <c r="I103" s="2085" t="e">
        <f>1.3372/I101</f>
        <v>#DIV/0!</v>
      </c>
      <c r="J103" s="2085" t="e">
        <f>1.2799/J101</f>
        <v>#DIV/0!</v>
      </c>
      <c r="K103" s="2085" t="e">
        <f>1.2799/K101</f>
        <v>#DIV/0!</v>
      </c>
      <c r="L103" s="2085" t="e">
        <f>1.2799/L101</f>
        <v>#DIV/0!</v>
      </c>
      <c r="M103" s="2085" t="e">
        <f>1.2799/M101</f>
        <v>#DIV/0!</v>
      </c>
      <c r="N103" s="2085" t="e">
        <f>1.2799/N101</f>
        <v>#DIV/0!</v>
      </c>
    </row>
    <row r="104" spans="1:14">
      <c r="A104" s="3427"/>
      <c r="B104" s="2084">
        <v>3</v>
      </c>
      <c r="C104" s="2085" t="e">
        <f>1.1594/C101</f>
        <v>#DIV/0!</v>
      </c>
      <c r="D104" s="2085" t="e">
        <f>1.1594/D101</f>
        <v>#DIV/0!</v>
      </c>
      <c r="E104" s="2085" t="e">
        <f>1.0788/E101</f>
        <v>#DIV/0!</v>
      </c>
      <c r="F104" s="2085" t="e">
        <f>1.0788/F101</f>
        <v>#DIV/0!</v>
      </c>
      <c r="G104" s="2085" t="e">
        <f>1.0788/G101</f>
        <v>#DIV/0!</v>
      </c>
      <c r="H104" s="2085" t="e">
        <f>1.0788/H101</f>
        <v>#DIV/0!</v>
      </c>
      <c r="I104" s="2085" t="e">
        <f>1.0788/I101</f>
        <v>#DIV/0!</v>
      </c>
      <c r="J104" s="2085" t="e">
        <f>1.0072/J101</f>
        <v>#DIV/0!</v>
      </c>
      <c r="K104" s="2085" t="e">
        <f>1.0072/K101</f>
        <v>#DIV/0!</v>
      </c>
      <c r="L104" s="2085" t="e">
        <f>1.0072/L101</f>
        <v>#DIV/0!</v>
      </c>
      <c r="M104" s="2085" t="e">
        <f>1.0072/M101</f>
        <v>#DIV/0!</v>
      </c>
      <c r="N104" s="2085" t="e">
        <f>1.0072/N101</f>
        <v>#DIV/0!</v>
      </c>
    </row>
    <row r="105" spans="1:14">
      <c r="A105" s="3427"/>
      <c r="B105" s="2084">
        <v>4</v>
      </c>
      <c r="C105" s="2085" t="e">
        <f>0.9622/C101</f>
        <v>#DIV/0!</v>
      </c>
      <c r="D105" s="2085" t="e">
        <f>0.9622/D101</f>
        <v>#DIV/0!</v>
      </c>
      <c r="E105" s="2085" t="e">
        <f>0.8656/E101</f>
        <v>#DIV/0!</v>
      </c>
      <c r="F105" s="2085" t="e">
        <f>0.8656/F101</f>
        <v>#DIV/0!</v>
      </c>
      <c r="G105" s="2085" t="e">
        <f>0.8656/G101</f>
        <v>#DIV/0!</v>
      </c>
      <c r="H105" s="2085" t="e">
        <f>0.8656/H101</f>
        <v>#DIV/0!</v>
      </c>
      <c r="I105" s="2085" t="e">
        <f>0.8656/I101</f>
        <v>#DIV/0!</v>
      </c>
      <c r="J105" s="2085" t="e">
        <f>0.7525/J101</f>
        <v>#DIV/0!</v>
      </c>
      <c r="K105" s="2085" t="e">
        <f>0.7525/K101</f>
        <v>#DIV/0!</v>
      </c>
      <c r="L105" s="2085" t="e">
        <f>0.7525/L101</f>
        <v>#DIV/0!</v>
      </c>
      <c r="M105" s="2085" t="e">
        <f>0.7525/M101</f>
        <v>#DIV/0!</v>
      </c>
      <c r="N105" s="2085" t="e">
        <f>0.7525/N101</f>
        <v>#DIV/0!</v>
      </c>
    </row>
    <row r="106" spans="1:14">
      <c r="A106" s="3427"/>
      <c r="B106" s="2084">
        <v>5</v>
      </c>
      <c r="C106" s="2085" t="e">
        <f>0.8417/C101</f>
        <v>#DIV/0!</v>
      </c>
      <c r="D106" s="2085" t="e">
        <f>0.8417/D101</f>
        <v>#DIV/0!</v>
      </c>
      <c r="E106" s="2085" t="e">
        <f>0.7371/E101</f>
        <v>#DIV/0!</v>
      </c>
      <c r="F106" s="2085" t="e">
        <f>0.7371/F101</f>
        <v>#DIV/0!</v>
      </c>
      <c r="G106" s="2085" t="e">
        <f>0.7371/G101</f>
        <v>#DIV/0!</v>
      </c>
      <c r="H106" s="2085" t="e">
        <f>0.7371/H101</f>
        <v>#DIV/0!</v>
      </c>
      <c r="I106" s="2085" t="e">
        <f>0.7371/I101</f>
        <v>#DIV/0!</v>
      </c>
      <c r="J106" s="2085" t="e">
        <f>0.5659/J101</f>
        <v>#DIV/0!</v>
      </c>
      <c r="K106" s="2085" t="e">
        <f>0.5659/K101</f>
        <v>#DIV/0!</v>
      </c>
      <c r="L106" s="2085" t="e">
        <f>0.5659/L101</f>
        <v>#DIV/0!</v>
      </c>
      <c r="M106" s="2085" t="e">
        <f>0.5659/M101</f>
        <v>#DIV/0!</v>
      </c>
      <c r="N106" s="2085" t="e">
        <f>0.5659/N101</f>
        <v>#DIV/0!</v>
      </c>
    </row>
    <row r="107" spans="1:14">
      <c r="A107" s="3427"/>
      <c r="B107" s="2084">
        <v>6</v>
      </c>
      <c r="C107" s="2085" t="e">
        <f>0.7608/C101</f>
        <v>#DIV/0!</v>
      </c>
      <c r="D107" s="2085" t="e">
        <f>0.7608/D101</f>
        <v>#DIV/0!</v>
      </c>
      <c r="E107" s="2085" t="e">
        <f>0.6482/E101</f>
        <v>#DIV/0!</v>
      </c>
      <c r="F107" s="2085" t="e">
        <f>0.6482/F101</f>
        <v>#DIV/0!</v>
      </c>
      <c r="G107" s="2085" t="e">
        <f>0.6482/G101</f>
        <v>#DIV/0!</v>
      </c>
      <c r="H107" s="2085" t="e">
        <f>0.6482/H101</f>
        <v>#DIV/0!</v>
      </c>
      <c r="I107" s="2085" t="e">
        <f>0.6482/I101</f>
        <v>#DIV/0!</v>
      </c>
      <c r="J107" s="2085" t="e">
        <f>0.4525/J101</f>
        <v>#DIV/0!</v>
      </c>
      <c r="K107" s="2085" t="e">
        <f>0.4525/K101</f>
        <v>#DIV/0!</v>
      </c>
      <c r="L107" s="2085" t="e">
        <f>0.4525/L101</f>
        <v>#DIV/0!</v>
      </c>
      <c r="M107" s="2085" t="e">
        <f>0.4525/M101</f>
        <v>#DIV/0!</v>
      </c>
      <c r="N107" s="2085" t="e">
        <f>0.4525/N101</f>
        <v>#DIV/0!</v>
      </c>
    </row>
    <row r="108" spans="1:14">
      <c r="A108" s="3427"/>
      <c r="B108" s="3429" t="s">
        <v>2444</v>
      </c>
      <c r="C108" s="2086">
        <f>C99</f>
        <v>0</v>
      </c>
      <c r="D108" s="2086">
        <f t="shared" ref="D108:N108" si="33">D99</f>
        <v>0</v>
      </c>
      <c r="E108" s="2086">
        <f t="shared" si="33"/>
        <v>0</v>
      </c>
      <c r="F108" s="2086">
        <f t="shared" si="33"/>
        <v>0</v>
      </c>
      <c r="G108" s="2086">
        <f t="shared" si="33"/>
        <v>0</v>
      </c>
      <c r="H108" s="2086">
        <f t="shared" si="33"/>
        <v>0</v>
      </c>
      <c r="I108" s="2086">
        <f t="shared" si="33"/>
        <v>0</v>
      </c>
      <c r="J108" s="2086">
        <f t="shared" si="33"/>
        <v>0</v>
      </c>
      <c r="K108" s="2086">
        <f t="shared" si="33"/>
        <v>0</v>
      </c>
      <c r="L108" s="2086">
        <f t="shared" si="33"/>
        <v>0</v>
      </c>
      <c r="M108" s="2086">
        <f t="shared" si="33"/>
        <v>0</v>
      </c>
      <c r="N108" s="2086">
        <f t="shared" si="33"/>
        <v>0</v>
      </c>
    </row>
    <row r="109" spans="1:14">
      <c r="A109" s="3428"/>
      <c r="B109" s="3430"/>
      <c r="C109" s="2087" t="e">
        <f>(-0.163*(C108^2)-0.59*C108+7617)*(10^(-4))/C101</f>
        <v>#DIV/0!</v>
      </c>
      <c r="D109" s="2087" t="e">
        <f>(-0.163*(D108^2)-0.59*D108+7617)*(10^(-4))/D101</f>
        <v>#DIV/0!</v>
      </c>
      <c r="E109" s="2087" t="e">
        <f>(-0.161*(E108^2)-7.509*E108+6533)*(10^(-4))/E101</f>
        <v>#DIV/0!</v>
      </c>
      <c r="F109" s="2087" t="e">
        <f>(-0.161*(F108^2)-7.509*F108+6533)*(10^(-4))/F101</f>
        <v>#DIV/0!</v>
      </c>
      <c r="G109" s="2087" t="e">
        <f>(-0.161*(G108^2)-7.509*G108+6533)*(10^(-4))/G101</f>
        <v>#DIV/0!</v>
      </c>
      <c r="H109" s="2087" t="e">
        <f>(-0.161*(H108^2)-7.509*H108+6533)*(10^(-4))/H101</f>
        <v>#DIV/0!</v>
      </c>
      <c r="I109" s="2087" t="e">
        <f>(-0.161*(I108^2)-7.509*I108+6533)*(10^(-4))/I101</f>
        <v>#DIV/0!</v>
      </c>
      <c r="J109" s="2087" t="e">
        <f>(-0.214*(J108^2)-21.991*J108+4665)*(10^(-4))/J101</f>
        <v>#DIV/0!</v>
      </c>
      <c r="K109" s="2087" t="e">
        <f>(-0.214*(K108^2)-21.991*K108+4665)*(10^(-4))/K101</f>
        <v>#DIV/0!</v>
      </c>
      <c r="L109" s="2087" t="e">
        <f>(-0.214*(L108^2)-21.991*L108+4665)*(10^(-4))/L101</f>
        <v>#DIV/0!</v>
      </c>
      <c r="M109" s="2087" t="e">
        <f>(-0.214*(M108^2)-21.991*M108+4665)*(10^(-4))/M101</f>
        <v>#DIV/0!</v>
      </c>
      <c r="N109" s="2087" t="e">
        <f>(-0.214*(N108^2)-21.991*N108+4665)*(10^(-4))/N101</f>
        <v>#DIV/0!</v>
      </c>
    </row>
    <row r="110" spans="1:14">
      <c r="A110" s="3424" t="s">
        <v>2445</v>
      </c>
      <c r="B110" s="3424"/>
      <c r="C110" s="3424"/>
      <c r="D110" s="3424"/>
      <c r="E110" s="3424"/>
      <c r="F110" s="3424"/>
      <c r="G110" s="3424"/>
      <c r="H110" s="3424"/>
      <c r="I110" s="3424"/>
      <c r="J110" s="3424"/>
      <c r="K110" s="1874"/>
      <c r="L110" s="1874"/>
      <c r="M110" s="1874"/>
      <c r="N110" s="1874"/>
    </row>
    <row r="112" spans="1:14" ht="13.8" thickBot="1"/>
    <row r="113" spans="1:13" ht="25.8" thickBot="1">
      <c r="A113" s="2090" t="s">
        <v>2446</v>
      </c>
      <c r="B113" s="2091">
        <f>G3</f>
        <v>0</v>
      </c>
      <c r="C113" s="1987" t="s">
        <v>2447</v>
      </c>
      <c r="D113" s="2092">
        <f>SUMPRODUCT((A115:A118=F113)*(B114:M114=H113)*B115:M118)</f>
        <v>0</v>
      </c>
      <c r="E113" s="46" t="s">
        <v>2333</v>
      </c>
      <c r="F113" s="2093" t="str">
        <f>E2</f>
        <v>住宅</v>
      </c>
      <c r="G113" s="46" t="s">
        <v>2267</v>
      </c>
      <c r="H113" s="2093">
        <f>G2</f>
        <v>0</v>
      </c>
      <c r="I113" s="46"/>
      <c r="J113" s="1216"/>
      <c r="K113" s="1216"/>
      <c r="L113" s="1216"/>
      <c r="M113" s="1216"/>
    </row>
    <row r="114" spans="1:13">
      <c r="A114" s="2094"/>
      <c r="B114" s="2095" t="s">
        <v>2448</v>
      </c>
      <c r="C114" s="2095" t="s">
        <v>2449</v>
      </c>
      <c r="D114" s="2095" t="s">
        <v>2450</v>
      </c>
      <c r="E114" s="2096" t="s">
        <v>2451</v>
      </c>
      <c r="F114" s="2096" t="s">
        <v>2452</v>
      </c>
      <c r="G114" s="2096" t="s">
        <v>2453</v>
      </c>
      <c r="H114" s="2097" t="s">
        <v>2454</v>
      </c>
      <c r="I114" s="2097" t="s">
        <v>2455</v>
      </c>
      <c r="J114" s="2098" t="s">
        <v>2456</v>
      </c>
      <c r="K114" s="2098" t="s">
        <v>2457</v>
      </c>
      <c r="L114" s="2098" t="s">
        <v>2458</v>
      </c>
      <c r="M114" s="2099" t="s">
        <v>2459</v>
      </c>
    </row>
    <row r="115" spans="1:13">
      <c r="A115" s="2018" t="s">
        <v>2334</v>
      </c>
      <c r="B115" s="2059">
        <f>ROUND(0.9335-0.0094*B113,4)</f>
        <v>0.9335</v>
      </c>
      <c r="C115" s="2059">
        <f>B115</f>
        <v>0.9335</v>
      </c>
      <c r="D115" s="2059">
        <f>ROUND(0.8331-0.0109*B113,4)</f>
        <v>0.83309999999999995</v>
      </c>
      <c r="E115" s="2059">
        <f>D115</f>
        <v>0.83309999999999995</v>
      </c>
      <c r="F115" s="2059">
        <f>E115</f>
        <v>0.83309999999999995</v>
      </c>
      <c r="G115" s="2059">
        <f>F115</f>
        <v>0.83309999999999995</v>
      </c>
      <c r="H115" s="2059">
        <f>G115</f>
        <v>0.83309999999999995</v>
      </c>
      <c r="I115" s="2059">
        <f>ROUND(0.689-0.0155*B113,4)</f>
        <v>0.68899999999999995</v>
      </c>
      <c r="J115" s="2059">
        <f t="shared" ref="J115:M118" si="34">I115</f>
        <v>0.68899999999999995</v>
      </c>
      <c r="K115" s="2059">
        <f t="shared" si="34"/>
        <v>0.68899999999999995</v>
      </c>
      <c r="L115" s="2059">
        <f t="shared" si="34"/>
        <v>0.68899999999999995</v>
      </c>
      <c r="M115" s="2100">
        <f t="shared" si="34"/>
        <v>0.68899999999999995</v>
      </c>
    </row>
    <row r="116" spans="1:13">
      <c r="A116" s="2018" t="s">
        <v>2335</v>
      </c>
      <c r="B116" s="2059">
        <f>ROUND(0.949-0.012*B113,4)</f>
        <v>0.94899999999999995</v>
      </c>
      <c r="C116" s="2059">
        <f>B116</f>
        <v>0.94899999999999995</v>
      </c>
      <c r="D116" s="2059">
        <f>ROUND(0.8567-0.013*B113,4)</f>
        <v>0.85670000000000002</v>
      </c>
      <c r="E116" s="2059">
        <f t="shared" ref="E116:H117" si="35">D116</f>
        <v>0.85670000000000002</v>
      </c>
      <c r="F116" s="2059">
        <f t="shared" si="35"/>
        <v>0.85670000000000002</v>
      </c>
      <c r="G116" s="2059">
        <f t="shared" si="35"/>
        <v>0.85670000000000002</v>
      </c>
      <c r="H116" s="2059">
        <f t="shared" si="35"/>
        <v>0.85670000000000002</v>
      </c>
      <c r="I116" s="2059">
        <f>ROUND(0.7694-0.014*B113,4)</f>
        <v>0.76939999999999997</v>
      </c>
      <c r="J116" s="2059">
        <f t="shared" si="34"/>
        <v>0.76939999999999997</v>
      </c>
      <c r="K116" s="2059">
        <f t="shared" si="34"/>
        <v>0.76939999999999997</v>
      </c>
      <c r="L116" s="2059">
        <f t="shared" si="34"/>
        <v>0.76939999999999997</v>
      </c>
      <c r="M116" s="2100">
        <f t="shared" si="34"/>
        <v>0.76939999999999997</v>
      </c>
    </row>
    <row r="117" spans="1:13">
      <c r="A117" s="2018" t="s">
        <v>2336</v>
      </c>
      <c r="B117" s="2059">
        <f>ROUND(0.8808-0.006*B113,4)</f>
        <v>0.88080000000000003</v>
      </c>
      <c r="C117" s="2059">
        <f>B117</f>
        <v>0.88080000000000003</v>
      </c>
      <c r="D117" s="2059">
        <f>ROUND(0.8748-0.008*B113,4)</f>
        <v>0.87480000000000002</v>
      </c>
      <c r="E117" s="2059">
        <f t="shared" si="35"/>
        <v>0.87480000000000002</v>
      </c>
      <c r="F117" s="2059">
        <f t="shared" si="35"/>
        <v>0.87480000000000002</v>
      </c>
      <c r="G117" s="2059">
        <f t="shared" si="35"/>
        <v>0.87480000000000002</v>
      </c>
      <c r="H117" s="2059">
        <f t="shared" si="35"/>
        <v>0.87480000000000002</v>
      </c>
      <c r="I117" s="2059">
        <f>ROUND(0.7412-0.0095*B113,4)</f>
        <v>0.74119999999999997</v>
      </c>
      <c r="J117" s="2059">
        <f t="shared" si="34"/>
        <v>0.74119999999999997</v>
      </c>
      <c r="K117" s="2059">
        <f t="shared" si="34"/>
        <v>0.74119999999999997</v>
      </c>
      <c r="L117" s="2059">
        <f t="shared" si="34"/>
        <v>0.74119999999999997</v>
      </c>
      <c r="M117" s="2100">
        <f t="shared" si="34"/>
        <v>0.74119999999999997</v>
      </c>
    </row>
    <row r="118" spans="1:13" ht="13.8" thickBot="1">
      <c r="A118" s="2043" t="s">
        <v>2337</v>
      </c>
      <c r="B118" s="2101">
        <f>ROUND(0.7275-0.01*B113,4)</f>
        <v>0.72750000000000004</v>
      </c>
      <c r="C118" s="2101">
        <f>B118</f>
        <v>0.72750000000000004</v>
      </c>
      <c r="D118" s="2101">
        <f>ROUND(0.7043-0.012*B113,4)</f>
        <v>0.70430000000000004</v>
      </c>
      <c r="E118" s="2101">
        <f>D118</f>
        <v>0.70430000000000004</v>
      </c>
      <c r="F118" s="2101">
        <f>E118</f>
        <v>0.70430000000000004</v>
      </c>
      <c r="G118" s="2101">
        <f>ROUND(0.6299-0.0122*B113,4)</f>
        <v>0.62990000000000002</v>
      </c>
      <c r="H118" s="2101">
        <f>G118</f>
        <v>0.62990000000000002</v>
      </c>
      <c r="I118" s="2101">
        <f>ROUND(0.5667-0.0136*B113,4)</f>
        <v>0.56669999999999998</v>
      </c>
      <c r="J118" s="2101">
        <f t="shared" si="34"/>
        <v>0.56669999999999998</v>
      </c>
      <c r="K118" s="2101">
        <f t="shared" si="34"/>
        <v>0.56669999999999998</v>
      </c>
      <c r="L118" s="2101">
        <f t="shared" si="34"/>
        <v>0.56669999999999998</v>
      </c>
      <c r="M118" s="2102">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707" customWidth="1"/>
    <col min="2" max="2" width="10.21875" style="644" customWidth="1"/>
  </cols>
  <sheetData>
    <row r="1" spans="1:6">
      <c r="A1" s="3436" t="s">
        <v>597</v>
      </c>
      <c r="B1" s="3436"/>
    </row>
    <row r="2" spans="1:6" ht="15" thickBot="1">
      <c r="A2" s="763"/>
      <c r="B2" s="763"/>
    </row>
    <row r="3" spans="1:6" ht="15" thickBot="1">
      <c r="A3" s="763"/>
      <c r="B3" s="763"/>
      <c r="C3" s="764" t="s">
        <v>598</v>
      </c>
      <c r="D3" s="764" t="s">
        <v>599</v>
      </c>
      <c r="E3" s="764" t="s">
        <v>600</v>
      </c>
      <c r="F3" s="764" t="s">
        <v>601</v>
      </c>
    </row>
    <row r="4" spans="1:6" ht="15" thickBot="1">
      <c r="A4" s="765" t="s">
        <v>602</v>
      </c>
      <c r="B4" s="766" t="s">
        <v>603</v>
      </c>
      <c r="C4" s="764"/>
      <c r="D4" s="764"/>
      <c r="E4" s="764"/>
      <c r="F4" s="764"/>
    </row>
    <row r="5" spans="1:6" ht="15" thickBot="1">
      <c r="A5" s="684" t="s">
        <v>604</v>
      </c>
      <c r="B5" s="685" t="s">
        <v>605</v>
      </c>
      <c r="C5" s="767">
        <v>8.8999999999999996E-2</v>
      </c>
      <c r="D5" s="767">
        <v>7.3999999999999996E-2</v>
      </c>
      <c r="E5" s="767">
        <v>7.4999999999999997E-2</v>
      </c>
      <c r="F5" s="768">
        <v>0.1</v>
      </c>
    </row>
    <row r="6" spans="1:6" ht="15" thickBot="1">
      <c r="A6" s="684" t="s">
        <v>160</v>
      </c>
      <c r="B6" s="678" t="s">
        <v>606</v>
      </c>
      <c r="C6" s="769">
        <v>0.1</v>
      </c>
      <c r="D6" s="769">
        <v>9.0999999999999998E-2</v>
      </c>
      <c r="E6" s="769">
        <v>9.0999999999999998E-2</v>
      </c>
      <c r="F6" s="770">
        <v>0.1</v>
      </c>
    </row>
    <row r="7" spans="1:6" ht="15" thickBot="1">
      <c r="A7" s="684" t="s">
        <v>160</v>
      </c>
      <c r="B7" s="692" t="s">
        <v>149</v>
      </c>
      <c r="C7" s="769">
        <v>8.5999999999999993E-2</v>
      </c>
      <c r="D7" s="769">
        <v>9.6000000000000002E-2</v>
      </c>
      <c r="E7" s="769">
        <v>7.5999999999999998E-2</v>
      </c>
      <c r="F7" s="770">
        <v>0.1</v>
      </c>
    </row>
    <row r="8" spans="1:6" ht="15" thickBot="1">
      <c r="A8" s="684" t="s">
        <v>160</v>
      </c>
      <c r="B8" s="678" t="s">
        <v>161</v>
      </c>
      <c r="C8" s="769">
        <v>9.9000000000000005E-2</v>
      </c>
      <c r="D8" s="769">
        <v>9.8000000000000004E-2</v>
      </c>
      <c r="E8" s="769">
        <v>9.8000000000000004E-2</v>
      </c>
      <c r="F8" s="770">
        <v>0.1</v>
      </c>
    </row>
    <row r="9" spans="1:6" ht="15" thickBot="1">
      <c r="A9" s="701" t="s">
        <v>160</v>
      </c>
      <c r="B9" s="693" t="s">
        <v>173</v>
      </c>
      <c r="C9" s="771">
        <v>0.05</v>
      </c>
      <c r="D9" s="772"/>
      <c r="E9" s="772"/>
      <c r="F9" s="773"/>
    </row>
    <row r="10" spans="1:6" ht="15" thickBot="1">
      <c r="A10" s="684" t="s">
        <v>220</v>
      </c>
      <c r="B10" s="685" t="s">
        <v>607</v>
      </c>
      <c r="C10" s="767">
        <v>8.8999999999999996E-2</v>
      </c>
      <c r="D10" s="767">
        <v>7.2999999999999995E-2</v>
      </c>
      <c r="E10" s="767">
        <v>8.2000000000000003E-2</v>
      </c>
      <c r="F10" s="768">
        <v>0.1</v>
      </c>
    </row>
    <row r="11" spans="1:6" ht="15" thickBot="1">
      <c r="A11" s="684" t="s">
        <v>220</v>
      </c>
      <c r="B11" s="692" t="s">
        <v>136</v>
      </c>
      <c r="C11" s="769">
        <v>8.8999999999999996E-2</v>
      </c>
      <c r="D11" s="769">
        <v>7.2999999999999995E-2</v>
      </c>
      <c r="E11" s="769">
        <v>8.2000000000000003E-2</v>
      </c>
      <c r="F11" s="770">
        <v>0.1</v>
      </c>
    </row>
    <row r="12" spans="1:6" ht="15" thickBot="1">
      <c r="A12" s="684" t="s">
        <v>220</v>
      </c>
      <c r="B12" s="692" t="s">
        <v>88</v>
      </c>
      <c r="C12" s="769">
        <v>6.0999999999999999E-2</v>
      </c>
      <c r="D12" s="769">
        <v>7.0999999999999994E-2</v>
      </c>
      <c r="E12" s="769">
        <v>9.6000000000000002E-2</v>
      </c>
      <c r="F12" s="770">
        <v>0.1</v>
      </c>
    </row>
    <row r="13" spans="1:6" ht="15" thickBot="1">
      <c r="A13" s="684" t="s">
        <v>220</v>
      </c>
      <c r="B13" s="692" t="s">
        <v>162</v>
      </c>
      <c r="C13" s="769">
        <v>6.9000000000000006E-2</v>
      </c>
      <c r="D13" s="769">
        <v>6.5000000000000002E-2</v>
      </c>
      <c r="E13" s="769">
        <v>6.6000000000000003E-2</v>
      </c>
      <c r="F13" s="770">
        <v>0.1</v>
      </c>
    </row>
    <row r="14" spans="1:6" ht="15" thickBot="1">
      <c r="A14" s="684" t="s">
        <v>220</v>
      </c>
      <c r="B14" s="692" t="s">
        <v>174</v>
      </c>
      <c r="C14" s="769">
        <v>0.1</v>
      </c>
      <c r="D14" s="769">
        <v>6.5000000000000002E-2</v>
      </c>
      <c r="E14" s="769">
        <v>7.0000000000000007E-2</v>
      </c>
      <c r="F14" s="770">
        <v>0.1</v>
      </c>
    </row>
    <row r="15" spans="1:6" ht="15" thickBot="1">
      <c r="A15" s="684" t="s">
        <v>220</v>
      </c>
      <c r="B15" s="692" t="s">
        <v>186</v>
      </c>
      <c r="C15" s="769">
        <v>9.8000000000000004E-2</v>
      </c>
      <c r="D15" s="769">
        <v>8.8999999999999996E-2</v>
      </c>
      <c r="E15" s="769">
        <v>8.8999999999999996E-2</v>
      </c>
      <c r="F15" s="770">
        <v>0.1</v>
      </c>
    </row>
    <row r="16" spans="1:6" ht="15" thickBot="1">
      <c r="A16" s="684" t="s">
        <v>220</v>
      </c>
      <c r="B16" s="692" t="s">
        <v>198</v>
      </c>
      <c r="C16" s="769">
        <v>7.0000000000000007E-2</v>
      </c>
      <c r="D16" s="769">
        <v>9.2999999999999999E-2</v>
      </c>
      <c r="E16" s="769">
        <v>9.6000000000000002E-2</v>
      </c>
      <c r="F16" s="770">
        <v>0.1</v>
      </c>
    </row>
    <row r="17" spans="1:6" ht="15" thickBot="1">
      <c r="A17" s="684" t="s">
        <v>220</v>
      </c>
      <c r="B17" s="692" t="s">
        <v>210</v>
      </c>
      <c r="C17" s="769">
        <v>9.5000000000000001E-2</v>
      </c>
      <c r="D17" s="769">
        <v>0.1</v>
      </c>
      <c r="E17" s="769">
        <v>0.1</v>
      </c>
      <c r="F17" s="774"/>
    </row>
    <row r="18" spans="1:6" ht="15" thickBot="1">
      <c r="A18" s="684" t="s">
        <v>220</v>
      </c>
      <c r="B18" s="692" t="s">
        <v>223</v>
      </c>
      <c r="C18" s="769">
        <v>7.3999999999999996E-2</v>
      </c>
      <c r="D18" s="769">
        <v>9.9000000000000005E-2</v>
      </c>
      <c r="E18" s="769">
        <v>0.1</v>
      </c>
      <c r="F18" s="774"/>
    </row>
    <row r="19" spans="1:6" ht="15" thickBot="1">
      <c r="A19" s="684" t="s">
        <v>220</v>
      </c>
      <c r="B19" s="692" t="s">
        <v>234</v>
      </c>
      <c r="C19" s="769">
        <v>9.9000000000000005E-2</v>
      </c>
      <c r="D19" s="769">
        <v>7.5999999999999998E-2</v>
      </c>
      <c r="E19" s="769">
        <v>8.6999999999999994E-2</v>
      </c>
      <c r="F19" s="774"/>
    </row>
    <row r="20" spans="1:6" ht="15" thickBot="1">
      <c r="A20" s="684" t="s">
        <v>220</v>
      </c>
      <c r="B20" s="692" t="s">
        <v>245</v>
      </c>
      <c r="C20" s="769">
        <v>9.8000000000000004E-2</v>
      </c>
      <c r="D20" s="769">
        <v>8.5000000000000006E-2</v>
      </c>
      <c r="E20" s="769">
        <v>8.2000000000000003E-2</v>
      </c>
      <c r="F20" s="774"/>
    </row>
    <row r="21" spans="1:6" ht="15" thickBot="1">
      <c r="A21" s="684" t="s">
        <v>220</v>
      </c>
      <c r="B21" s="692" t="s">
        <v>256</v>
      </c>
      <c r="C21" s="769">
        <v>6.6000000000000003E-2</v>
      </c>
      <c r="D21" s="769">
        <v>6.4000000000000001E-2</v>
      </c>
      <c r="E21" s="769">
        <v>6.5000000000000002E-2</v>
      </c>
      <c r="F21" s="774"/>
    </row>
    <row r="22" spans="1:6" ht="15" thickBot="1">
      <c r="A22" s="684" t="s">
        <v>220</v>
      </c>
      <c r="B22" s="692" t="s">
        <v>608</v>
      </c>
      <c r="C22" s="769">
        <v>0.08</v>
      </c>
      <c r="D22" s="769">
        <v>9.8000000000000004E-2</v>
      </c>
      <c r="E22" s="769">
        <v>9.8000000000000004E-2</v>
      </c>
      <c r="F22" s="774"/>
    </row>
    <row r="23" spans="1:6" ht="15" thickBot="1">
      <c r="A23" s="684" t="s">
        <v>220</v>
      </c>
      <c r="B23" s="692" t="s">
        <v>278</v>
      </c>
      <c r="C23" s="769">
        <v>9.9000000000000005E-2</v>
      </c>
      <c r="D23" s="769">
        <v>9.8000000000000004E-2</v>
      </c>
      <c r="E23" s="769">
        <v>9.0999999999999998E-2</v>
      </c>
      <c r="F23" s="774"/>
    </row>
    <row r="24" spans="1:6" ht="15" thickBot="1">
      <c r="A24" s="684" t="s">
        <v>220</v>
      </c>
      <c r="B24" s="692" t="s">
        <v>289</v>
      </c>
      <c r="C24" s="769">
        <v>8.8999999999999996E-2</v>
      </c>
      <c r="D24" s="769">
        <v>9.7000000000000003E-2</v>
      </c>
      <c r="E24" s="769">
        <v>7.0000000000000007E-2</v>
      </c>
      <c r="F24" s="774"/>
    </row>
    <row r="25" spans="1:6" ht="15" thickBot="1">
      <c r="A25" s="684" t="s">
        <v>220</v>
      </c>
      <c r="B25" s="692" t="s">
        <v>299</v>
      </c>
      <c r="C25" s="769">
        <v>8.8999999999999996E-2</v>
      </c>
      <c r="D25" s="769">
        <v>0.1</v>
      </c>
      <c r="E25" s="769">
        <v>8.1000000000000003E-2</v>
      </c>
      <c r="F25" s="774"/>
    </row>
    <row r="26" spans="1:6" ht="15" thickBot="1">
      <c r="A26" s="684" t="s">
        <v>220</v>
      </c>
      <c r="B26" s="692" t="s">
        <v>309</v>
      </c>
      <c r="C26" s="775"/>
      <c r="D26" s="769">
        <v>9.6000000000000002E-2</v>
      </c>
      <c r="E26" s="769">
        <v>9.2999999999999999E-2</v>
      </c>
      <c r="F26" s="774"/>
    </row>
    <row r="27" spans="1:6" ht="15" thickBot="1">
      <c r="A27" s="684" t="s">
        <v>220</v>
      </c>
      <c r="B27" s="692" t="s">
        <v>319</v>
      </c>
      <c r="C27" s="775"/>
      <c r="D27" s="769">
        <v>7.5999999999999998E-2</v>
      </c>
      <c r="E27" s="769">
        <v>9.1999999999999998E-2</v>
      </c>
      <c r="F27" s="774"/>
    </row>
    <row r="28" spans="1:6" ht="15" thickBot="1">
      <c r="A28" s="701" t="s">
        <v>220</v>
      </c>
      <c r="B28" s="693" t="s">
        <v>329</v>
      </c>
      <c r="C28" s="772"/>
      <c r="D28" s="771">
        <v>7.5999999999999998E-2</v>
      </c>
      <c r="E28" s="771">
        <v>9.1999999999999998E-2</v>
      </c>
      <c r="F28" s="773"/>
    </row>
    <row r="29" spans="1:6" ht="15" thickBot="1">
      <c r="A29" s="684" t="s">
        <v>398</v>
      </c>
      <c r="B29" s="685" t="s">
        <v>609</v>
      </c>
      <c r="C29" s="767">
        <v>6.4000000000000001E-2</v>
      </c>
      <c r="D29" s="767">
        <v>6.5000000000000002E-2</v>
      </c>
      <c r="E29" s="767">
        <v>6.9000000000000006E-2</v>
      </c>
      <c r="F29" s="768">
        <v>0.1</v>
      </c>
    </row>
    <row r="30" spans="1:6" ht="15" thickBot="1">
      <c r="A30" s="684" t="s">
        <v>398</v>
      </c>
      <c r="B30" s="692" t="s">
        <v>137</v>
      </c>
      <c r="C30" s="769">
        <v>6.4000000000000001E-2</v>
      </c>
      <c r="D30" s="769">
        <v>9.9000000000000005E-2</v>
      </c>
      <c r="E30" s="769">
        <v>0.1</v>
      </c>
      <c r="F30" s="770">
        <v>0.1</v>
      </c>
    </row>
    <row r="31" spans="1:6" ht="15" thickBot="1">
      <c r="A31" s="684" t="s">
        <v>398</v>
      </c>
      <c r="B31" s="692" t="s">
        <v>150</v>
      </c>
      <c r="C31" s="769">
        <v>0.1</v>
      </c>
      <c r="D31" s="769">
        <v>9.5000000000000001E-2</v>
      </c>
      <c r="E31" s="769">
        <v>8.8999999999999996E-2</v>
      </c>
      <c r="F31" s="770">
        <v>0.1</v>
      </c>
    </row>
    <row r="32" spans="1:6" ht="15" thickBot="1">
      <c r="A32" s="684" t="s">
        <v>398</v>
      </c>
      <c r="B32" s="692" t="s">
        <v>163</v>
      </c>
      <c r="C32" s="769">
        <v>0.05</v>
      </c>
      <c r="D32" s="769">
        <v>0.05</v>
      </c>
      <c r="E32" s="769">
        <v>8.7999999999999995E-2</v>
      </c>
      <c r="F32" s="770">
        <v>0.1</v>
      </c>
    </row>
    <row r="33" spans="1:6" ht="15" thickBot="1">
      <c r="A33" s="684" t="s">
        <v>398</v>
      </c>
      <c r="B33" s="692" t="s">
        <v>175</v>
      </c>
      <c r="C33" s="769">
        <v>7.4999999999999997E-2</v>
      </c>
      <c r="D33" s="769">
        <v>9.4E-2</v>
      </c>
      <c r="E33" s="769">
        <v>9.7000000000000003E-2</v>
      </c>
      <c r="F33" s="770">
        <v>0.1</v>
      </c>
    </row>
    <row r="34" spans="1:6" ht="15" thickBot="1">
      <c r="A34" s="684" t="s">
        <v>398</v>
      </c>
      <c r="B34" s="692" t="s">
        <v>187</v>
      </c>
      <c r="C34" s="769">
        <v>9.8000000000000004E-2</v>
      </c>
      <c r="D34" s="769">
        <v>8.5999999999999993E-2</v>
      </c>
      <c r="E34" s="769">
        <v>9.7000000000000003E-2</v>
      </c>
      <c r="F34" s="770">
        <v>0.1</v>
      </c>
    </row>
    <row r="35" spans="1:6" ht="15" thickBot="1">
      <c r="A35" s="684" t="s">
        <v>398</v>
      </c>
      <c r="B35" s="692" t="s">
        <v>199</v>
      </c>
      <c r="C35" s="769">
        <v>5.8999999999999997E-2</v>
      </c>
      <c r="D35" s="769">
        <v>6.5000000000000002E-2</v>
      </c>
      <c r="E35" s="769">
        <v>7.0000000000000007E-2</v>
      </c>
      <c r="F35" s="770">
        <v>0.1</v>
      </c>
    </row>
    <row r="36" spans="1:6" ht="15" thickBot="1">
      <c r="A36" s="684" t="s">
        <v>398</v>
      </c>
      <c r="B36" s="692" t="s">
        <v>211</v>
      </c>
      <c r="C36" s="769">
        <v>6.3E-2</v>
      </c>
      <c r="D36" s="769">
        <v>0.1</v>
      </c>
      <c r="E36" s="769">
        <v>0.1</v>
      </c>
      <c r="F36" s="770">
        <v>0.1</v>
      </c>
    </row>
    <row r="37" spans="1:6" ht="15" thickBot="1">
      <c r="A37" s="684" t="s">
        <v>398</v>
      </c>
      <c r="B37" s="692" t="s">
        <v>224</v>
      </c>
      <c r="C37" s="769">
        <v>7.3999999999999996E-2</v>
      </c>
      <c r="D37" s="769">
        <v>0.1</v>
      </c>
      <c r="E37" s="769">
        <v>0.1</v>
      </c>
      <c r="F37" s="770">
        <v>0.1</v>
      </c>
    </row>
    <row r="38" spans="1:6" ht="15" thickBot="1">
      <c r="A38" s="684" t="s">
        <v>398</v>
      </c>
      <c r="B38" s="692" t="s">
        <v>235</v>
      </c>
      <c r="C38" s="769">
        <v>0.1</v>
      </c>
      <c r="D38" s="769">
        <v>9.6000000000000002E-2</v>
      </c>
      <c r="E38" s="769">
        <v>9.6000000000000002E-2</v>
      </c>
      <c r="F38" s="774"/>
    </row>
    <row r="39" spans="1:6" ht="15" thickBot="1">
      <c r="A39" s="684" t="s">
        <v>398</v>
      </c>
      <c r="B39" s="692" t="s">
        <v>246</v>
      </c>
      <c r="C39" s="769">
        <v>0.1</v>
      </c>
      <c r="D39" s="769">
        <v>9.6000000000000002E-2</v>
      </c>
      <c r="E39" s="769">
        <v>9.6000000000000002E-2</v>
      </c>
      <c r="F39" s="774"/>
    </row>
    <row r="40" spans="1:6" ht="15" thickBot="1">
      <c r="A40" s="684" t="s">
        <v>398</v>
      </c>
      <c r="B40" s="692" t="s">
        <v>257</v>
      </c>
      <c r="C40" s="769">
        <v>9.6000000000000002E-2</v>
      </c>
      <c r="D40" s="769">
        <v>0.1</v>
      </c>
      <c r="E40" s="769">
        <v>9.9000000000000005E-2</v>
      </c>
      <c r="F40" s="774"/>
    </row>
    <row r="41" spans="1:6" ht="15" thickBot="1">
      <c r="A41" s="684" t="s">
        <v>398</v>
      </c>
      <c r="B41" s="692" t="s">
        <v>268</v>
      </c>
      <c r="C41" s="769">
        <v>9.6000000000000002E-2</v>
      </c>
      <c r="D41" s="769">
        <v>9.8000000000000004E-2</v>
      </c>
      <c r="E41" s="769">
        <v>9.8000000000000004E-2</v>
      </c>
      <c r="F41" s="774"/>
    </row>
    <row r="42" spans="1:6" ht="15" thickBot="1">
      <c r="A42" s="684" t="s">
        <v>398</v>
      </c>
      <c r="B42" s="692" t="s">
        <v>279</v>
      </c>
      <c r="C42" s="769">
        <v>0.1</v>
      </c>
      <c r="D42" s="769">
        <v>8.7999999999999995E-2</v>
      </c>
      <c r="E42" s="769">
        <v>0.1</v>
      </c>
      <c r="F42" s="774"/>
    </row>
    <row r="43" spans="1:6" ht="15" thickBot="1">
      <c r="A43" s="684" t="s">
        <v>398</v>
      </c>
      <c r="B43" s="692" t="s">
        <v>290</v>
      </c>
      <c r="C43" s="769">
        <v>9.8000000000000004E-2</v>
      </c>
      <c r="D43" s="769">
        <v>9.7000000000000003E-2</v>
      </c>
      <c r="E43" s="769">
        <v>9.6000000000000002E-2</v>
      </c>
      <c r="F43" s="774"/>
    </row>
    <row r="44" spans="1:6" ht="15" thickBot="1">
      <c r="A44" s="684" t="s">
        <v>398</v>
      </c>
      <c r="B44" s="692" t="s">
        <v>300</v>
      </c>
      <c r="C44" s="769">
        <v>8.5999999999999993E-2</v>
      </c>
      <c r="D44" s="769">
        <v>7.9000000000000001E-2</v>
      </c>
      <c r="E44" s="769">
        <v>7.0999999999999994E-2</v>
      </c>
      <c r="F44" s="774"/>
    </row>
    <row r="45" spans="1:6" ht="15" thickBot="1">
      <c r="A45" s="684" t="s">
        <v>398</v>
      </c>
      <c r="B45" s="692" t="s">
        <v>310</v>
      </c>
      <c r="C45" s="769">
        <v>9.8000000000000004E-2</v>
      </c>
      <c r="D45" s="769">
        <v>9.6000000000000002E-2</v>
      </c>
      <c r="E45" s="769">
        <v>9.6000000000000002E-2</v>
      </c>
      <c r="F45" s="774"/>
    </row>
    <row r="46" spans="1:6" ht="15" thickBot="1">
      <c r="A46" s="684" t="s">
        <v>398</v>
      </c>
      <c r="B46" s="692" t="s">
        <v>320</v>
      </c>
      <c r="C46" s="769">
        <v>8.5999999999999993E-2</v>
      </c>
      <c r="D46" s="769">
        <v>9.8000000000000004E-2</v>
      </c>
      <c r="E46" s="769">
        <v>8.7999999999999995E-2</v>
      </c>
      <c r="F46" s="774"/>
    </row>
    <row r="47" spans="1:6" ht="15" thickBot="1">
      <c r="A47" s="684" t="s">
        <v>398</v>
      </c>
      <c r="B47" s="692" t="s">
        <v>330</v>
      </c>
      <c r="C47" s="769">
        <v>9.6000000000000002E-2</v>
      </c>
      <c r="D47" s="775"/>
      <c r="E47" s="769">
        <v>6.9000000000000006E-2</v>
      </c>
      <c r="F47" s="774"/>
    </row>
    <row r="48" spans="1:6" ht="15" thickBot="1">
      <c r="A48" s="701" t="s">
        <v>398</v>
      </c>
      <c r="B48" s="693" t="s">
        <v>339</v>
      </c>
      <c r="C48" s="771">
        <v>9.8000000000000004E-2</v>
      </c>
      <c r="D48" s="772"/>
      <c r="E48" s="771">
        <v>9.5000000000000001E-2</v>
      </c>
      <c r="F48" s="773"/>
    </row>
    <row r="49" spans="1:6" ht="15" thickBot="1">
      <c r="A49" s="684" t="s">
        <v>87</v>
      </c>
      <c r="B49" s="685" t="s">
        <v>610</v>
      </c>
      <c r="C49" s="767">
        <v>9.7000000000000003E-2</v>
      </c>
      <c r="D49" s="767">
        <v>9.5000000000000001E-2</v>
      </c>
      <c r="E49" s="767">
        <v>9.7000000000000003E-2</v>
      </c>
      <c r="F49" s="768">
        <v>0.1</v>
      </c>
    </row>
    <row r="50" spans="1:6" ht="15" thickBot="1">
      <c r="A50" s="684" t="s">
        <v>87</v>
      </c>
      <c r="B50" s="678" t="s">
        <v>138</v>
      </c>
      <c r="C50" s="769">
        <v>7.4999999999999997E-2</v>
      </c>
      <c r="D50" s="769">
        <v>9.5000000000000001E-2</v>
      </c>
      <c r="E50" s="769">
        <v>0.1</v>
      </c>
      <c r="F50" s="770">
        <v>0.1</v>
      </c>
    </row>
    <row r="51" spans="1:6" ht="15" thickBot="1">
      <c r="A51" s="684" t="s">
        <v>87</v>
      </c>
      <c r="B51" s="678" t="s">
        <v>151</v>
      </c>
      <c r="C51" s="769">
        <v>9.8000000000000004E-2</v>
      </c>
      <c r="D51" s="769">
        <v>8.8999999999999996E-2</v>
      </c>
      <c r="E51" s="769">
        <v>0.1</v>
      </c>
      <c r="F51" s="770">
        <v>0.1</v>
      </c>
    </row>
    <row r="52" spans="1:6" ht="15" thickBot="1">
      <c r="A52" s="684" t="s">
        <v>87</v>
      </c>
      <c r="B52" s="678" t="s">
        <v>164</v>
      </c>
      <c r="C52" s="769">
        <v>9.8000000000000004E-2</v>
      </c>
      <c r="D52" s="769">
        <v>9.7000000000000003E-2</v>
      </c>
      <c r="E52" s="769">
        <v>8.1000000000000003E-2</v>
      </c>
      <c r="F52" s="770">
        <v>0.1</v>
      </c>
    </row>
    <row r="53" spans="1:6" ht="15" thickBot="1">
      <c r="A53" s="684" t="s">
        <v>87</v>
      </c>
      <c r="B53" s="678" t="s">
        <v>176</v>
      </c>
      <c r="C53" s="769">
        <v>9.7000000000000003E-2</v>
      </c>
      <c r="D53" s="769">
        <v>7.5999999999999998E-2</v>
      </c>
      <c r="E53" s="769">
        <v>7.0999999999999994E-2</v>
      </c>
      <c r="F53" s="770">
        <v>0.1</v>
      </c>
    </row>
    <row r="54" spans="1:6" ht="15" thickBot="1">
      <c r="A54" s="684" t="s">
        <v>87</v>
      </c>
      <c r="B54" s="678" t="s">
        <v>188</v>
      </c>
      <c r="C54" s="769">
        <v>7.5999999999999998E-2</v>
      </c>
      <c r="D54" s="769">
        <v>0.1</v>
      </c>
      <c r="E54" s="769">
        <v>9.9000000000000005E-2</v>
      </c>
      <c r="F54" s="770">
        <v>0.1</v>
      </c>
    </row>
    <row r="55" spans="1:6" ht="15" thickBot="1">
      <c r="A55" s="684" t="s">
        <v>87</v>
      </c>
      <c r="B55" s="678" t="s">
        <v>200</v>
      </c>
      <c r="C55" s="769">
        <v>0.1</v>
      </c>
      <c r="D55" s="769">
        <v>0.1</v>
      </c>
      <c r="E55" s="769">
        <v>9.6000000000000002E-2</v>
      </c>
      <c r="F55" s="770">
        <v>0.1</v>
      </c>
    </row>
    <row r="56" spans="1:6" ht="15" thickBot="1">
      <c r="A56" s="684" t="s">
        <v>87</v>
      </c>
      <c r="B56" s="678" t="s">
        <v>212</v>
      </c>
      <c r="C56" s="769">
        <v>0.1</v>
      </c>
      <c r="D56" s="769">
        <v>9.6000000000000002E-2</v>
      </c>
      <c r="E56" s="769">
        <v>5.1999999999999998E-2</v>
      </c>
      <c r="F56" s="770">
        <v>0.1</v>
      </c>
    </row>
    <row r="57" spans="1:6" ht="15" thickBot="1">
      <c r="A57" s="684" t="s">
        <v>87</v>
      </c>
      <c r="B57" s="678" t="s">
        <v>225</v>
      </c>
      <c r="C57" s="769">
        <v>9.7000000000000003E-2</v>
      </c>
      <c r="D57" s="769">
        <v>9.6000000000000002E-2</v>
      </c>
      <c r="E57" s="769">
        <v>9.6000000000000002E-2</v>
      </c>
      <c r="F57" s="770">
        <v>0.1</v>
      </c>
    </row>
    <row r="58" spans="1:6" ht="15" thickBot="1">
      <c r="A58" s="684" t="s">
        <v>87</v>
      </c>
      <c r="B58" s="678" t="s">
        <v>236</v>
      </c>
      <c r="C58" s="769">
        <v>9.6000000000000002E-2</v>
      </c>
      <c r="D58" s="769">
        <v>9.9000000000000005E-2</v>
      </c>
      <c r="E58" s="769">
        <v>9.6000000000000002E-2</v>
      </c>
      <c r="F58" s="770">
        <v>0.1</v>
      </c>
    </row>
    <row r="59" spans="1:6" ht="15" thickBot="1">
      <c r="A59" s="684" t="s">
        <v>87</v>
      </c>
      <c r="B59" s="678" t="s">
        <v>247</v>
      </c>
      <c r="C59" s="769">
        <v>7.1999999999999995E-2</v>
      </c>
      <c r="D59" s="769">
        <v>9.6000000000000002E-2</v>
      </c>
      <c r="E59" s="769">
        <v>7.0999999999999994E-2</v>
      </c>
      <c r="F59" s="770">
        <v>0.1</v>
      </c>
    </row>
    <row r="60" spans="1:6" ht="15" thickBot="1">
      <c r="A60" s="684" t="s">
        <v>87</v>
      </c>
      <c r="B60" s="678" t="s">
        <v>258</v>
      </c>
      <c r="C60" s="769">
        <v>9.6000000000000002E-2</v>
      </c>
      <c r="D60" s="769">
        <v>8.8999999999999996E-2</v>
      </c>
      <c r="E60" s="769">
        <v>9.6000000000000002E-2</v>
      </c>
      <c r="F60" s="770">
        <v>0.1</v>
      </c>
    </row>
    <row r="61" spans="1:6" ht="15" thickBot="1">
      <c r="A61" s="684" t="s">
        <v>87</v>
      </c>
      <c r="B61" s="678" t="s">
        <v>269</v>
      </c>
      <c r="C61" s="769">
        <v>8.8999999999999996E-2</v>
      </c>
      <c r="D61" s="769">
        <v>9.8000000000000004E-2</v>
      </c>
      <c r="E61" s="769">
        <v>8.7999999999999995E-2</v>
      </c>
      <c r="F61" s="774"/>
    </row>
    <row r="62" spans="1:6" ht="15" thickBot="1">
      <c r="A62" s="684" t="s">
        <v>87</v>
      </c>
      <c r="B62" s="678" t="s">
        <v>280</v>
      </c>
      <c r="C62" s="769">
        <v>9.8000000000000004E-2</v>
      </c>
      <c r="D62" s="769">
        <v>9.2999999999999999E-2</v>
      </c>
      <c r="E62" s="769">
        <v>9.7000000000000003E-2</v>
      </c>
      <c r="F62" s="774"/>
    </row>
    <row r="63" spans="1:6" ht="15" thickBot="1">
      <c r="A63" s="684" t="s">
        <v>87</v>
      </c>
      <c r="B63" s="678" t="s">
        <v>291</v>
      </c>
      <c r="C63" s="769">
        <v>9.6000000000000002E-2</v>
      </c>
      <c r="D63" s="769">
        <v>9.8000000000000004E-2</v>
      </c>
      <c r="E63" s="769">
        <v>0.09</v>
      </c>
      <c r="F63" s="774"/>
    </row>
    <row r="64" spans="1:6" ht="15" thickBot="1">
      <c r="A64" s="684" t="s">
        <v>87</v>
      </c>
      <c r="B64" s="678" t="s">
        <v>301</v>
      </c>
      <c r="C64" s="769">
        <v>9.9000000000000005E-2</v>
      </c>
      <c r="D64" s="769">
        <v>9.7000000000000003E-2</v>
      </c>
      <c r="E64" s="769">
        <v>9.9000000000000005E-2</v>
      </c>
      <c r="F64" s="774"/>
    </row>
    <row r="65" spans="1:6" ht="15" thickBot="1">
      <c r="A65" s="684" t="s">
        <v>87</v>
      </c>
      <c r="B65" s="678" t="s">
        <v>311</v>
      </c>
      <c r="C65" s="769">
        <v>9.8000000000000004E-2</v>
      </c>
      <c r="D65" s="769">
        <v>9.6000000000000002E-2</v>
      </c>
      <c r="E65" s="769">
        <v>9.6000000000000002E-2</v>
      </c>
      <c r="F65" s="774"/>
    </row>
    <row r="66" spans="1:6" ht="15" thickBot="1">
      <c r="A66" s="684" t="s">
        <v>87</v>
      </c>
      <c r="B66" s="678" t="s">
        <v>321</v>
      </c>
      <c r="C66" s="769">
        <v>9.6000000000000002E-2</v>
      </c>
      <c r="D66" s="769">
        <v>9.1999999999999998E-2</v>
      </c>
      <c r="E66" s="769">
        <v>9.6000000000000002E-2</v>
      </c>
      <c r="F66" s="774"/>
    </row>
    <row r="67" spans="1:6" ht="15" thickBot="1">
      <c r="A67" s="684" t="s">
        <v>87</v>
      </c>
      <c r="B67" s="678" t="s">
        <v>331</v>
      </c>
      <c r="C67" s="769">
        <v>9.4E-2</v>
      </c>
      <c r="D67" s="769">
        <v>0.1</v>
      </c>
      <c r="E67" s="769">
        <v>8.7999999999999995E-2</v>
      </c>
      <c r="F67" s="774"/>
    </row>
    <row r="68" spans="1:6" ht="15" thickBot="1">
      <c r="A68" s="684" t="s">
        <v>87</v>
      </c>
      <c r="B68" s="678" t="s">
        <v>340</v>
      </c>
      <c r="C68" s="769">
        <v>0.1</v>
      </c>
      <c r="D68" s="769">
        <v>8.7999999999999995E-2</v>
      </c>
      <c r="E68" s="769">
        <v>9.7000000000000003E-2</v>
      </c>
      <c r="F68" s="774"/>
    </row>
    <row r="69" spans="1:6" ht="15" thickBot="1">
      <c r="A69" s="684" t="s">
        <v>87</v>
      </c>
      <c r="B69" s="678" t="s">
        <v>349</v>
      </c>
      <c r="C69" s="769">
        <v>6.4000000000000001E-2</v>
      </c>
      <c r="D69" s="769">
        <v>0.1</v>
      </c>
      <c r="E69" s="769">
        <v>0.1</v>
      </c>
      <c r="F69" s="774"/>
    </row>
    <row r="70" spans="1:6" ht="15" thickBot="1">
      <c r="A70" s="684" t="s">
        <v>87</v>
      </c>
      <c r="B70" s="678" t="s">
        <v>357</v>
      </c>
      <c r="C70" s="769">
        <v>9.0999999999999998E-2</v>
      </c>
      <c r="D70" s="775"/>
      <c r="E70" s="775"/>
      <c r="F70" s="774"/>
    </row>
    <row r="71" spans="1:6" ht="15" thickBot="1">
      <c r="A71" s="684" t="s">
        <v>87</v>
      </c>
      <c r="B71" s="678" t="s">
        <v>364</v>
      </c>
      <c r="C71" s="769">
        <v>0.1</v>
      </c>
      <c r="D71" s="775"/>
      <c r="E71" s="775"/>
      <c r="F71" s="774"/>
    </row>
    <row r="72" spans="1:6" ht="24.6" thickBot="1">
      <c r="A72" s="684" t="s">
        <v>87</v>
      </c>
      <c r="B72" s="678" t="s">
        <v>611</v>
      </c>
      <c r="C72" s="775"/>
      <c r="D72" s="775"/>
      <c r="E72" s="775"/>
      <c r="F72" s="770">
        <v>0.05</v>
      </c>
    </row>
    <row r="73" spans="1:6" ht="24.6" thickBot="1">
      <c r="A73" s="684" t="s">
        <v>87</v>
      </c>
      <c r="B73" s="678" t="s">
        <v>612</v>
      </c>
      <c r="C73" s="775"/>
      <c r="D73" s="775"/>
      <c r="E73" s="775"/>
      <c r="F73" s="770">
        <v>0.05</v>
      </c>
    </row>
    <row r="74" spans="1:6" ht="24.6" thickBot="1">
      <c r="A74" s="684" t="s">
        <v>87</v>
      </c>
      <c r="B74" s="678" t="s">
        <v>613</v>
      </c>
      <c r="C74" s="775"/>
      <c r="D74" s="775"/>
      <c r="E74" s="775"/>
      <c r="F74" s="770">
        <v>0.05</v>
      </c>
    </row>
    <row r="75" spans="1:6" ht="24.6" thickBot="1">
      <c r="A75" s="701" t="s">
        <v>87</v>
      </c>
      <c r="B75" s="694" t="s">
        <v>614</v>
      </c>
      <c r="C75" s="772"/>
      <c r="D75" s="772"/>
      <c r="E75" s="772"/>
      <c r="F75" s="776">
        <v>0.05</v>
      </c>
    </row>
    <row r="76" spans="1:6" ht="15" thickBot="1">
      <c r="A76" s="684" t="s">
        <v>479</v>
      </c>
      <c r="B76" s="685" t="s">
        <v>615</v>
      </c>
      <c r="C76" s="767">
        <v>0.1</v>
      </c>
      <c r="D76" s="767">
        <v>0.1</v>
      </c>
      <c r="E76" s="767">
        <v>0.1</v>
      </c>
      <c r="F76" s="768">
        <v>0.1</v>
      </c>
    </row>
    <row r="77" spans="1:6" ht="15" thickBot="1">
      <c r="A77" s="684" t="s">
        <v>479</v>
      </c>
      <c r="B77" s="678" t="s">
        <v>139</v>
      </c>
      <c r="C77" s="769">
        <v>8.7999999999999995E-2</v>
      </c>
      <c r="D77" s="769">
        <v>8.6999999999999994E-2</v>
      </c>
      <c r="E77" s="769">
        <v>7.9000000000000001E-2</v>
      </c>
      <c r="F77" s="770">
        <v>0.1</v>
      </c>
    </row>
    <row r="78" spans="1:6" ht="15" thickBot="1">
      <c r="A78" s="684" t="s">
        <v>479</v>
      </c>
      <c r="B78" s="678" t="s">
        <v>152</v>
      </c>
      <c r="C78" s="769">
        <v>8.6999999999999994E-2</v>
      </c>
      <c r="D78" s="769">
        <v>8.4000000000000005E-2</v>
      </c>
      <c r="E78" s="769">
        <v>9.6000000000000002E-2</v>
      </c>
      <c r="F78" s="770">
        <v>0.1</v>
      </c>
    </row>
    <row r="79" spans="1:6" ht="15" thickBot="1">
      <c r="A79" s="684" t="s">
        <v>479</v>
      </c>
      <c r="B79" s="678" t="s">
        <v>165</v>
      </c>
      <c r="C79" s="769">
        <v>9.8000000000000004E-2</v>
      </c>
      <c r="D79" s="769">
        <v>9.8000000000000004E-2</v>
      </c>
      <c r="E79" s="769">
        <v>9.0999999999999998E-2</v>
      </c>
      <c r="F79" s="770">
        <v>0.1</v>
      </c>
    </row>
    <row r="80" spans="1:6" ht="15" thickBot="1">
      <c r="A80" s="684" t="s">
        <v>479</v>
      </c>
      <c r="B80" s="678" t="s">
        <v>177</v>
      </c>
      <c r="C80" s="769">
        <v>9.6000000000000002E-2</v>
      </c>
      <c r="D80" s="769">
        <v>9.6000000000000002E-2</v>
      </c>
      <c r="E80" s="769">
        <v>0.1</v>
      </c>
      <c r="F80" s="770">
        <v>0.1</v>
      </c>
    </row>
    <row r="81" spans="1:6" ht="15" thickBot="1">
      <c r="A81" s="684" t="s">
        <v>479</v>
      </c>
      <c r="B81" s="678" t="s">
        <v>189</v>
      </c>
      <c r="C81" s="769">
        <v>9.9000000000000005E-2</v>
      </c>
      <c r="D81" s="769">
        <v>9.9000000000000005E-2</v>
      </c>
      <c r="E81" s="769">
        <v>9.8000000000000004E-2</v>
      </c>
      <c r="F81" s="770">
        <v>0.1</v>
      </c>
    </row>
    <row r="82" spans="1:6" ht="15" thickBot="1">
      <c r="A82" s="684" t="s">
        <v>479</v>
      </c>
      <c r="B82" s="678" t="s">
        <v>201</v>
      </c>
      <c r="C82" s="769">
        <v>9.9000000000000005E-2</v>
      </c>
      <c r="D82" s="769">
        <v>9.9000000000000005E-2</v>
      </c>
      <c r="E82" s="769">
        <v>9.7000000000000003E-2</v>
      </c>
      <c r="F82" s="770">
        <v>0.1</v>
      </c>
    </row>
    <row r="83" spans="1:6" ht="15" thickBot="1">
      <c r="A83" s="684" t="s">
        <v>479</v>
      </c>
      <c r="B83" s="678" t="s">
        <v>213</v>
      </c>
      <c r="C83" s="769">
        <v>9.8000000000000004E-2</v>
      </c>
      <c r="D83" s="769">
        <v>9.8000000000000004E-2</v>
      </c>
      <c r="E83" s="769">
        <v>9.8000000000000004E-2</v>
      </c>
      <c r="F83" s="770">
        <v>0.1</v>
      </c>
    </row>
    <row r="84" spans="1:6" ht="15" thickBot="1">
      <c r="A84" s="684" t="s">
        <v>479</v>
      </c>
      <c r="B84" s="678" t="s">
        <v>226</v>
      </c>
      <c r="C84" s="769">
        <v>9.9000000000000005E-2</v>
      </c>
      <c r="D84" s="769">
        <v>9.9000000000000005E-2</v>
      </c>
      <c r="E84" s="769">
        <v>9.9000000000000005E-2</v>
      </c>
      <c r="F84" s="770">
        <v>0.1</v>
      </c>
    </row>
    <row r="85" spans="1:6" ht="15" thickBot="1">
      <c r="A85" s="684" t="s">
        <v>479</v>
      </c>
      <c r="B85" s="678" t="s">
        <v>237</v>
      </c>
      <c r="C85" s="769">
        <v>9.9000000000000005E-2</v>
      </c>
      <c r="D85" s="769">
        <v>9.9000000000000005E-2</v>
      </c>
      <c r="E85" s="769">
        <v>9.9000000000000005E-2</v>
      </c>
      <c r="F85" s="770">
        <v>0.1</v>
      </c>
    </row>
    <row r="86" spans="1:6" ht="15" thickBot="1">
      <c r="A86" s="684" t="s">
        <v>479</v>
      </c>
      <c r="B86" s="678" t="s">
        <v>248</v>
      </c>
      <c r="C86" s="769">
        <v>0.1</v>
      </c>
      <c r="D86" s="769">
        <v>0.1</v>
      </c>
      <c r="E86" s="769">
        <v>7.6999999999999999E-2</v>
      </c>
      <c r="F86" s="770">
        <v>0.1</v>
      </c>
    </row>
    <row r="87" spans="1:6" ht="15" thickBot="1">
      <c r="A87" s="684" t="s">
        <v>479</v>
      </c>
      <c r="B87" s="678" t="s">
        <v>259</v>
      </c>
      <c r="C87" s="769">
        <v>0.1</v>
      </c>
      <c r="D87" s="769">
        <v>0.1</v>
      </c>
      <c r="E87" s="769">
        <v>9.8000000000000004E-2</v>
      </c>
      <c r="F87" s="774"/>
    </row>
    <row r="88" spans="1:6" ht="15" thickBot="1">
      <c r="A88" s="684" t="s">
        <v>479</v>
      </c>
      <c r="B88" s="678" t="s">
        <v>270</v>
      </c>
      <c r="C88" s="769">
        <v>9.1999999999999998E-2</v>
      </c>
      <c r="D88" s="769">
        <v>8.5000000000000006E-2</v>
      </c>
      <c r="E88" s="769">
        <v>9.6000000000000002E-2</v>
      </c>
      <c r="F88" s="774"/>
    </row>
    <row r="89" spans="1:6" ht="15" thickBot="1">
      <c r="A89" s="684" t="s">
        <v>479</v>
      </c>
      <c r="B89" s="678" t="s">
        <v>281</v>
      </c>
      <c r="C89" s="769">
        <v>0.1</v>
      </c>
      <c r="D89" s="769">
        <v>0.1</v>
      </c>
      <c r="E89" s="769">
        <v>9.7000000000000003E-2</v>
      </c>
      <c r="F89" s="774"/>
    </row>
    <row r="90" spans="1:6" ht="15" thickBot="1">
      <c r="A90" s="684" t="s">
        <v>479</v>
      </c>
      <c r="B90" s="678" t="s">
        <v>292</v>
      </c>
      <c r="C90" s="769">
        <v>9.8000000000000004E-2</v>
      </c>
      <c r="D90" s="769">
        <v>9.8000000000000004E-2</v>
      </c>
      <c r="E90" s="769">
        <v>8.7999999999999995E-2</v>
      </c>
      <c r="F90" s="774"/>
    </row>
    <row r="91" spans="1:6" ht="15" thickBot="1">
      <c r="A91" s="684" t="s">
        <v>479</v>
      </c>
      <c r="B91" s="678" t="s">
        <v>302</v>
      </c>
      <c r="C91" s="769">
        <v>9.9000000000000005E-2</v>
      </c>
      <c r="D91" s="769">
        <v>9.9000000000000005E-2</v>
      </c>
      <c r="E91" s="769">
        <v>9.0999999999999998E-2</v>
      </c>
      <c r="F91" s="774"/>
    </row>
    <row r="92" spans="1:6" ht="15" thickBot="1">
      <c r="A92" s="684" t="s">
        <v>479</v>
      </c>
      <c r="B92" s="678" t="s">
        <v>312</v>
      </c>
      <c r="C92" s="769">
        <v>9.6000000000000002E-2</v>
      </c>
      <c r="D92" s="769">
        <v>9.6000000000000002E-2</v>
      </c>
      <c r="E92" s="769">
        <v>7.2999999999999995E-2</v>
      </c>
      <c r="F92" s="774"/>
    </row>
    <row r="93" spans="1:6" ht="15" thickBot="1">
      <c r="A93" s="684" t="s">
        <v>479</v>
      </c>
      <c r="B93" s="678" t="s">
        <v>322</v>
      </c>
      <c r="C93" s="769">
        <v>9.6000000000000002E-2</v>
      </c>
      <c r="D93" s="769">
        <v>9.6000000000000002E-2</v>
      </c>
      <c r="E93" s="769">
        <v>9.9000000000000005E-2</v>
      </c>
      <c r="F93" s="774"/>
    </row>
    <row r="94" spans="1:6" ht="15" thickBot="1">
      <c r="A94" s="684" t="s">
        <v>479</v>
      </c>
      <c r="B94" s="678" t="s">
        <v>332</v>
      </c>
      <c r="C94" s="769">
        <v>7.5999999999999998E-2</v>
      </c>
      <c r="D94" s="769">
        <v>7.3999999999999996E-2</v>
      </c>
      <c r="E94" s="769">
        <v>9.7000000000000003E-2</v>
      </c>
      <c r="F94" s="774"/>
    </row>
    <row r="95" spans="1:6" ht="15" thickBot="1">
      <c r="A95" s="684" t="s">
        <v>479</v>
      </c>
      <c r="B95" s="678" t="s">
        <v>341</v>
      </c>
      <c r="C95" s="769">
        <v>9.9000000000000005E-2</v>
      </c>
      <c r="D95" s="769">
        <v>9.4E-2</v>
      </c>
      <c r="E95" s="769">
        <v>9.6000000000000002E-2</v>
      </c>
      <c r="F95" s="774"/>
    </row>
    <row r="96" spans="1:6" ht="15" thickBot="1">
      <c r="A96" s="684" t="s">
        <v>479</v>
      </c>
      <c r="B96" s="678" t="s">
        <v>350</v>
      </c>
      <c r="C96" s="769">
        <v>9.9000000000000005E-2</v>
      </c>
      <c r="D96" s="769">
        <v>9.9000000000000005E-2</v>
      </c>
      <c r="E96" s="769">
        <v>9.9000000000000005E-2</v>
      </c>
      <c r="F96" s="774"/>
    </row>
    <row r="97" spans="1:6" ht="15" thickBot="1">
      <c r="A97" s="684" t="s">
        <v>479</v>
      </c>
      <c r="B97" s="678" t="s">
        <v>358</v>
      </c>
      <c r="C97" s="769">
        <v>9.8000000000000004E-2</v>
      </c>
      <c r="D97" s="769">
        <v>9.8000000000000004E-2</v>
      </c>
      <c r="E97" s="769">
        <v>9.7000000000000003E-2</v>
      </c>
      <c r="F97" s="774"/>
    </row>
    <row r="98" spans="1:6" ht="15" thickBot="1">
      <c r="A98" s="684" t="s">
        <v>479</v>
      </c>
      <c r="B98" s="678" t="s">
        <v>365</v>
      </c>
      <c r="C98" s="769">
        <v>0.1</v>
      </c>
      <c r="D98" s="769">
        <v>0.1</v>
      </c>
      <c r="E98" s="769">
        <v>9.7000000000000003E-2</v>
      </c>
      <c r="F98" s="774"/>
    </row>
    <row r="99" spans="1:6" ht="15" thickBot="1">
      <c r="A99" s="684" t="s">
        <v>479</v>
      </c>
      <c r="B99" s="678" t="s">
        <v>372</v>
      </c>
      <c r="C99" s="769">
        <v>0.1</v>
      </c>
      <c r="D99" s="769">
        <v>0.1</v>
      </c>
      <c r="E99" s="775"/>
      <c r="F99" s="774"/>
    </row>
    <row r="100" spans="1:6" ht="15" thickBot="1">
      <c r="A100" s="684" t="s">
        <v>479</v>
      </c>
      <c r="B100" s="678" t="s">
        <v>379</v>
      </c>
      <c r="C100" s="769">
        <v>0.09</v>
      </c>
      <c r="D100" s="769">
        <v>8.8999999999999996E-2</v>
      </c>
      <c r="E100" s="775"/>
      <c r="F100" s="774"/>
    </row>
    <row r="101" spans="1:6" ht="15" thickBot="1">
      <c r="A101" s="684" t="s">
        <v>479</v>
      </c>
      <c r="B101" s="678" t="s">
        <v>386</v>
      </c>
      <c r="C101" s="769">
        <v>9.8000000000000004E-2</v>
      </c>
      <c r="D101" s="769">
        <v>9.7000000000000003E-2</v>
      </c>
      <c r="E101" s="775"/>
      <c r="F101" s="774"/>
    </row>
    <row r="102" spans="1:6" ht="24.6" thickBot="1">
      <c r="A102" s="684" t="s">
        <v>479</v>
      </c>
      <c r="B102" s="678" t="s">
        <v>616</v>
      </c>
      <c r="C102" s="775"/>
      <c r="D102" s="775"/>
      <c r="E102" s="775"/>
      <c r="F102" s="770">
        <v>0.05</v>
      </c>
    </row>
    <row r="103" spans="1:6" ht="24.6" thickBot="1">
      <c r="A103" s="684" t="s">
        <v>479</v>
      </c>
      <c r="B103" s="678" t="s">
        <v>617</v>
      </c>
      <c r="C103" s="775"/>
      <c r="D103" s="775"/>
      <c r="E103" s="775"/>
      <c r="F103" s="770">
        <v>0.05</v>
      </c>
    </row>
    <row r="104" spans="1:6" ht="15" thickBot="1">
      <c r="A104" s="684" t="s">
        <v>479</v>
      </c>
      <c r="B104" s="678" t="s">
        <v>618</v>
      </c>
      <c r="C104" s="775"/>
      <c r="D104" s="775"/>
      <c r="E104" s="775"/>
      <c r="F104" s="770">
        <v>0.05</v>
      </c>
    </row>
    <row r="105" spans="1:6" ht="24.6" thickBot="1">
      <c r="A105" s="684" t="s">
        <v>479</v>
      </c>
      <c r="B105" s="678" t="s">
        <v>619</v>
      </c>
      <c r="C105" s="775"/>
      <c r="D105" s="775"/>
      <c r="E105" s="775"/>
      <c r="F105" s="770">
        <v>0.05</v>
      </c>
    </row>
    <row r="106" spans="1:6" ht="24.6" thickBot="1">
      <c r="A106" s="684" t="s">
        <v>479</v>
      </c>
      <c r="B106" s="678" t="s">
        <v>620</v>
      </c>
      <c r="C106" s="775"/>
      <c r="D106" s="775"/>
      <c r="E106" s="775"/>
      <c r="F106" s="770">
        <v>0.05</v>
      </c>
    </row>
    <row r="107" spans="1:6" ht="24.6" thickBot="1">
      <c r="A107" s="684" t="s">
        <v>479</v>
      </c>
      <c r="B107" s="678" t="s">
        <v>621</v>
      </c>
      <c r="C107" s="775"/>
      <c r="D107" s="775"/>
      <c r="E107" s="775"/>
      <c r="F107" s="770">
        <v>0.05</v>
      </c>
    </row>
    <row r="108" spans="1:6" ht="24.6" thickBot="1">
      <c r="A108" s="684" t="s">
        <v>479</v>
      </c>
      <c r="B108" s="678" t="s">
        <v>622</v>
      </c>
      <c r="C108" s="775"/>
      <c r="D108" s="775"/>
      <c r="E108" s="775"/>
      <c r="F108" s="770">
        <v>0.05</v>
      </c>
    </row>
    <row r="109" spans="1:6" ht="24.6" thickBot="1">
      <c r="A109" s="701" t="s">
        <v>479</v>
      </c>
      <c r="B109" s="694" t="s">
        <v>623</v>
      </c>
      <c r="C109" s="772"/>
      <c r="D109" s="772"/>
      <c r="E109" s="772"/>
      <c r="F109" s="776">
        <v>0.05</v>
      </c>
    </row>
    <row r="110" spans="1:6" ht="15" thickBot="1">
      <c r="A110" s="684" t="s">
        <v>70</v>
      </c>
      <c r="B110" s="685" t="s">
        <v>624</v>
      </c>
      <c r="C110" s="767">
        <v>0.129</v>
      </c>
      <c r="D110" s="767">
        <v>0.129</v>
      </c>
      <c r="E110" s="767">
        <v>0.126</v>
      </c>
      <c r="F110" s="768">
        <v>0.13</v>
      </c>
    </row>
    <row r="111" spans="1:6" ht="15" thickBot="1">
      <c r="A111" s="684" t="s">
        <v>70</v>
      </c>
      <c r="B111" s="678" t="s">
        <v>140</v>
      </c>
      <c r="C111" s="769">
        <v>0.11</v>
      </c>
      <c r="D111" s="769">
        <v>0.11</v>
      </c>
      <c r="E111" s="769">
        <v>9.9000000000000005E-2</v>
      </c>
      <c r="F111" s="770">
        <v>0.128</v>
      </c>
    </row>
    <row r="112" spans="1:6" ht="15" thickBot="1">
      <c r="A112" s="684" t="s">
        <v>70</v>
      </c>
      <c r="B112" s="678" t="s">
        <v>153</v>
      </c>
      <c r="C112" s="769">
        <v>0.125</v>
      </c>
      <c r="D112" s="769">
        <v>0.125</v>
      </c>
      <c r="E112" s="769">
        <v>0.12</v>
      </c>
      <c r="F112" s="770">
        <v>0.125</v>
      </c>
    </row>
    <row r="113" spans="1:6" ht="15" thickBot="1">
      <c r="A113" s="684" t="s">
        <v>70</v>
      </c>
      <c r="B113" s="678" t="s">
        <v>166</v>
      </c>
      <c r="C113" s="769">
        <v>0.13</v>
      </c>
      <c r="D113" s="769">
        <v>0.13</v>
      </c>
      <c r="E113" s="769">
        <v>0.13</v>
      </c>
      <c r="F113" s="770">
        <v>0.13</v>
      </c>
    </row>
    <row r="114" spans="1:6" ht="15" thickBot="1">
      <c r="A114" s="684" t="s">
        <v>70</v>
      </c>
      <c r="B114" s="678" t="s">
        <v>178</v>
      </c>
      <c r="C114" s="769">
        <v>0.123</v>
      </c>
      <c r="D114" s="769">
        <v>0.123</v>
      </c>
      <c r="E114" s="769">
        <v>0.12</v>
      </c>
      <c r="F114" s="770">
        <v>0.13</v>
      </c>
    </row>
    <row r="115" spans="1:6" ht="15" thickBot="1">
      <c r="A115" s="684" t="s">
        <v>70</v>
      </c>
      <c r="B115" s="678" t="s">
        <v>190</v>
      </c>
      <c r="C115" s="769">
        <v>0.125</v>
      </c>
      <c r="D115" s="769">
        <v>0.125</v>
      </c>
      <c r="E115" s="769">
        <v>0.11700000000000001</v>
      </c>
      <c r="F115" s="770">
        <v>0.13</v>
      </c>
    </row>
    <row r="116" spans="1:6" ht="15" thickBot="1">
      <c r="A116" s="684" t="s">
        <v>70</v>
      </c>
      <c r="B116" s="678" t="s">
        <v>202</v>
      </c>
      <c r="C116" s="769">
        <v>0.11700000000000001</v>
      </c>
      <c r="D116" s="769">
        <v>0.11700000000000001</v>
      </c>
      <c r="E116" s="769">
        <v>8.7999999999999995E-2</v>
      </c>
      <c r="F116" s="770">
        <v>0.13</v>
      </c>
    </row>
    <row r="117" spans="1:6" ht="15" thickBot="1">
      <c r="A117" s="684" t="s">
        <v>70</v>
      </c>
      <c r="B117" s="678" t="s">
        <v>214</v>
      </c>
      <c r="C117" s="769">
        <v>0.13</v>
      </c>
      <c r="D117" s="769">
        <v>0.13</v>
      </c>
      <c r="E117" s="769">
        <v>0.129</v>
      </c>
      <c r="F117" s="770">
        <v>0.13</v>
      </c>
    </row>
    <row r="118" spans="1:6" ht="15" thickBot="1">
      <c r="A118" s="684" t="s">
        <v>70</v>
      </c>
      <c r="B118" s="678" t="s">
        <v>227</v>
      </c>
      <c r="C118" s="769">
        <v>0.123</v>
      </c>
      <c r="D118" s="769">
        <v>0.123</v>
      </c>
      <c r="E118" s="769">
        <v>0.11600000000000001</v>
      </c>
      <c r="F118" s="770">
        <v>0.13</v>
      </c>
    </row>
    <row r="119" spans="1:6" ht="15" thickBot="1">
      <c r="A119" s="684" t="s">
        <v>70</v>
      </c>
      <c r="B119" s="678" t="s">
        <v>238</v>
      </c>
      <c r="C119" s="769">
        <v>0.127</v>
      </c>
      <c r="D119" s="769">
        <v>0.127</v>
      </c>
      <c r="E119" s="769">
        <v>0.124</v>
      </c>
      <c r="F119" s="770">
        <v>0.13</v>
      </c>
    </row>
    <row r="120" spans="1:6" ht="15" thickBot="1">
      <c r="A120" s="684" t="s">
        <v>70</v>
      </c>
      <c r="B120" s="678" t="s">
        <v>249</v>
      </c>
      <c r="C120" s="769">
        <v>0.125</v>
      </c>
      <c r="D120" s="769">
        <v>0.125</v>
      </c>
      <c r="E120" s="769">
        <v>0.122</v>
      </c>
      <c r="F120" s="770">
        <v>0.13</v>
      </c>
    </row>
    <row r="121" spans="1:6" ht="15" thickBot="1">
      <c r="A121" s="684" t="s">
        <v>70</v>
      </c>
      <c r="B121" s="678" t="s">
        <v>260</v>
      </c>
      <c r="C121" s="769">
        <v>0.13</v>
      </c>
      <c r="D121" s="769">
        <v>0.13</v>
      </c>
      <c r="E121" s="769">
        <v>0.13</v>
      </c>
      <c r="F121" s="770">
        <v>0.13</v>
      </c>
    </row>
    <row r="122" spans="1:6" ht="15" thickBot="1">
      <c r="A122" s="684" t="s">
        <v>70</v>
      </c>
      <c r="B122" s="678" t="s">
        <v>271</v>
      </c>
      <c r="C122" s="769">
        <v>0.13</v>
      </c>
      <c r="D122" s="769">
        <v>0.13</v>
      </c>
      <c r="E122" s="769">
        <v>0.125</v>
      </c>
      <c r="F122" s="770">
        <v>0.13</v>
      </c>
    </row>
    <row r="123" spans="1:6" ht="15" thickBot="1">
      <c r="A123" s="684" t="s">
        <v>70</v>
      </c>
      <c r="B123" s="678" t="s">
        <v>282</v>
      </c>
      <c r="C123" s="769">
        <v>0.129</v>
      </c>
      <c r="D123" s="769">
        <v>0.129</v>
      </c>
      <c r="E123" s="769">
        <v>0.123</v>
      </c>
      <c r="F123" s="770">
        <v>0.13</v>
      </c>
    </row>
    <row r="124" spans="1:6" ht="15" thickBot="1">
      <c r="A124" s="684" t="s">
        <v>70</v>
      </c>
      <c r="B124" s="678" t="s">
        <v>293</v>
      </c>
      <c r="C124" s="769">
        <v>0.10199999999999999</v>
      </c>
      <c r="D124" s="769">
        <v>0.10100000000000001</v>
      </c>
      <c r="E124" s="769">
        <v>0.08</v>
      </c>
      <c r="F124" s="774"/>
    </row>
    <row r="125" spans="1:6" ht="15" thickBot="1">
      <c r="A125" s="684" t="s">
        <v>70</v>
      </c>
      <c r="B125" s="678" t="s">
        <v>303</v>
      </c>
      <c r="C125" s="769">
        <v>0.13</v>
      </c>
      <c r="D125" s="769">
        <v>0.13</v>
      </c>
      <c r="E125" s="769">
        <v>0.129</v>
      </c>
      <c r="F125" s="774"/>
    </row>
    <row r="126" spans="1:6" ht="15" thickBot="1">
      <c r="A126" s="684" t="s">
        <v>70</v>
      </c>
      <c r="B126" s="678" t="s">
        <v>313</v>
      </c>
      <c r="C126" s="769">
        <v>0.13</v>
      </c>
      <c r="D126" s="769">
        <v>0.13</v>
      </c>
      <c r="E126" s="769">
        <v>0.126</v>
      </c>
      <c r="F126" s="774"/>
    </row>
    <row r="127" spans="1:6" ht="15" thickBot="1">
      <c r="A127" s="684" t="s">
        <v>70</v>
      </c>
      <c r="B127" s="678" t="s">
        <v>323</v>
      </c>
      <c r="C127" s="769">
        <v>0.125</v>
      </c>
      <c r="D127" s="769">
        <v>0.125</v>
      </c>
      <c r="E127" s="769">
        <v>0.121</v>
      </c>
      <c r="F127" s="774"/>
    </row>
    <row r="128" spans="1:6" ht="15" thickBot="1">
      <c r="A128" s="684" t="s">
        <v>70</v>
      </c>
      <c r="B128" s="678" t="s">
        <v>333</v>
      </c>
      <c r="C128" s="769">
        <v>0.12</v>
      </c>
      <c r="D128" s="769">
        <v>0.12</v>
      </c>
      <c r="E128" s="769">
        <v>0.105</v>
      </c>
      <c r="F128" s="774"/>
    </row>
    <row r="129" spans="1:6" ht="15" thickBot="1">
      <c r="A129" s="684" t="s">
        <v>70</v>
      </c>
      <c r="B129" s="678" t="s">
        <v>342</v>
      </c>
      <c r="C129" s="769">
        <v>0.13</v>
      </c>
      <c r="D129" s="769">
        <v>0.13</v>
      </c>
      <c r="E129" s="769">
        <v>0.126</v>
      </c>
      <c r="F129" s="774"/>
    </row>
    <row r="130" spans="1:6" ht="15" thickBot="1">
      <c r="A130" s="684" t="s">
        <v>70</v>
      </c>
      <c r="B130" s="678" t="s">
        <v>351</v>
      </c>
      <c r="C130" s="769">
        <v>0.125</v>
      </c>
      <c r="D130" s="769">
        <v>0.125</v>
      </c>
      <c r="E130" s="769">
        <v>0.122</v>
      </c>
      <c r="F130" s="774"/>
    </row>
    <row r="131" spans="1:6" ht="15" thickBot="1">
      <c r="A131" s="684" t="s">
        <v>70</v>
      </c>
      <c r="B131" s="678" t="s">
        <v>359</v>
      </c>
      <c r="C131" s="769">
        <v>0.127</v>
      </c>
      <c r="D131" s="769">
        <v>0.126</v>
      </c>
      <c r="E131" s="769">
        <v>0.123</v>
      </c>
      <c r="F131" s="774"/>
    </row>
    <row r="132" spans="1:6" ht="15" thickBot="1">
      <c r="A132" s="684" t="s">
        <v>70</v>
      </c>
      <c r="B132" s="678" t="s">
        <v>366</v>
      </c>
      <c r="C132" s="769">
        <v>9.0999999999999998E-2</v>
      </c>
      <c r="D132" s="769">
        <v>0.121</v>
      </c>
      <c r="E132" s="769">
        <v>9.9000000000000005E-2</v>
      </c>
      <c r="F132" s="774"/>
    </row>
    <row r="133" spans="1:6" ht="15" thickBot="1">
      <c r="A133" s="684" t="s">
        <v>70</v>
      </c>
      <c r="B133" s="678" t="s">
        <v>373</v>
      </c>
      <c r="C133" s="769">
        <v>0.13</v>
      </c>
      <c r="D133" s="769">
        <v>0.13</v>
      </c>
      <c r="E133" s="769">
        <v>0.129</v>
      </c>
      <c r="F133" s="774"/>
    </row>
    <row r="134" spans="1:6" ht="15" thickBot="1">
      <c r="A134" s="684" t="s">
        <v>70</v>
      </c>
      <c r="B134" s="678" t="s">
        <v>625</v>
      </c>
      <c r="C134" s="769">
        <v>6.8000000000000005E-2</v>
      </c>
      <c r="D134" s="769">
        <v>6.5000000000000002E-2</v>
      </c>
      <c r="E134" s="769">
        <v>6.5000000000000002E-2</v>
      </c>
      <c r="F134" s="770">
        <v>0.13</v>
      </c>
    </row>
    <row r="135" spans="1:6" ht="15" thickBot="1">
      <c r="A135" s="684" t="s">
        <v>70</v>
      </c>
      <c r="B135" s="678" t="s">
        <v>387</v>
      </c>
      <c r="C135" s="769">
        <v>0.123</v>
      </c>
      <c r="D135" s="769">
        <v>0.123</v>
      </c>
      <c r="E135" s="769">
        <v>0.11</v>
      </c>
      <c r="F135" s="774"/>
    </row>
    <row r="136" spans="1:6" ht="15" thickBot="1">
      <c r="A136" s="684" t="s">
        <v>70</v>
      </c>
      <c r="B136" s="678" t="s">
        <v>394</v>
      </c>
      <c r="C136" s="769">
        <v>0.13</v>
      </c>
      <c r="D136" s="769">
        <v>0.13</v>
      </c>
      <c r="E136" s="769">
        <v>0.125</v>
      </c>
      <c r="F136" s="774"/>
    </row>
    <row r="137" spans="1:6" ht="15" thickBot="1">
      <c r="A137" s="684" t="s">
        <v>70</v>
      </c>
      <c r="B137" s="678" t="s">
        <v>401</v>
      </c>
      <c r="C137" s="769">
        <v>0.121</v>
      </c>
      <c r="D137" s="769">
        <v>0.122</v>
      </c>
      <c r="E137" s="769">
        <v>0.115</v>
      </c>
      <c r="F137" s="774"/>
    </row>
    <row r="138" spans="1:6" ht="15" thickBot="1">
      <c r="A138" s="684" t="s">
        <v>70</v>
      </c>
      <c r="B138" s="678" t="s">
        <v>626</v>
      </c>
      <c r="C138" s="769">
        <v>0.105</v>
      </c>
      <c r="D138" s="769">
        <v>0.125</v>
      </c>
      <c r="E138" s="769">
        <v>0.112</v>
      </c>
      <c r="F138" s="774"/>
    </row>
    <row r="139" spans="1:6" ht="15" thickBot="1">
      <c r="A139" s="684" t="s">
        <v>70</v>
      </c>
      <c r="B139" s="678" t="s">
        <v>627</v>
      </c>
      <c r="C139" s="769">
        <v>0.127</v>
      </c>
      <c r="D139" s="769">
        <v>0.127</v>
      </c>
      <c r="E139" s="769">
        <v>0.122</v>
      </c>
      <c r="F139" s="770">
        <v>0.13</v>
      </c>
    </row>
    <row r="140" spans="1:6" ht="15" thickBot="1">
      <c r="A140" s="684" t="s">
        <v>70</v>
      </c>
      <c r="B140" s="678" t="s">
        <v>628</v>
      </c>
      <c r="C140" s="769">
        <v>0.125</v>
      </c>
      <c r="D140" s="769">
        <v>0.125</v>
      </c>
      <c r="E140" s="769">
        <v>0.11899999999999999</v>
      </c>
      <c r="F140" s="770">
        <v>0.13</v>
      </c>
    </row>
    <row r="141" spans="1:6" ht="15" thickBot="1">
      <c r="A141" s="684" t="s">
        <v>70</v>
      </c>
      <c r="B141" s="678" t="s">
        <v>420</v>
      </c>
      <c r="C141" s="769">
        <v>0.125</v>
      </c>
      <c r="D141" s="769">
        <v>0.125</v>
      </c>
      <c r="E141" s="769">
        <v>0.11700000000000001</v>
      </c>
      <c r="F141" s="774"/>
    </row>
    <row r="142" spans="1:6" ht="15" thickBot="1">
      <c r="A142" s="684" t="s">
        <v>70</v>
      </c>
      <c r="B142" s="678" t="s">
        <v>425</v>
      </c>
      <c r="C142" s="769">
        <v>0.125</v>
      </c>
      <c r="D142" s="769">
        <v>0.125</v>
      </c>
      <c r="E142" s="769">
        <v>0.115</v>
      </c>
      <c r="F142" s="774"/>
    </row>
    <row r="143" spans="1:6" ht="15" thickBot="1">
      <c r="A143" s="684" t="s">
        <v>70</v>
      </c>
      <c r="B143" s="678" t="s">
        <v>430</v>
      </c>
      <c r="C143" s="769">
        <v>0.121</v>
      </c>
      <c r="D143" s="769">
        <v>0.121</v>
      </c>
      <c r="E143" s="769">
        <v>0.108</v>
      </c>
      <c r="F143" s="774"/>
    </row>
    <row r="144" spans="1:6" ht="15" thickBot="1">
      <c r="A144" s="684" t="s">
        <v>70</v>
      </c>
      <c r="B144" s="777" t="s">
        <v>629</v>
      </c>
      <c r="C144" s="778">
        <v>0.126</v>
      </c>
      <c r="D144" s="778">
        <v>0.126</v>
      </c>
      <c r="E144" s="778">
        <v>0.121</v>
      </c>
      <c r="F144" s="774"/>
    </row>
    <row r="145" spans="1:6" ht="15" thickBot="1">
      <c r="A145" s="701" t="s">
        <v>70</v>
      </c>
      <c r="B145" s="779" t="s">
        <v>630</v>
      </c>
      <c r="C145" s="780"/>
      <c r="D145" s="780"/>
      <c r="E145" s="780"/>
      <c r="F145" s="781">
        <v>0.05</v>
      </c>
    </row>
    <row r="146" spans="1:6" ht="24.6" thickBot="1">
      <c r="A146" s="782" t="s">
        <v>70</v>
      </c>
      <c r="B146" s="692" t="s">
        <v>631</v>
      </c>
      <c r="C146" s="775"/>
      <c r="D146" s="775"/>
      <c r="E146" s="775"/>
      <c r="F146" s="783">
        <v>0.05</v>
      </c>
    </row>
    <row r="147" spans="1:6" ht="24.6" thickBot="1">
      <c r="A147" s="684" t="s">
        <v>70</v>
      </c>
      <c r="B147" s="678" t="s">
        <v>632</v>
      </c>
      <c r="C147" s="775"/>
      <c r="D147" s="775"/>
      <c r="E147" s="775"/>
      <c r="F147" s="770">
        <v>0.05</v>
      </c>
    </row>
    <row r="148" spans="1:6" ht="24.6" thickBot="1">
      <c r="A148" s="684" t="s">
        <v>70</v>
      </c>
      <c r="B148" s="678" t="s">
        <v>633</v>
      </c>
      <c r="C148" s="775"/>
      <c r="D148" s="775"/>
      <c r="E148" s="775"/>
      <c r="F148" s="770">
        <v>0.05</v>
      </c>
    </row>
    <row r="149" spans="1:6" ht="24.6" thickBot="1">
      <c r="A149" s="684" t="s">
        <v>70</v>
      </c>
      <c r="B149" s="678" t="s">
        <v>634</v>
      </c>
      <c r="C149" s="775"/>
      <c r="D149" s="775"/>
      <c r="E149" s="775"/>
      <c r="F149" s="770">
        <v>0.05</v>
      </c>
    </row>
    <row r="150" spans="1:6" ht="24.6" thickBot="1">
      <c r="A150" s="684" t="s">
        <v>70</v>
      </c>
      <c r="B150" s="678" t="s">
        <v>635</v>
      </c>
      <c r="C150" s="775"/>
      <c r="D150" s="775"/>
      <c r="E150" s="775"/>
      <c r="F150" s="770">
        <v>0.05</v>
      </c>
    </row>
    <row r="151" spans="1:6" ht="24.6" thickBot="1">
      <c r="A151" s="684" t="s">
        <v>70</v>
      </c>
      <c r="B151" s="678" t="s">
        <v>636</v>
      </c>
      <c r="C151" s="775"/>
      <c r="D151" s="775"/>
      <c r="E151" s="775"/>
      <c r="F151" s="770">
        <v>0.05</v>
      </c>
    </row>
    <row r="152" spans="1:6" ht="24.6" thickBot="1">
      <c r="A152" s="684" t="s">
        <v>70</v>
      </c>
      <c r="B152" s="678" t="s">
        <v>463</v>
      </c>
      <c r="C152" s="775"/>
      <c r="D152" s="775"/>
      <c r="E152" s="775"/>
      <c r="F152" s="770">
        <v>0.05</v>
      </c>
    </row>
    <row r="153" spans="1:6" ht="15" thickBot="1">
      <c r="A153" s="684" t="s">
        <v>70</v>
      </c>
      <c r="B153" s="678" t="s">
        <v>637</v>
      </c>
      <c r="C153" s="775"/>
      <c r="D153" s="775"/>
      <c r="E153" s="775"/>
      <c r="F153" s="770">
        <v>0.05</v>
      </c>
    </row>
    <row r="154" spans="1:6" ht="15" thickBot="1">
      <c r="A154" s="684" t="s">
        <v>70</v>
      </c>
      <c r="B154" s="678" t="s">
        <v>638</v>
      </c>
      <c r="C154" s="775"/>
      <c r="D154" s="775"/>
      <c r="E154" s="775"/>
      <c r="F154" s="770">
        <v>0.05</v>
      </c>
    </row>
    <row r="155" spans="1:6" ht="24.6" thickBot="1">
      <c r="A155" s="684" t="s">
        <v>70</v>
      </c>
      <c r="B155" s="678" t="s">
        <v>639</v>
      </c>
      <c r="C155" s="775"/>
      <c r="D155" s="775"/>
      <c r="E155" s="775"/>
      <c r="F155" s="770">
        <v>0.05</v>
      </c>
    </row>
    <row r="156" spans="1:6" ht="24.6" thickBot="1">
      <c r="A156" s="684" t="s">
        <v>70</v>
      </c>
      <c r="B156" s="678" t="s">
        <v>640</v>
      </c>
      <c r="C156" s="775"/>
      <c r="D156" s="775"/>
      <c r="E156" s="775"/>
      <c r="F156" s="770">
        <v>0.05</v>
      </c>
    </row>
    <row r="157" spans="1:6" ht="24.6" thickBot="1">
      <c r="A157" s="701" t="s">
        <v>70</v>
      </c>
      <c r="B157" s="694" t="s">
        <v>641</v>
      </c>
      <c r="C157" s="772"/>
      <c r="D157" s="772"/>
      <c r="E157" s="772"/>
      <c r="F157" s="776">
        <v>0.05</v>
      </c>
    </row>
    <row r="158" spans="1:6" ht="15" thickBot="1">
      <c r="A158" s="684" t="s">
        <v>482</v>
      </c>
      <c r="B158" s="685" t="s">
        <v>642</v>
      </c>
      <c r="C158" s="767">
        <v>0.13</v>
      </c>
      <c r="D158" s="767">
        <v>0.13</v>
      </c>
      <c r="E158" s="767">
        <v>0.13</v>
      </c>
      <c r="F158" s="768">
        <v>0.13</v>
      </c>
    </row>
    <row r="159" spans="1:6" ht="15" thickBot="1">
      <c r="A159" s="684" t="s">
        <v>482</v>
      </c>
      <c r="B159" s="678" t="s">
        <v>141</v>
      </c>
      <c r="C159" s="769">
        <v>0.13</v>
      </c>
      <c r="D159" s="769">
        <v>0.13</v>
      </c>
      <c r="E159" s="769">
        <v>0.13</v>
      </c>
      <c r="F159" s="770">
        <v>0.13</v>
      </c>
    </row>
    <row r="160" spans="1:6" ht="15" thickBot="1">
      <c r="A160" s="684" t="s">
        <v>482</v>
      </c>
      <c r="B160" s="678" t="s">
        <v>154</v>
      </c>
      <c r="C160" s="769">
        <v>0.13</v>
      </c>
      <c r="D160" s="769">
        <v>0.13</v>
      </c>
      <c r="E160" s="769">
        <v>0.129</v>
      </c>
      <c r="F160" s="770">
        <v>0.13</v>
      </c>
    </row>
    <row r="161" spans="1:6" ht="15" thickBot="1">
      <c r="A161" s="684" t="s">
        <v>482</v>
      </c>
      <c r="B161" s="678" t="s">
        <v>167</v>
      </c>
      <c r="C161" s="769">
        <v>0.128</v>
      </c>
      <c r="D161" s="769">
        <v>0.128</v>
      </c>
      <c r="E161" s="769">
        <v>0.125</v>
      </c>
      <c r="F161" s="770">
        <v>0.13</v>
      </c>
    </row>
    <row r="162" spans="1:6" ht="15" thickBot="1">
      <c r="A162" s="684" t="s">
        <v>482</v>
      </c>
      <c r="B162" s="678" t="s">
        <v>179</v>
      </c>
      <c r="C162" s="769">
        <v>0.122</v>
      </c>
      <c r="D162" s="769">
        <v>0.122</v>
      </c>
      <c r="E162" s="769">
        <v>0.126</v>
      </c>
      <c r="F162" s="770">
        <v>0.122</v>
      </c>
    </row>
    <row r="163" spans="1:6" ht="15" thickBot="1">
      <c r="A163" s="684" t="s">
        <v>482</v>
      </c>
      <c r="B163" s="678" t="s">
        <v>191</v>
      </c>
      <c r="C163" s="769">
        <v>0.13</v>
      </c>
      <c r="D163" s="769">
        <v>0.13</v>
      </c>
      <c r="E163" s="769">
        <v>0.125</v>
      </c>
      <c r="F163" s="770">
        <v>0.13</v>
      </c>
    </row>
    <row r="164" spans="1:6" ht="15" thickBot="1">
      <c r="A164" s="684" t="s">
        <v>482</v>
      </c>
      <c r="B164" s="678" t="s">
        <v>203</v>
      </c>
      <c r="C164" s="769">
        <v>0.13</v>
      </c>
      <c r="D164" s="769">
        <v>0.13</v>
      </c>
      <c r="E164" s="769">
        <v>0.13</v>
      </c>
      <c r="F164" s="770">
        <v>0.13</v>
      </c>
    </row>
    <row r="165" spans="1:6" ht="15" thickBot="1">
      <c r="A165" s="684" t="s">
        <v>482</v>
      </c>
      <c r="B165" s="678" t="s">
        <v>215</v>
      </c>
      <c r="C165" s="769">
        <v>0.13</v>
      </c>
      <c r="D165" s="769">
        <v>0.13</v>
      </c>
      <c r="E165" s="769">
        <v>0.124</v>
      </c>
      <c r="F165" s="770">
        <v>0.13</v>
      </c>
    </row>
    <row r="166" spans="1:6" ht="15" thickBot="1">
      <c r="A166" s="684" t="s">
        <v>482</v>
      </c>
      <c r="B166" s="678" t="s">
        <v>228</v>
      </c>
      <c r="C166" s="769">
        <v>0.13</v>
      </c>
      <c r="D166" s="769">
        <v>0.13</v>
      </c>
      <c r="E166" s="769">
        <v>0.13</v>
      </c>
      <c r="F166" s="770">
        <v>0.13</v>
      </c>
    </row>
    <row r="167" spans="1:6" ht="15" thickBot="1">
      <c r="A167" s="684" t="s">
        <v>482</v>
      </c>
      <c r="B167" s="678" t="s">
        <v>239</v>
      </c>
      <c r="C167" s="769">
        <v>0.125</v>
      </c>
      <c r="D167" s="769">
        <v>0.125</v>
      </c>
      <c r="E167" s="769">
        <v>0.121</v>
      </c>
      <c r="F167" s="774"/>
    </row>
    <row r="168" spans="1:6" ht="15" thickBot="1">
      <c r="A168" s="684" t="s">
        <v>482</v>
      </c>
      <c r="B168" s="678" t="s">
        <v>250</v>
      </c>
      <c r="C168" s="769">
        <v>0.13</v>
      </c>
      <c r="D168" s="769">
        <v>0.13</v>
      </c>
      <c r="E168" s="769">
        <v>0.126</v>
      </c>
      <c r="F168" s="774"/>
    </row>
    <row r="169" spans="1:6" ht="15" thickBot="1">
      <c r="A169" s="684" t="s">
        <v>482</v>
      </c>
      <c r="B169" s="678" t="s">
        <v>261</v>
      </c>
      <c r="C169" s="769">
        <v>0.128</v>
      </c>
      <c r="D169" s="769">
        <v>0.129</v>
      </c>
      <c r="E169" s="769">
        <v>0.13</v>
      </c>
      <c r="F169" s="774"/>
    </row>
    <row r="170" spans="1:6" ht="15" thickBot="1">
      <c r="A170" s="684" t="s">
        <v>482</v>
      </c>
      <c r="B170" s="678" t="s">
        <v>272</v>
      </c>
      <c r="C170" s="769">
        <v>0.14099999999999999</v>
      </c>
      <c r="D170" s="769">
        <v>0.13</v>
      </c>
      <c r="E170" s="769">
        <v>0.125</v>
      </c>
      <c r="F170" s="774"/>
    </row>
    <row r="171" spans="1:6" ht="15" thickBot="1">
      <c r="A171" s="684" t="s">
        <v>482</v>
      </c>
      <c r="B171" s="678" t="s">
        <v>643</v>
      </c>
      <c r="C171" s="769">
        <v>0.127</v>
      </c>
      <c r="D171" s="769">
        <v>0.126</v>
      </c>
      <c r="E171" s="769">
        <v>0.126</v>
      </c>
      <c r="F171" s="770">
        <v>0.11799999999999999</v>
      </c>
    </row>
    <row r="172" spans="1:6" ht="15" thickBot="1">
      <c r="A172" s="684" t="s">
        <v>482</v>
      </c>
      <c r="B172" s="678" t="s">
        <v>644</v>
      </c>
      <c r="C172" s="769">
        <v>0.13</v>
      </c>
      <c r="D172" s="769">
        <v>0.13</v>
      </c>
      <c r="E172" s="769">
        <v>0.13</v>
      </c>
      <c r="F172" s="774"/>
    </row>
    <row r="173" spans="1:6" ht="15" thickBot="1">
      <c r="A173" s="684" t="s">
        <v>482</v>
      </c>
      <c r="B173" s="678" t="s">
        <v>304</v>
      </c>
      <c r="C173" s="769">
        <v>0.13</v>
      </c>
      <c r="D173" s="769">
        <v>0.13</v>
      </c>
      <c r="E173" s="769">
        <v>0.13</v>
      </c>
      <c r="F173" s="774"/>
    </row>
    <row r="174" spans="1:6" ht="15" thickBot="1">
      <c r="A174" s="684" t="s">
        <v>482</v>
      </c>
      <c r="B174" s="678" t="s">
        <v>645</v>
      </c>
      <c r="C174" s="769">
        <v>0.13</v>
      </c>
      <c r="D174" s="769">
        <v>0.13</v>
      </c>
      <c r="E174" s="769">
        <v>0.13</v>
      </c>
      <c r="F174" s="770">
        <v>0.13</v>
      </c>
    </row>
    <row r="175" spans="1:6" ht="15" thickBot="1">
      <c r="A175" s="684" t="s">
        <v>482</v>
      </c>
      <c r="B175" s="678" t="s">
        <v>646</v>
      </c>
      <c r="C175" s="769">
        <v>0.13</v>
      </c>
      <c r="D175" s="769">
        <v>0.13</v>
      </c>
      <c r="E175" s="769">
        <v>0.13</v>
      </c>
      <c r="F175" s="770">
        <v>0.13</v>
      </c>
    </row>
    <row r="176" spans="1:6" ht="15" thickBot="1">
      <c r="A176" s="684" t="s">
        <v>482</v>
      </c>
      <c r="B176" s="678" t="s">
        <v>334</v>
      </c>
      <c r="C176" s="769">
        <v>0.13</v>
      </c>
      <c r="D176" s="769">
        <v>0.13</v>
      </c>
      <c r="E176" s="769">
        <v>0.13</v>
      </c>
      <c r="F176" s="770">
        <v>0.13</v>
      </c>
    </row>
    <row r="177" spans="1:6" ht="15" thickBot="1">
      <c r="A177" s="684" t="s">
        <v>482</v>
      </c>
      <c r="B177" s="678" t="s">
        <v>647</v>
      </c>
      <c r="C177" s="769">
        <v>0.13</v>
      </c>
      <c r="D177" s="769">
        <v>0.13</v>
      </c>
      <c r="E177" s="769">
        <v>0.13</v>
      </c>
      <c r="F177" s="770">
        <v>0.13</v>
      </c>
    </row>
    <row r="178" spans="1:6" ht="15" thickBot="1">
      <c r="A178" s="684" t="s">
        <v>482</v>
      </c>
      <c r="B178" s="678" t="s">
        <v>352</v>
      </c>
      <c r="C178" s="769">
        <v>0.13</v>
      </c>
      <c r="D178" s="769">
        <v>0.13</v>
      </c>
      <c r="E178" s="769">
        <v>0.13</v>
      </c>
      <c r="F178" s="770">
        <v>0.127</v>
      </c>
    </row>
    <row r="179" spans="1:6" ht="15" thickBot="1">
      <c r="A179" s="684" t="s">
        <v>482</v>
      </c>
      <c r="B179" s="678" t="s">
        <v>360</v>
      </c>
      <c r="C179" s="769">
        <v>0.13</v>
      </c>
      <c r="D179" s="769">
        <v>0.13</v>
      </c>
      <c r="E179" s="769">
        <v>0.13</v>
      </c>
      <c r="F179" s="774"/>
    </row>
    <row r="180" spans="1:6" ht="15" thickBot="1">
      <c r="A180" s="684" t="s">
        <v>482</v>
      </c>
      <c r="B180" s="678" t="s">
        <v>648</v>
      </c>
      <c r="C180" s="769">
        <v>0.13</v>
      </c>
      <c r="D180" s="769">
        <v>0.13</v>
      </c>
      <c r="E180" s="769">
        <v>0.125</v>
      </c>
      <c r="F180" s="770">
        <v>0.13</v>
      </c>
    </row>
    <row r="181" spans="1:6" ht="15" thickBot="1">
      <c r="A181" s="684" t="s">
        <v>482</v>
      </c>
      <c r="B181" s="678" t="s">
        <v>374</v>
      </c>
      <c r="C181" s="769">
        <v>0.122</v>
      </c>
      <c r="D181" s="769">
        <v>0.123</v>
      </c>
      <c r="E181" s="769">
        <v>0.126</v>
      </c>
      <c r="F181" s="770">
        <v>0.121</v>
      </c>
    </row>
    <row r="182" spans="1:6" ht="15" thickBot="1">
      <c r="A182" s="684" t="s">
        <v>482</v>
      </c>
      <c r="B182" s="678" t="s">
        <v>381</v>
      </c>
      <c r="C182" s="769">
        <v>0.125</v>
      </c>
      <c r="D182" s="769">
        <v>0.125</v>
      </c>
      <c r="E182" s="769">
        <v>0.11700000000000001</v>
      </c>
      <c r="F182" s="770">
        <v>0.13</v>
      </c>
    </row>
    <row r="183" spans="1:6" ht="15" thickBot="1">
      <c r="A183" s="684" t="s">
        <v>482</v>
      </c>
      <c r="B183" s="678" t="s">
        <v>388</v>
      </c>
      <c r="C183" s="769">
        <v>0.127</v>
      </c>
      <c r="D183" s="769">
        <v>0.127</v>
      </c>
      <c r="E183" s="769">
        <v>0.128</v>
      </c>
      <c r="F183" s="774"/>
    </row>
    <row r="184" spans="1:6" ht="15" thickBot="1">
      <c r="A184" s="684" t="s">
        <v>482</v>
      </c>
      <c r="B184" s="678" t="s">
        <v>395</v>
      </c>
      <c r="C184" s="769">
        <v>0.125</v>
      </c>
      <c r="D184" s="769">
        <v>0.125</v>
      </c>
      <c r="E184" s="769">
        <v>0.127</v>
      </c>
      <c r="F184" s="774"/>
    </row>
    <row r="185" spans="1:6" ht="15" thickBot="1">
      <c r="A185" s="684" t="s">
        <v>482</v>
      </c>
      <c r="B185" s="678" t="s">
        <v>649</v>
      </c>
      <c r="C185" s="769">
        <v>0.127</v>
      </c>
      <c r="D185" s="769">
        <v>0.127</v>
      </c>
      <c r="E185" s="769">
        <v>0.128</v>
      </c>
      <c r="F185" s="770">
        <v>0.13</v>
      </c>
    </row>
    <row r="186" spans="1:6" ht="24.6" thickBot="1">
      <c r="A186" s="684" t="s">
        <v>482</v>
      </c>
      <c r="B186" s="678" t="s">
        <v>650</v>
      </c>
      <c r="C186" s="775"/>
      <c r="D186" s="775"/>
      <c r="E186" s="775"/>
      <c r="F186" s="770">
        <v>0.05</v>
      </c>
    </row>
    <row r="187" spans="1:6" ht="15" thickBot="1">
      <c r="A187" s="684" t="s">
        <v>482</v>
      </c>
      <c r="B187" s="678" t="s">
        <v>651</v>
      </c>
      <c r="C187" s="775"/>
      <c r="D187" s="775"/>
      <c r="E187" s="775"/>
      <c r="F187" s="770">
        <v>0.05</v>
      </c>
    </row>
    <row r="188" spans="1:6" ht="24.6" thickBot="1">
      <c r="A188" s="684" t="s">
        <v>482</v>
      </c>
      <c r="B188" s="678" t="s">
        <v>652</v>
      </c>
      <c r="C188" s="775"/>
      <c r="D188" s="775"/>
      <c r="E188" s="775"/>
      <c r="F188" s="770">
        <v>0.05</v>
      </c>
    </row>
    <row r="189" spans="1:6" ht="24.6" thickBot="1">
      <c r="A189" s="684" t="s">
        <v>482</v>
      </c>
      <c r="B189" s="678" t="s">
        <v>653</v>
      </c>
      <c r="C189" s="775"/>
      <c r="D189" s="775"/>
      <c r="E189" s="775"/>
      <c r="F189" s="770">
        <v>0.05</v>
      </c>
    </row>
    <row r="190" spans="1:6" ht="24.6" thickBot="1">
      <c r="A190" s="684" t="s">
        <v>482</v>
      </c>
      <c r="B190" s="678" t="s">
        <v>654</v>
      </c>
      <c r="C190" s="775"/>
      <c r="D190" s="775"/>
      <c r="E190" s="775"/>
      <c r="F190" s="770">
        <v>0.05</v>
      </c>
    </row>
    <row r="191" spans="1:6" ht="24.6" thickBot="1">
      <c r="A191" s="684" t="s">
        <v>482</v>
      </c>
      <c r="B191" s="678" t="s">
        <v>655</v>
      </c>
      <c r="C191" s="775"/>
      <c r="D191" s="775"/>
      <c r="E191" s="775"/>
      <c r="F191" s="770">
        <v>0.05</v>
      </c>
    </row>
    <row r="192" spans="1:6" ht="24.6" thickBot="1">
      <c r="A192" s="684" t="s">
        <v>482</v>
      </c>
      <c r="B192" s="678" t="s">
        <v>656</v>
      </c>
      <c r="C192" s="775"/>
      <c r="D192" s="775"/>
      <c r="E192" s="775"/>
      <c r="F192" s="770">
        <v>0.05</v>
      </c>
    </row>
    <row r="193" spans="1:6" ht="24.6" thickBot="1">
      <c r="A193" s="684" t="s">
        <v>482</v>
      </c>
      <c r="B193" s="678" t="s">
        <v>657</v>
      </c>
      <c r="C193" s="775"/>
      <c r="D193" s="775"/>
      <c r="E193" s="775"/>
      <c r="F193" s="770">
        <v>0.05</v>
      </c>
    </row>
    <row r="194" spans="1:6" ht="24.6" thickBot="1">
      <c r="A194" s="684" t="s">
        <v>482</v>
      </c>
      <c r="B194" s="678" t="s">
        <v>658</v>
      </c>
      <c r="C194" s="775"/>
      <c r="D194" s="775"/>
      <c r="E194" s="775"/>
      <c r="F194" s="770">
        <v>0.05</v>
      </c>
    </row>
    <row r="195" spans="1:6" ht="15" thickBot="1">
      <c r="A195" s="684" t="s">
        <v>482</v>
      </c>
      <c r="B195" s="678" t="s">
        <v>659</v>
      </c>
      <c r="C195" s="775"/>
      <c r="D195" s="775"/>
      <c r="E195" s="775"/>
      <c r="F195" s="770">
        <v>0.05</v>
      </c>
    </row>
    <row r="196" spans="1:6" ht="24.6" thickBot="1">
      <c r="A196" s="684" t="s">
        <v>482</v>
      </c>
      <c r="B196" s="678" t="s">
        <v>660</v>
      </c>
      <c r="C196" s="775"/>
      <c r="D196" s="775"/>
      <c r="E196" s="775"/>
      <c r="F196" s="770">
        <v>0.05</v>
      </c>
    </row>
    <row r="197" spans="1:6" ht="24.6" thickBot="1">
      <c r="A197" s="684" t="s">
        <v>482</v>
      </c>
      <c r="B197" s="678" t="s">
        <v>661</v>
      </c>
      <c r="C197" s="775"/>
      <c r="D197" s="775"/>
      <c r="E197" s="775"/>
      <c r="F197" s="770">
        <v>0.05</v>
      </c>
    </row>
    <row r="198" spans="1:6" ht="24.6" thickBot="1">
      <c r="A198" s="684" t="s">
        <v>482</v>
      </c>
      <c r="B198" s="678" t="s">
        <v>662</v>
      </c>
      <c r="C198" s="775"/>
      <c r="D198" s="775"/>
      <c r="E198" s="775"/>
      <c r="F198" s="770">
        <v>0.05</v>
      </c>
    </row>
    <row r="199" spans="1:6" ht="24.6" thickBot="1">
      <c r="A199" s="684" t="s">
        <v>482</v>
      </c>
      <c r="B199" s="678" t="s">
        <v>663</v>
      </c>
      <c r="C199" s="775"/>
      <c r="D199" s="775"/>
      <c r="E199" s="775"/>
      <c r="F199" s="770">
        <v>0.05</v>
      </c>
    </row>
    <row r="200" spans="1:6" ht="24.6" thickBot="1">
      <c r="A200" s="684" t="s">
        <v>482</v>
      </c>
      <c r="B200" s="678" t="s">
        <v>664</v>
      </c>
      <c r="C200" s="775"/>
      <c r="D200" s="775"/>
      <c r="E200" s="775"/>
      <c r="F200" s="770">
        <v>0.05</v>
      </c>
    </row>
    <row r="201" spans="1:6" ht="24.6" thickBot="1">
      <c r="A201" s="684" t="s">
        <v>482</v>
      </c>
      <c r="B201" s="678" t="s">
        <v>665</v>
      </c>
      <c r="C201" s="775"/>
      <c r="D201" s="775"/>
      <c r="E201" s="775"/>
      <c r="F201" s="770">
        <v>0.05</v>
      </c>
    </row>
    <row r="202" spans="1:6" ht="24.6" thickBot="1">
      <c r="A202" s="684" t="s">
        <v>482</v>
      </c>
      <c r="B202" s="678" t="s">
        <v>666</v>
      </c>
      <c r="C202" s="775"/>
      <c r="D202" s="775"/>
      <c r="E202" s="775"/>
      <c r="F202" s="770">
        <v>0.05</v>
      </c>
    </row>
    <row r="203" spans="1:6" ht="24.6" thickBot="1">
      <c r="A203" s="684" t="s">
        <v>482</v>
      </c>
      <c r="B203" s="678" t="s">
        <v>667</v>
      </c>
      <c r="C203" s="775"/>
      <c r="D203" s="775"/>
      <c r="E203" s="775"/>
      <c r="F203" s="770">
        <v>0.05</v>
      </c>
    </row>
    <row r="204" spans="1:6" ht="15" thickBot="1">
      <c r="A204" s="684" t="s">
        <v>482</v>
      </c>
      <c r="B204" s="678" t="s">
        <v>668</v>
      </c>
      <c r="C204" s="775"/>
      <c r="D204" s="775"/>
      <c r="E204" s="775"/>
      <c r="F204" s="770">
        <v>0.05</v>
      </c>
    </row>
    <row r="205" spans="1:6" ht="15" thickBot="1">
      <c r="A205" s="701" t="s">
        <v>482</v>
      </c>
      <c r="B205" s="694" t="s">
        <v>669</v>
      </c>
      <c r="C205" s="772"/>
      <c r="D205" s="772"/>
      <c r="E205" s="772"/>
      <c r="F205" s="776">
        <v>0.05</v>
      </c>
    </row>
    <row r="206" spans="1:6" ht="15" thickBot="1">
      <c r="A206" s="684" t="s">
        <v>484</v>
      </c>
      <c r="B206" s="685" t="s">
        <v>670</v>
      </c>
      <c r="C206" s="767">
        <v>0.15</v>
      </c>
      <c r="D206" s="767">
        <v>0.15</v>
      </c>
      <c r="E206" s="767">
        <v>0.15</v>
      </c>
      <c r="F206" s="768">
        <v>0.15</v>
      </c>
    </row>
    <row r="207" spans="1:6" ht="15" thickBot="1">
      <c r="A207" s="684" t="s">
        <v>484</v>
      </c>
      <c r="B207" s="678" t="s">
        <v>142</v>
      </c>
      <c r="C207" s="769">
        <v>0.15</v>
      </c>
      <c r="D207" s="769">
        <v>0.15</v>
      </c>
      <c r="E207" s="769">
        <v>0.15</v>
      </c>
      <c r="F207" s="770">
        <v>0.14399999999999999</v>
      </c>
    </row>
    <row r="208" spans="1:6" ht="15" thickBot="1">
      <c r="A208" s="684" t="s">
        <v>484</v>
      </c>
      <c r="B208" s="678" t="s">
        <v>155</v>
      </c>
      <c r="C208" s="769">
        <v>0.15</v>
      </c>
      <c r="D208" s="769">
        <v>0.15</v>
      </c>
      <c r="E208" s="769">
        <v>0.15</v>
      </c>
      <c r="F208" s="770">
        <v>0.15</v>
      </c>
    </row>
    <row r="209" spans="1:6" ht="15" thickBot="1">
      <c r="A209" s="684" t="s">
        <v>484</v>
      </c>
      <c r="B209" s="678" t="s">
        <v>168</v>
      </c>
      <c r="C209" s="769">
        <v>0.13700000000000001</v>
      </c>
      <c r="D209" s="769">
        <v>0.13700000000000001</v>
      </c>
      <c r="E209" s="769">
        <v>0.14000000000000001</v>
      </c>
      <c r="F209" s="770">
        <v>0.11700000000000001</v>
      </c>
    </row>
    <row r="210" spans="1:6" ht="15" thickBot="1">
      <c r="A210" s="684" t="s">
        <v>484</v>
      </c>
      <c r="B210" s="678" t="s">
        <v>671</v>
      </c>
      <c r="C210" s="769">
        <v>0.15</v>
      </c>
      <c r="D210" s="769">
        <v>0.15</v>
      </c>
      <c r="E210" s="769">
        <v>0.15</v>
      </c>
      <c r="F210" s="770">
        <v>0.13800000000000001</v>
      </c>
    </row>
    <row r="211" spans="1:6" ht="15" thickBot="1">
      <c r="A211" s="684" t="s">
        <v>484</v>
      </c>
      <c r="B211" s="678" t="s">
        <v>672</v>
      </c>
      <c r="C211" s="769">
        <v>0.13700000000000001</v>
      </c>
      <c r="D211" s="769">
        <v>0.13500000000000001</v>
      </c>
      <c r="E211" s="769">
        <v>0.13600000000000001</v>
      </c>
      <c r="F211" s="770">
        <v>0.1</v>
      </c>
    </row>
    <row r="212" spans="1:6" ht="15" thickBot="1">
      <c r="A212" s="684" t="s">
        <v>484</v>
      </c>
      <c r="B212" s="678" t="s">
        <v>673</v>
      </c>
      <c r="C212" s="769">
        <v>0.15</v>
      </c>
      <c r="D212" s="769">
        <v>0.15</v>
      </c>
      <c r="E212" s="769">
        <v>0.14799999999999999</v>
      </c>
      <c r="F212" s="770">
        <v>0.13600000000000001</v>
      </c>
    </row>
    <row r="213" spans="1:6" ht="15" thickBot="1">
      <c r="A213" s="684" t="s">
        <v>484</v>
      </c>
      <c r="B213" s="678" t="s">
        <v>216</v>
      </c>
      <c r="C213" s="769">
        <v>0.15</v>
      </c>
      <c r="D213" s="769">
        <v>0.15</v>
      </c>
      <c r="E213" s="769">
        <v>0.15</v>
      </c>
      <c r="F213" s="770">
        <v>0.13800000000000001</v>
      </c>
    </row>
    <row r="214" spans="1:6" ht="15" thickBot="1">
      <c r="A214" s="684" t="s">
        <v>484</v>
      </c>
      <c r="B214" s="678" t="s">
        <v>229</v>
      </c>
      <c r="C214" s="769">
        <v>9.0999999999999998E-2</v>
      </c>
      <c r="D214" s="769">
        <v>0.09</v>
      </c>
      <c r="E214" s="769">
        <v>9.1999999999999998E-2</v>
      </c>
      <c r="F214" s="774"/>
    </row>
    <row r="215" spans="1:6" ht="15" thickBot="1">
      <c r="A215" s="684" t="s">
        <v>484</v>
      </c>
      <c r="B215" s="678" t="s">
        <v>674</v>
      </c>
      <c r="C215" s="769">
        <v>0.15</v>
      </c>
      <c r="D215" s="769">
        <v>0.15</v>
      </c>
      <c r="E215" s="769">
        <v>0.15</v>
      </c>
      <c r="F215" s="770">
        <v>0.15</v>
      </c>
    </row>
    <row r="216" spans="1:6" ht="15" thickBot="1">
      <c r="A216" s="684" t="s">
        <v>484</v>
      </c>
      <c r="B216" s="678" t="s">
        <v>251</v>
      </c>
      <c r="C216" s="769">
        <v>0.14699999999999999</v>
      </c>
      <c r="D216" s="769">
        <v>0.14699999999999999</v>
      </c>
      <c r="E216" s="769">
        <v>0.15</v>
      </c>
      <c r="F216" s="770">
        <v>0.14000000000000001</v>
      </c>
    </row>
    <row r="217" spans="1:6" ht="15" thickBot="1">
      <c r="A217" s="684" t="s">
        <v>484</v>
      </c>
      <c r="B217" s="678" t="s">
        <v>262</v>
      </c>
      <c r="C217" s="769">
        <v>0.15</v>
      </c>
      <c r="D217" s="769">
        <v>0.15</v>
      </c>
      <c r="E217" s="769">
        <v>0.15</v>
      </c>
      <c r="F217" s="770">
        <v>0.15</v>
      </c>
    </row>
    <row r="218" spans="1:6" ht="15" thickBot="1">
      <c r="A218" s="684" t="s">
        <v>484</v>
      </c>
      <c r="B218" s="678" t="s">
        <v>675</v>
      </c>
      <c r="C218" s="769">
        <v>0.15</v>
      </c>
      <c r="D218" s="769">
        <v>0.15</v>
      </c>
      <c r="E218" s="769">
        <v>0.15</v>
      </c>
      <c r="F218" s="770">
        <v>0.15</v>
      </c>
    </row>
    <row r="219" spans="1:6" ht="15" thickBot="1">
      <c r="A219" s="684" t="s">
        <v>484</v>
      </c>
      <c r="B219" s="678" t="s">
        <v>284</v>
      </c>
      <c r="C219" s="769">
        <v>0.15</v>
      </c>
      <c r="D219" s="769">
        <v>0.15</v>
      </c>
      <c r="E219" s="769">
        <v>0.15</v>
      </c>
      <c r="F219" s="770">
        <v>0.14799999999999999</v>
      </c>
    </row>
    <row r="220" spans="1:6" ht="15" thickBot="1">
      <c r="A220" s="684" t="s">
        <v>484</v>
      </c>
      <c r="B220" s="678" t="s">
        <v>676</v>
      </c>
      <c r="C220" s="769">
        <v>0.15</v>
      </c>
      <c r="D220" s="769">
        <v>0.15</v>
      </c>
      <c r="E220" s="769">
        <v>0.15</v>
      </c>
      <c r="F220" s="770">
        <v>0.15</v>
      </c>
    </row>
    <row r="221" spans="1:6" ht="15" thickBot="1">
      <c r="A221" s="684" t="s">
        <v>484</v>
      </c>
      <c r="B221" s="678" t="s">
        <v>305</v>
      </c>
      <c r="C221" s="769"/>
      <c r="D221" s="775"/>
      <c r="E221" s="775"/>
      <c r="F221" s="770">
        <v>0.14799999999999999</v>
      </c>
    </row>
    <row r="222" spans="1:6" ht="15" thickBot="1">
      <c r="A222" s="684" t="s">
        <v>484</v>
      </c>
      <c r="B222" s="678" t="s">
        <v>315</v>
      </c>
      <c r="C222" s="769"/>
      <c r="D222" s="775"/>
      <c r="E222" s="775"/>
      <c r="F222" s="770">
        <v>0.1</v>
      </c>
    </row>
    <row r="223" spans="1:6" ht="15" thickBot="1">
      <c r="A223" s="684" t="s">
        <v>484</v>
      </c>
      <c r="B223" s="678" t="s">
        <v>325</v>
      </c>
      <c r="C223" s="769"/>
      <c r="D223" s="775"/>
      <c r="E223" s="775"/>
      <c r="F223" s="770">
        <v>0.15</v>
      </c>
    </row>
    <row r="224" spans="1:6" ht="15" thickBot="1">
      <c r="A224" s="684" t="s">
        <v>484</v>
      </c>
      <c r="B224" s="678" t="s">
        <v>335</v>
      </c>
      <c r="C224" s="769"/>
      <c r="D224" s="775"/>
      <c r="E224" s="775"/>
      <c r="F224" s="770">
        <v>0.15</v>
      </c>
    </row>
    <row r="225" spans="1:6" ht="15" thickBot="1">
      <c r="A225" s="684" t="s">
        <v>484</v>
      </c>
      <c r="B225" s="678" t="s">
        <v>677</v>
      </c>
      <c r="C225" s="769">
        <v>0.15</v>
      </c>
      <c r="D225" s="769">
        <v>0.15</v>
      </c>
      <c r="E225" s="769">
        <v>0.15</v>
      </c>
      <c r="F225" s="770">
        <v>0.15</v>
      </c>
    </row>
    <row r="226" spans="1:6" ht="15" thickBot="1">
      <c r="A226" s="684" t="s">
        <v>484</v>
      </c>
      <c r="B226" s="678" t="s">
        <v>353</v>
      </c>
      <c r="C226" s="769">
        <v>0.15</v>
      </c>
      <c r="D226" s="769">
        <v>0.15</v>
      </c>
      <c r="E226" s="769">
        <v>0.15</v>
      </c>
      <c r="F226" s="770">
        <v>0.14799999999999999</v>
      </c>
    </row>
    <row r="227" spans="1:6" ht="15" thickBot="1">
      <c r="A227" s="684" t="s">
        <v>484</v>
      </c>
      <c r="B227" s="678" t="s">
        <v>678</v>
      </c>
      <c r="C227" s="769">
        <v>0.15</v>
      </c>
      <c r="D227" s="769">
        <v>0.15</v>
      </c>
      <c r="E227" s="769">
        <v>0.15</v>
      </c>
      <c r="F227" s="770">
        <v>0.15</v>
      </c>
    </row>
    <row r="228" spans="1:6" ht="15" thickBot="1">
      <c r="A228" s="684" t="s">
        <v>484</v>
      </c>
      <c r="B228" s="678" t="s">
        <v>368</v>
      </c>
      <c r="C228" s="769">
        <v>0.15</v>
      </c>
      <c r="D228" s="769">
        <v>0.15</v>
      </c>
      <c r="E228" s="769">
        <v>0.15</v>
      </c>
      <c r="F228" s="770">
        <v>0.15</v>
      </c>
    </row>
    <row r="229" spans="1:6" ht="15" thickBot="1">
      <c r="A229" s="684" t="s">
        <v>484</v>
      </c>
      <c r="B229" s="678" t="s">
        <v>375</v>
      </c>
      <c r="C229" s="769">
        <v>0.15</v>
      </c>
      <c r="D229" s="769">
        <v>0.15</v>
      </c>
      <c r="E229" s="769">
        <v>0.15</v>
      </c>
      <c r="F229" s="774"/>
    </row>
    <row r="230" spans="1:6" ht="15" thickBot="1">
      <c r="A230" s="684" t="s">
        <v>484</v>
      </c>
      <c r="B230" s="678" t="s">
        <v>382</v>
      </c>
      <c r="C230" s="769">
        <v>0.14499999999999999</v>
      </c>
      <c r="D230" s="769">
        <v>0.14499999999999999</v>
      </c>
      <c r="E230" s="769">
        <v>0.14399999999999999</v>
      </c>
      <c r="F230" s="774"/>
    </row>
    <row r="231" spans="1:6" ht="15" thickBot="1">
      <c r="A231" s="684" t="s">
        <v>484</v>
      </c>
      <c r="B231" s="678" t="s">
        <v>679</v>
      </c>
      <c r="C231" s="769">
        <v>0.128</v>
      </c>
      <c r="D231" s="769">
        <v>0.125</v>
      </c>
      <c r="E231" s="769">
        <v>0.13200000000000001</v>
      </c>
      <c r="F231" s="774"/>
    </row>
    <row r="232" spans="1:6" ht="15" thickBot="1">
      <c r="A232" s="684" t="s">
        <v>484</v>
      </c>
      <c r="B232" s="678" t="s">
        <v>680</v>
      </c>
      <c r="C232" s="769">
        <v>0.14499999999999999</v>
      </c>
      <c r="D232" s="769">
        <v>0.14399999999999999</v>
      </c>
      <c r="E232" s="769">
        <v>0.14599999999999999</v>
      </c>
      <c r="F232" s="770">
        <v>0.13800000000000001</v>
      </c>
    </row>
    <row r="233" spans="1:6" ht="15" thickBot="1">
      <c r="A233" s="684" t="s">
        <v>484</v>
      </c>
      <c r="B233" s="678" t="s">
        <v>681</v>
      </c>
      <c r="C233" s="769">
        <v>0.14499999999999999</v>
      </c>
      <c r="D233" s="769">
        <v>0.14299999999999999</v>
      </c>
      <c r="E233" s="769">
        <v>0.14199999999999999</v>
      </c>
      <c r="F233" s="774"/>
    </row>
    <row r="234" spans="1:6" ht="15" thickBot="1">
      <c r="A234" s="684" t="s">
        <v>484</v>
      </c>
      <c r="B234" s="678" t="s">
        <v>682</v>
      </c>
      <c r="C234" s="769">
        <v>0.14000000000000001</v>
      </c>
      <c r="D234" s="769">
        <v>0.14000000000000001</v>
      </c>
      <c r="E234" s="769">
        <v>0.14399999999999999</v>
      </c>
      <c r="F234" s="774"/>
    </row>
    <row r="235" spans="1:6" ht="15" thickBot="1">
      <c r="A235" s="684" t="s">
        <v>484</v>
      </c>
      <c r="B235" s="678" t="s">
        <v>683</v>
      </c>
      <c r="C235" s="769">
        <v>0.14099999999999999</v>
      </c>
      <c r="D235" s="769">
        <v>0.14199999999999999</v>
      </c>
      <c r="E235" s="769">
        <v>0.14499999999999999</v>
      </c>
      <c r="F235" s="770">
        <v>0.15</v>
      </c>
    </row>
    <row r="236" spans="1:6" ht="15" thickBot="1">
      <c r="A236" s="684" t="s">
        <v>484</v>
      </c>
      <c r="B236" s="678" t="s">
        <v>417</v>
      </c>
      <c r="C236" s="775"/>
      <c r="D236" s="775"/>
      <c r="E236" s="775"/>
      <c r="F236" s="770">
        <v>0.14299999999999999</v>
      </c>
    </row>
    <row r="237" spans="1:6" ht="24.6" thickBot="1">
      <c r="A237" s="684" t="s">
        <v>484</v>
      </c>
      <c r="B237" s="678" t="s">
        <v>684</v>
      </c>
      <c r="C237" s="775"/>
      <c r="D237" s="775"/>
      <c r="E237" s="775"/>
      <c r="F237" s="770">
        <v>0.05</v>
      </c>
    </row>
    <row r="238" spans="1:6" ht="24.6" thickBot="1">
      <c r="A238" s="684" t="s">
        <v>484</v>
      </c>
      <c r="B238" s="678" t="s">
        <v>685</v>
      </c>
      <c r="C238" s="775"/>
      <c r="D238" s="775"/>
      <c r="E238" s="775"/>
      <c r="F238" s="770">
        <v>0.05</v>
      </c>
    </row>
    <row r="239" spans="1:6" ht="24.6" thickBot="1">
      <c r="A239" s="684" t="s">
        <v>484</v>
      </c>
      <c r="B239" s="678" t="s">
        <v>686</v>
      </c>
      <c r="C239" s="775"/>
      <c r="D239" s="775"/>
      <c r="E239" s="775"/>
      <c r="F239" s="770">
        <v>0.05</v>
      </c>
    </row>
    <row r="240" spans="1:6" ht="24.6" thickBot="1">
      <c r="A240" s="684" t="s">
        <v>484</v>
      </c>
      <c r="B240" s="678" t="s">
        <v>687</v>
      </c>
      <c r="C240" s="775"/>
      <c r="D240" s="775"/>
      <c r="E240" s="775"/>
      <c r="F240" s="770">
        <v>0.05</v>
      </c>
    </row>
    <row r="241" spans="1:6" ht="24.6" thickBot="1">
      <c r="A241" s="684" t="s">
        <v>484</v>
      </c>
      <c r="B241" s="678" t="s">
        <v>688</v>
      </c>
      <c r="C241" s="775"/>
      <c r="D241" s="775"/>
      <c r="E241" s="775"/>
      <c r="F241" s="770">
        <v>0.05</v>
      </c>
    </row>
    <row r="242" spans="1:6" ht="24.6" thickBot="1">
      <c r="A242" s="684" t="s">
        <v>484</v>
      </c>
      <c r="B242" s="678" t="s">
        <v>689</v>
      </c>
      <c r="C242" s="775"/>
      <c r="D242" s="775"/>
      <c r="E242" s="775"/>
      <c r="F242" s="770">
        <v>0.05</v>
      </c>
    </row>
    <row r="243" spans="1:6" ht="24.6" thickBot="1">
      <c r="A243" s="684" t="s">
        <v>484</v>
      </c>
      <c r="B243" s="678" t="s">
        <v>690</v>
      </c>
      <c r="C243" s="775"/>
      <c r="D243" s="775"/>
      <c r="E243" s="775"/>
      <c r="F243" s="770">
        <v>0.05</v>
      </c>
    </row>
    <row r="244" spans="1:6" ht="24.6" thickBot="1">
      <c r="A244" s="701" t="s">
        <v>484</v>
      </c>
      <c r="B244" s="694" t="s">
        <v>691</v>
      </c>
      <c r="C244" s="772"/>
      <c r="D244" s="772"/>
      <c r="E244" s="772"/>
      <c r="F244" s="776">
        <v>0.05</v>
      </c>
    </row>
    <row r="245" spans="1:6" ht="15" thickBot="1">
      <c r="A245" s="684" t="s">
        <v>486</v>
      </c>
      <c r="B245" s="685" t="s">
        <v>692</v>
      </c>
      <c r="C245" s="767">
        <v>0.15</v>
      </c>
      <c r="D245" s="767">
        <v>0.15</v>
      </c>
      <c r="E245" s="767">
        <v>0.15</v>
      </c>
      <c r="F245" s="768">
        <v>0.14299999999999999</v>
      </c>
    </row>
    <row r="246" spans="1:6" ht="15" thickBot="1">
      <c r="A246" s="684" t="s">
        <v>486</v>
      </c>
      <c r="B246" s="678" t="s">
        <v>143</v>
      </c>
      <c r="C246" s="769">
        <v>0.15</v>
      </c>
      <c r="D246" s="769">
        <v>0.15</v>
      </c>
      <c r="E246" s="769">
        <v>0.15</v>
      </c>
      <c r="F246" s="770">
        <v>0.114</v>
      </c>
    </row>
    <row r="247" spans="1:6" ht="15" thickBot="1">
      <c r="A247" s="684" t="s">
        <v>486</v>
      </c>
      <c r="B247" s="678" t="s">
        <v>693</v>
      </c>
      <c r="C247" s="769">
        <v>0.15</v>
      </c>
      <c r="D247" s="769">
        <v>0.15</v>
      </c>
      <c r="E247" s="769">
        <v>0.15</v>
      </c>
      <c r="F247" s="770">
        <v>0.15</v>
      </c>
    </row>
    <row r="248" spans="1:6" ht="15" thickBot="1">
      <c r="A248" s="684" t="s">
        <v>486</v>
      </c>
      <c r="B248" s="678" t="s">
        <v>694</v>
      </c>
      <c r="C248" s="769">
        <v>0.15</v>
      </c>
      <c r="D248" s="769">
        <v>0.15</v>
      </c>
      <c r="E248" s="769">
        <v>0.15</v>
      </c>
      <c r="F248" s="770">
        <v>0.14000000000000001</v>
      </c>
    </row>
    <row r="249" spans="1:6" ht="15" thickBot="1">
      <c r="A249" s="684" t="s">
        <v>486</v>
      </c>
      <c r="B249" s="678" t="s">
        <v>695</v>
      </c>
      <c r="C249" s="769">
        <v>0.15</v>
      </c>
      <c r="D249" s="769">
        <v>0.14899999999999999</v>
      </c>
      <c r="E249" s="769">
        <v>0.15</v>
      </c>
      <c r="F249" s="770">
        <v>0.1</v>
      </c>
    </row>
    <row r="250" spans="1:6" ht="15" thickBot="1">
      <c r="A250" s="684" t="s">
        <v>486</v>
      </c>
      <c r="B250" s="678" t="s">
        <v>696</v>
      </c>
      <c r="C250" s="769">
        <v>0.15</v>
      </c>
      <c r="D250" s="769">
        <v>0.15</v>
      </c>
      <c r="E250" s="769">
        <v>0.15</v>
      </c>
      <c r="F250" s="770">
        <v>0.14399999999999999</v>
      </c>
    </row>
    <row r="251" spans="1:6" ht="15" thickBot="1">
      <c r="A251" s="684" t="s">
        <v>486</v>
      </c>
      <c r="B251" s="678" t="s">
        <v>205</v>
      </c>
      <c r="C251" s="769">
        <v>0.15</v>
      </c>
      <c r="D251" s="769">
        <v>0.15</v>
      </c>
      <c r="E251" s="769">
        <v>0.15</v>
      </c>
      <c r="F251" s="770">
        <v>0.14299999999999999</v>
      </c>
    </row>
    <row r="252" spans="1:6" ht="15" thickBot="1">
      <c r="A252" s="684" t="s">
        <v>486</v>
      </c>
      <c r="B252" s="678" t="s">
        <v>217</v>
      </c>
      <c r="C252" s="769">
        <v>0.15</v>
      </c>
      <c r="D252" s="769">
        <v>0.15</v>
      </c>
      <c r="E252" s="769">
        <v>0.15</v>
      </c>
      <c r="F252" s="770">
        <v>0.1</v>
      </c>
    </row>
    <row r="253" spans="1:6" ht="15" thickBot="1">
      <c r="A253" s="684" t="s">
        <v>486</v>
      </c>
      <c r="B253" s="678" t="s">
        <v>230</v>
      </c>
      <c r="C253" s="769">
        <v>0.15</v>
      </c>
      <c r="D253" s="769">
        <v>0.15</v>
      </c>
      <c r="E253" s="769">
        <v>0.15</v>
      </c>
      <c r="F253" s="770">
        <v>0.1</v>
      </c>
    </row>
    <row r="254" spans="1:6" ht="15" thickBot="1">
      <c r="A254" s="684" t="s">
        <v>486</v>
      </c>
      <c r="B254" s="678" t="s">
        <v>241</v>
      </c>
      <c r="C254" s="775"/>
      <c r="D254" s="775"/>
      <c r="E254" s="775"/>
      <c r="F254" s="770">
        <v>0.15</v>
      </c>
    </row>
    <row r="255" spans="1:6" ht="15" thickBot="1">
      <c r="A255" s="684" t="s">
        <v>486</v>
      </c>
      <c r="B255" s="678" t="s">
        <v>252</v>
      </c>
      <c r="C255" s="775"/>
      <c r="D255" s="775"/>
      <c r="E255" s="775"/>
      <c r="F255" s="770">
        <v>0.14299999999999999</v>
      </c>
    </row>
    <row r="256" spans="1:6" ht="15" thickBot="1">
      <c r="A256" s="684" t="s">
        <v>486</v>
      </c>
      <c r="B256" s="678" t="s">
        <v>697</v>
      </c>
      <c r="C256" s="769">
        <v>0.14599999999999999</v>
      </c>
      <c r="D256" s="769">
        <v>0.14699999999999999</v>
      </c>
      <c r="E256" s="769">
        <v>0.15</v>
      </c>
      <c r="F256" s="770">
        <v>0.13200000000000001</v>
      </c>
    </row>
    <row r="257" spans="1:6" ht="15" thickBot="1">
      <c r="A257" s="684" t="s">
        <v>486</v>
      </c>
      <c r="B257" s="678" t="s">
        <v>274</v>
      </c>
      <c r="C257" s="769">
        <v>0.15</v>
      </c>
      <c r="D257" s="769">
        <v>0.15</v>
      </c>
      <c r="E257" s="769">
        <v>0.15</v>
      </c>
      <c r="F257" s="770">
        <v>0.13900000000000001</v>
      </c>
    </row>
    <row r="258" spans="1:6" ht="15" thickBot="1">
      <c r="A258" s="684" t="s">
        <v>486</v>
      </c>
      <c r="B258" s="678" t="s">
        <v>285</v>
      </c>
      <c r="C258" s="769">
        <v>0.15</v>
      </c>
      <c r="D258" s="769">
        <v>0.15</v>
      </c>
      <c r="E258" s="769">
        <v>0.15</v>
      </c>
      <c r="F258" s="770">
        <v>0.13</v>
      </c>
    </row>
    <row r="259" spans="1:6" ht="15" thickBot="1">
      <c r="A259" s="684" t="s">
        <v>486</v>
      </c>
      <c r="B259" s="678" t="s">
        <v>698</v>
      </c>
      <c r="C259" s="769">
        <v>0.14799999999999999</v>
      </c>
      <c r="D259" s="769">
        <v>0.14899999999999999</v>
      </c>
      <c r="E259" s="769">
        <v>0.15</v>
      </c>
      <c r="F259" s="770">
        <v>0.13700000000000001</v>
      </c>
    </row>
    <row r="260" spans="1:6" ht="15" thickBot="1">
      <c r="A260" s="684" t="s">
        <v>486</v>
      </c>
      <c r="B260" s="678" t="s">
        <v>306</v>
      </c>
      <c r="C260" s="769">
        <v>0.15</v>
      </c>
      <c r="D260" s="769">
        <v>0.15</v>
      </c>
      <c r="E260" s="769">
        <v>0.15</v>
      </c>
      <c r="F260" s="770">
        <v>0.14199999999999999</v>
      </c>
    </row>
    <row r="261" spans="1:6" ht="15" thickBot="1">
      <c r="A261" s="684" t="s">
        <v>486</v>
      </c>
      <c r="B261" s="678" t="s">
        <v>316</v>
      </c>
      <c r="C261" s="769">
        <v>0.15</v>
      </c>
      <c r="D261" s="769">
        <v>0.15</v>
      </c>
      <c r="E261" s="769">
        <v>0.14899999999999999</v>
      </c>
      <c r="F261" s="770">
        <v>0.14799999999999999</v>
      </c>
    </row>
    <row r="262" spans="1:6" ht="15" thickBot="1">
      <c r="A262" s="684" t="s">
        <v>486</v>
      </c>
      <c r="B262" s="678" t="s">
        <v>326</v>
      </c>
      <c r="C262" s="769">
        <v>0.15</v>
      </c>
      <c r="D262" s="769">
        <v>0.15</v>
      </c>
      <c r="E262" s="769">
        <v>0.15</v>
      </c>
      <c r="F262" s="774"/>
    </row>
    <row r="263" spans="1:6" ht="15" thickBot="1">
      <c r="A263" s="684" t="s">
        <v>486</v>
      </c>
      <c r="B263" s="678" t="s">
        <v>699</v>
      </c>
      <c r="C263" s="769">
        <v>0.14899999999999999</v>
      </c>
      <c r="D263" s="769">
        <v>0.14899999999999999</v>
      </c>
      <c r="E263" s="769">
        <v>0.15</v>
      </c>
      <c r="F263" s="770">
        <v>0.13</v>
      </c>
    </row>
    <row r="264" spans="1:6" ht="15" thickBot="1">
      <c r="A264" s="684" t="s">
        <v>486</v>
      </c>
      <c r="B264" s="678" t="s">
        <v>345</v>
      </c>
      <c r="C264" s="769">
        <v>0.14799999999999999</v>
      </c>
      <c r="D264" s="769">
        <v>0.14699999999999999</v>
      </c>
      <c r="E264" s="769">
        <v>0.15</v>
      </c>
      <c r="F264" s="770">
        <v>7.8E-2</v>
      </c>
    </row>
    <row r="265" spans="1:6" ht="15" thickBot="1">
      <c r="A265" s="684" t="s">
        <v>486</v>
      </c>
      <c r="B265" s="678" t="s">
        <v>354</v>
      </c>
      <c r="C265" s="769">
        <v>0.15</v>
      </c>
      <c r="D265" s="769">
        <v>0.15</v>
      </c>
      <c r="E265" s="769">
        <v>0.15</v>
      </c>
      <c r="F265" s="770">
        <v>7.3999999999999996E-2</v>
      </c>
    </row>
    <row r="266" spans="1:6" ht="15" thickBot="1">
      <c r="A266" s="684" t="s">
        <v>486</v>
      </c>
      <c r="B266" s="678" t="s">
        <v>362</v>
      </c>
      <c r="C266" s="769">
        <v>0.14699999999999999</v>
      </c>
      <c r="D266" s="769">
        <v>0.14699999999999999</v>
      </c>
      <c r="E266" s="769">
        <v>0.15</v>
      </c>
      <c r="F266" s="770">
        <v>0.14299999999999999</v>
      </c>
    </row>
    <row r="267" spans="1:6" ht="15" thickBot="1">
      <c r="A267" s="684" t="s">
        <v>486</v>
      </c>
      <c r="B267" s="678" t="s">
        <v>369</v>
      </c>
      <c r="C267" s="769">
        <v>0.14199999999999999</v>
      </c>
      <c r="D267" s="769">
        <v>0.14299999999999999</v>
      </c>
      <c r="E267" s="769">
        <v>0.15</v>
      </c>
      <c r="F267" s="774"/>
    </row>
    <row r="268" spans="1:6" ht="15" thickBot="1">
      <c r="A268" s="684" t="s">
        <v>486</v>
      </c>
      <c r="B268" s="678" t="s">
        <v>700</v>
      </c>
      <c r="C268" s="769">
        <v>0.15</v>
      </c>
      <c r="D268" s="769">
        <v>0.15</v>
      </c>
      <c r="E268" s="769">
        <v>0.15</v>
      </c>
      <c r="F268" s="770">
        <v>0.13</v>
      </c>
    </row>
    <row r="269" spans="1:6" ht="15" thickBot="1">
      <c r="A269" s="684" t="s">
        <v>486</v>
      </c>
      <c r="B269" s="678" t="s">
        <v>383</v>
      </c>
      <c r="C269" s="769">
        <v>0.15</v>
      </c>
      <c r="D269" s="769">
        <v>0.15</v>
      </c>
      <c r="E269" s="769">
        <v>0.15</v>
      </c>
      <c r="F269" s="770">
        <v>0.14299999999999999</v>
      </c>
    </row>
    <row r="270" spans="1:6" ht="15" thickBot="1">
      <c r="A270" s="684" t="s">
        <v>486</v>
      </c>
      <c r="B270" s="678" t="s">
        <v>390</v>
      </c>
      <c r="C270" s="769">
        <v>0.14499999999999999</v>
      </c>
      <c r="D270" s="769">
        <v>0.14499999999999999</v>
      </c>
      <c r="E270" s="769">
        <v>0.15</v>
      </c>
      <c r="F270" s="770">
        <v>0.14699999999999999</v>
      </c>
    </row>
    <row r="271" spans="1:6" ht="15" thickBot="1">
      <c r="A271" s="684" t="s">
        <v>486</v>
      </c>
      <c r="B271" s="678" t="s">
        <v>397</v>
      </c>
      <c r="C271" s="769">
        <v>0.15</v>
      </c>
      <c r="D271" s="769">
        <v>0.15</v>
      </c>
      <c r="E271" s="769">
        <v>0.15</v>
      </c>
      <c r="F271" s="770">
        <v>0.13800000000000001</v>
      </c>
    </row>
    <row r="272" spans="1:6" ht="15" thickBot="1">
      <c r="A272" s="684" t="s">
        <v>486</v>
      </c>
      <c r="B272" s="678" t="s">
        <v>404</v>
      </c>
      <c r="C272" s="775"/>
      <c r="D272" s="775"/>
      <c r="E272" s="775"/>
      <c r="F272" s="770">
        <v>0.14000000000000001</v>
      </c>
    </row>
    <row r="273" spans="1:6" ht="15" thickBot="1">
      <c r="A273" s="684" t="s">
        <v>486</v>
      </c>
      <c r="B273" s="678" t="s">
        <v>701</v>
      </c>
      <c r="C273" s="769">
        <v>0.14199999999999999</v>
      </c>
      <c r="D273" s="769">
        <v>0.14299999999999999</v>
      </c>
      <c r="E273" s="769">
        <v>0.15</v>
      </c>
      <c r="F273" s="770">
        <v>0.1</v>
      </c>
    </row>
    <row r="274" spans="1:6" ht="15" thickBot="1">
      <c r="A274" s="684" t="s">
        <v>486</v>
      </c>
      <c r="B274" s="678" t="s">
        <v>702</v>
      </c>
      <c r="C274" s="769">
        <v>0.14799999999999999</v>
      </c>
      <c r="D274" s="769">
        <v>0.14799999999999999</v>
      </c>
      <c r="E274" s="769">
        <v>0.15</v>
      </c>
      <c r="F274" s="770">
        <v>6.7000000000000004E-2</v>
      </c>
    </row>
    <row r="275" spans="1:6" ht="15" thickBot="1">
      <c r="A275" s="684" t="s">
        <v>486</v>
      </c>
      <c r="B275" s="678" t="s">
        <v>703</v>
      </c>
      <c r="C275" s="769">
        <v>0.15</v>
      </c>
      <c r="D275" s="769">
        <v>0.15</v>
      </c>
      <c r="E275" s="769">
        <v>0.15</v>
      </c>
      <c r="F275" s="770">
        <v>0.15</v>
      </c>
    </row>
    <row r="276" spans="1:6" ht="15" thickBot="1">
      <c r="A276" s="684" t="s">
        <v>486</v>
      </c>
      <c r="B276" s="678" t="s">
        <v>704</v>
      </c>
      <c r="C276" s="769">
        <v>0.14499999999999999</v>
      </c>
      <c r="D276" s="769">
        <v>0.14299999999999999</v>
      </c>
      <c r="E276" s="769">
        <v>0.15</v>
      </c>
      <c r="F276" s="770">
        <v>5.8999999999999997E-2</v>
      </c>
    </row>
    <row r="277" spans="1:6" ht="15" thickBot="1">
      <c r="A277" s="684" t="s">
        <v>486</v>
      </c>
      <c r="B277" s="678" t="s">
        <v>705</v>
      </c>
      <c r="C277" s="769">
        <v>0.15</v>
      </c>
      <c r="D277" s="769">
        <v>0.15</v>
      </c>
      <c r="E277" s="769">
        <v>0.15</v>
      </c>
      <c r="F277" s="770">
        <v>0.121</v>
      </c>
    </row>
    <row r="278" spans="1:6" ht="15" thickBot="1">
      <c r="A278" s="684" t="s">
        <v>486</v>
      </c>
      <c r="B278" s="678" t="s">
        <v>706</v>
      </c>
      <c r="C278" s="769">
        <v>0.15</v>
      </c>
      <c r="D278" s="769">
        <v>0.15</v>
      </c>
      <c r="E278" s="769">
        <v>0.15</v>
      </c>
      <c r="F278" s="770">
        <v>0.13800000000000001</v>
      </c>
    </row>
    <row r="279" spans="1:6" ht="24.6" thickBot="1">
      <c r="A279" s="684" t="s">
        <v>486</v>
      </c>
      <c r="B279" s="678" t="s">
        <v>707</v>
      </c>
      <c r="C279" s="775"/>
      <c r="D279" s="775"/>
      <c r="E279" s="775"/>
      <c r="F279" s="770">
        <v>0.05</v>
      </c>
    </row>
    <row r="280" spans="1:6" ht="24.6" thickBot="1">
      <c r="A280" s="684" t="s">
        <v>486</v>
      </c>
      <c r="B280" s="678" t="s">
        <v>708</v>
      </c>
      <c r="C280" s="775"/>
      <c r="D280" s="775"/>
      <c r="E280" s="775"/>
      <c r="F280" s="770">
        <v>0.05</v>
      </c>
    </row>
    <row r="281" spans="1:6" ht="24.6" thickBot="1">
      <c r="A281" s="684" t="s">
        <v>486</v>
      </c>
      <c r="B281" s="678" t="s">
        <v>709</v>
      </c>
      <c r="C281" s="775"/>
      <c r="D281" s="775"/>
      <c r="E281" s="775"/>
      <c r="F281" s="770">
        <v>0.05</v>
      </c>
    </row>
    <row r="282" spans="1:6" ht="24.6" thickBot="1">
      <c r="A282" s="684" t="s">
        <v>486</v>
      </c>
      <c r="B282" s="678" t="s">
        <v>710</v>
      </c>
      <c r="C282" s="775"/>
      <c r="D282" s="775"/>
      <c r="E282" s="775"/>
      <c r="F282" s="770">
        <v>0.05</v>
      </c>
    </row>
    <row r="283" spans="1:6" ht="24.6" thickBot="1">
      <c r="A283" s="684" t="s">
        <v>486</v>
      </c>
      <c r="B283" s="678" t="s">
        <v>711</v>
      </c>
      <c r="C283" s="775"/>
      <c r="D283" s="775"/>
      <c r="E283" s="775"/>
      <c r="F283" s="770">
        <v>0.05</v>
      </c>
    </row>
    <row r="284" spans="1:6" ht="24.6" thickBot="1">
      <c r="A284" s="684" t="s">
        <v>486</v>
      </c>
      <c r="B284" s="678" t="s">
        <v>712</v>
      </c>
      <c r="C284" s="775"/>
      <c r="D284" s="775"/>
      <c r="E284" s="775"/>
      <c r="F284" s="770">
        <v>0.05</v>
      </c>
    </row>
    <row r="285" spans="1:6" ht="24.6" thickBot="1">
      <c r="A285" s="684" t="s">
        <v>486</v>
      </c>
      <c r="B285" s="678" t="s">
        <v>713</v>
      </c>
      <c r="C285" s="775"/>
      <c r="D285" s="775"/>
      <c r="E285" s="775"/>
      <c r="F285" s="770">
        <v>0.05</v>
      </c>
    </row>
    <row r="286" spans="1:6" ht="24.6" thickBot="1">
      <c r="A286" s="684" t="s">
        <v>486</v>
      </c>
      <c r="B286" s="678" t="s">
        <v>714</v>
      </c>
      <c r="C286" s="775"/>
      <c r="D286" s="775"/>
      <c r="E286" s="775"/>
      <c r="F286" s="770">
        <v>0.05</v>
      </c>
    </row>
    <row r="287" spans="1:6" ht="24.6" thickBot="1">
      <c r="A287" s="684" t="s">
        <v>486</v>
      </c>
      <c r="B287" s="678" t="s">
        <v>715</v>
      </c>
      <c r="C287" s="775"/>
      <c r="D287" s="775"/>
      <c r="E287" s="775"/>
      <c r="F287" s="770">
        <v>0.05</v>
      </c>
    </row>
    <row r="288" spans="1:6" ht="24.6" thickBot="1">
      <c r="A288" s="684" t="s">
        <v>486</v>
      </c>
      <c r="B288" s="678" t="s">
        <v>716</v>
      </c>
      <c r="C288" s="775"/>
      <c r="D288" s="775"/>
      <c r="E288" s="775"/>
      <c r="F288" s="770">
        <v>0.05</v>
      </c>
    </row>
    <row r="289" spans="1:6" ht="24.6" thickBot="1">
      <c r="A289" s="701" t="s">
        <v>486</v>
      </c>
      <c r="B289" s="694" t="s">
        <v>717</v>
      </c>
      <c r="C289" s="772"/>
      <c r="D289" s="772"/>
      <c r="E289" s="772"/>
      <c r="F289" s="776">
        <v>0.05</v>
      </c>
    </row>
    <row r="290" spans="1:6" ht="15" thickBot="1">
      <c r="A290" s="684" t="s">
        <v>490</v>
      </c>
      <c r="B290" s="685" t="s">
        <v>718</v>
      </c>
      <c r="C290" s="767">
        <v>0.15</v>
      </c>
      <c r="D290" s="767">
        <v>0.15</v>
      </c>
      <c r="E290" s="767">
        <v>0.15</v>
      </c>
      <c r="F290" s="784"/>
    </row>
    <row r="291" spans="1:6" ht="15" thickBot="1">
      <c r="A291" s="684" t="s">
        <v>490</v>
      </c>
      <c r="B291" s="678" t="s">
        <v>144</v>
      </c>
      <c r="C291" s="769">
        <v>0.15</v>
      </c>
      <c r="D291" s="769">
        <v>0.15</v>
      </c>
      <c r="E291" s="769">
        <v>0.15</v>
      </c>
      <c r="F291" s="774"/>
    </row>
    <row r="292" spans="1:6" ht="15" thickBot="1">
      <c r="A292" s="684" t="s">
        <v>490</v>
      </c>
      <c r="B292" s="678" t="s">
        <v>719</v>
      </c>
      <c r="C292" s="769">
        <v>0.15</v>
      </c>
      <c r="D292" s="769">
        <v>0.15</v>
      </c>
      <c r="E292" s="769">
        <v>0.15</v>
      </c>
      <c r="F292" s="770">
        <v>0.14699999999999999</v>
      </c>
    </row>
    <row r="293" spans="1:6" ht="15" thickBot="1">
      <c r="A293" s="684" t="s">
        <v>490</v>
      </c>
      <c r="B293" s="678" t="s">
        <v>720</v>
      </c>
      <c r="C293" s="775"/>
      <c r="D293" s="775"/>
      <c r="E293" s="775"/>
      <c r="F293" s="770">
        <v>0.1</v>
      </c>
    </row>
    <row r="294" spans="1:6" ht="15" thickBot="1">
      <c r="A294" s="684" t="s">
        <v>490</v>
      </c>
      <c r="B294" s="678" t="s">
        <v>721</v>
      </c>
      <c r="C294" s="769">
        <v>0.15</v>
      </c>
      <c r="D294" s="769">
        <v>0.15</v>
      </c>
      <c r="E294" s="769">
        <v>0.15</v>
      </c>
      <c r="F294" s="770">
        <v>0.15</v>
      </c>
    </row>
    <row r="295" spans="1:6" ht="15" thickBot="1">
      <c r="A295" s="684" t="s">
        <v>490</v>
      </c>
      <c r="B295" s="678" t="s">
        <v>182</v>
      </c>
      <c r="C295" s="769">
        <v>0.15</v>
      </c>
      <c r="D295" s="769">
        <v>0.15</v>
      </c>
      <c r="E295" s="769">
        <v>0.15</v>
      </c>
      <c r="F295" s="770">
        <v>0.15</v>
      </c>
    </row>
    <row r="296" spans="1:6" ht="15" thickBot="1">
      <c r="A296" s="684" t="s">
        <v>490</v>
      </c>
      <c r="B296" s="678" t="s">
        <v>722</v>
      </c>
      <c r="C296" s="769">
        <v>0.15</v>
      </c>
      <c r="D296" s="769">
        <v>0.15</v>
      </c>
      <c r="E296" s="769">
        <v>0.15</v>
      </c>
      <c r="F296" s="770">
        <v>0.15</v>
      </c>
    </row>
    <row r="297" spans="1:6" ht="15" thickBot="1">
      <c r="A297" s="684" t="s">
        <v>490</v>
      </c>
      <c r="B297" s="678" t="s">
        <v>723</v>
      </c>
      <c r="C297" s="769">
        <v>0.14799999999999999</v>
      </c>
      <c r="D297" s="769">
        <v>0.14899999999999999</v>
      </c>
      <c r="E297" s="769">
        <v>0.15</v>
      </c>
      <c r="F297" s="770">
        <v>0.13700000000000001</v>
      </c>
    </row>
    <row r="298" spans="1:6" ht="15" thickBot="1">
      <c r="A298" s="684" t="s">
        <v>490</v>
      </c>
      <c r="B298" s="678" t="s">
        <v>218</v>
      </c>
      <c r="C298" s="769">
        <v>0.13400000000000001</v>
      </c>
      <c r="D298" s="769">
        <v>0.13400000000000001</v>
      </c>
      <c r="E298" s="769">
        <v>0.14499999999999999</v>
      </c>
      <c r="F298" s="770">
        <v>0.14799999999999999</v>
      </c>
    </row>
    <row r="299" spans="1:6" ht="15" thickBot="1">
      <c r="A299" s="684" t="s">
        <v>490</v>
      </c>
      <c r="B299" s="678" t="s">
        <v>231</v>
      </c>
      <c r="C299" s="769">
        <v>0.15</v>
      </c>
      <c r="D299" s="769">
        <v>0.15</v>
      </c>
      <c r="E299" s="769">
        <v>0.15</v>
      </c>
      <c r="F299" s="774"/>
    </row>
    <row r="300" spans="1:6" ht="15" thickBot="1">
      <c r="A300" s="684" t="s">
        <v>490</v>
      </c>
      <c r="B300" s="678" t="s">
        <v>724</v>
      </c>
      <c r="C300" s="769">
        <v>0.15</v>
      </c>
      <c r="D300" s="769">
        <v>0.15</v>
      </c>
      <c r="E300" s="769">
        <v>0.15</v>
      </c>
      <c r="F300" s="770">
        <v>0.15</v>
      </c>
    </row>
    <row r="301" spans="1:6" ht="15" thickBot="1">
      <c r="A301" s="684" t="s">
        <v>490</v>
      </c>
      <c r="B301" s="678" t="s">
        <v>253</v>
      </c>
      <c r="C301" s="769">
        <v>0.15</v>
      </c>
      <c r="D301" s="769">
        <v>0.15</v>
      </c>
      <c r="E301" s="769">
        <v>0.15</v>
      </c>
      <c r="F301" s="774"/>
    </row>
    <row r="302" spans="1:6" ht="15" thickBot="1">
      <c r="A302" s="684" t="s">
        <v>490</v>
      </c>
      <c r="B302" s="678" t="s">
        <v>725</v>
      </c>
      <c r="C302" s="769">
        <v>0.15</v>
      </c>
      <c r="D302" s="769">
        <v>0.15</v>
      </c>
      <c r="E302" s="769">
        <v>0.15</v>
      </c>
      <c r="F302" s="770">
        <v>0.15</v>
      </c>
    </row>
    <row r="303" spans="1:6" ht="15" thickBot="1">
      <c r="A303" s="684" t="s">
        <v>490</v>
      </c>
      <c r="B303" s="678" t="s">
        <v>275</v>
      </c>
      <c r="C303" s="769">
        <v>0.15</v>
      </c>
      <c r="D303" s="769">
        <v>0.15</v>
      </c>
      <c r="E303" s="769">
        <v>0.15</v>
      </c>
      <c r="F303" s="770">
        <v>0.15</v>
      </c>
    </row>
    <row r="304" spans="1:6" ht="15" thickBot="1">
      <c r="A304" s="684" t="s">
        <v>490</v>
      </c>
      <c r="B304" s="678" t="s">
        <v>286</v>
      </c>
      <c r="C304" s="769">
        <v>0.15</v>
      </c>
      <c r="D304" s="769">
        <v>0.15</v>
      </c>
      <c r="E304" s="769">
        <v>0.15</v>
      </c>
      <c r="F304" s="774"/>
    </row>
    <row r="305" spans="1:6" ht="15" thickBot="1">
      <c r="A305" s="684" t="s">
        <v>490</v>
      </c>
      <c r="B305" s="678" t="s">
        <v>726</v>
      </c>
      <c r="C305" s="769">
        <v>0.15</v>
      </c>
      <c r="D305" s="769">
        <v>0.15</v>
      </c>
      <c r="E305" s="769">
        <v>0.15</v>
      </c>
      <c r="F305" s="770">
        <v>0.14000000000000001</v>
      </c>
    </row>
    <row r="306" spans="1:6" ht="15" thickBot="1">
      <c r="A306" s="684" t="s">
        <v>490</v>
      </c>
      <c r="B306" s="678" t="s">
        <v>307</v>
      </c>
      <c r="C306" s="769">
        <v>0.15</v>
      </c>
      <c r="D306" s="769">
        <v>0.15</v>
      </c>
      <c r="E306" s="769">
        <v>0.15</v>
      </c>
      <c r="F306" s="774"/>
    </row>
    <row r="307" spans="1:6" ht="15" thickBot="1">
      <c r="A307" s="684" t="s">
        <v>490</v>
      </c>
      <c r="B307" s="678" t="s">
        <v>727</v>
      </c>
      <c r="C307" s="769">
        <v>0.15</v>
      </c>
      <c r="D307" s="769">
        <v>0.15</v>
      </c>
      <c r="E307" s="769">
        <v>0.15</v>
      </c>
      <c r="F307" s="770">
        <v>0.14299999999999999</v>
      </c>
    </row>
    <row r="308" spans="1:6" ht="15" thickBot="1">
      <c r="A308" s="684" t="s">
        <v>490</v>
      </c>
      <c r="B308" s="678" t="s">
        <v>327</v>
      </c>
      <c r="C308" s="769">
        <v>0.15</v>
      </c>
      <c r="D308" s="769">
        <v>0.15</v>
      </c>
      <c r="E308" s="769">
        <v>0.15</v>
      </c>
      <c r="F308" s="770">
        <v>0.15</v>
      </c>
    </row>
    <row r="309" spans="1:6" ht="15" thickBot="1">
      <c r="A309" s="684" t="s">
        <v>490</v>
      </c>
      <c r="B309" s="678" t="s">
        <v>337</v>
      </c>
      <c r="C309" s="769">
        <v>0.15</v>
      </c>
      <c r="D309" s="769">
        <v>0.15</v>
      </c>
      <c r="E309" s="769">
        <v>0.15</v>
      </c>
      <c r="F309" s="774"/>
    </row>
    <row r="310" spans="1:6" ht="15" thickBot="1">
      <c r="A310" s="684" t="s">
        <v>490</v>
      </c>
      <c r="B310" s="678" t="s">
        <v>728</v>
      </c>
      <c r="C310" s="769">
        <v>0.15</v>
      </c>
      <c r="D310" s="769">
        <v>0.15</v>
      </c>
      <c r="E310" s="769">
        <v>0.15</v>
      </c>
      <c r="F310" s="770">
        <v>0.13700000000000001</v>
      </c>
    </row>
    <row r="311" spans="1:6" ht="15" thickBot="1">
      <c r="A311" s="684" t="s">
        <v>490</v>
      </c>
      <c r="B311" s="678" t="s">
        <v>729</v>
      </c>
      <c r="C311" s="769">
        <v>0.15</v>
      </c>
      <c r="D311" s="769">
        <v>0.15</v>
      </c>
      <c r="E311" s="769">
        <v>0.15</v>
      </c>
      <c r="F311" s="770">
        <v>0.15</v>
      </c>
    </row>
    <row r="312" spans="1:6" ht="15" thickBot="1">
      <c r="A312" s="684" t="s">
        <v>490</v>
      </c>
      <c r="B312" s="678" t="s">
        <v>363</v>
      </c>
      <c r="C312" s="769">
        <v>0.15</v>
      </c>
      <c r="D312" s="769">
        <v>0.15</v>
      </c>
      <c r="E312" s="769">
        <v>0.15</v>
      </c>
      <c r="F312" s="770">
        <v>0.1</v>
      </c>
    </row>
    <row r="313" spans="1:6" ht="15" thickBot="1">
      <c r="A313" s="684" t="s">
        <v>490</v>
      </c>
      <c r="B313" s="678" t="s">
        <v>730</v>
      </c>
      <c r="C313" s="769">
        <v>0.15</v>
      </c>
      <c r="D313" s="769">
        <v>0.15</v>
      </c>
      <c r="E313" s="769">
        <v>0.15</v>
      </c>
      <c r="F313" s="770">
        <v>0.15</v>
      </c>
    </row>
    <row r="314" spans="1:6" ht="24.6" thickBot="1">
      <c r="A314" s="684" t="s">
        <v>490</v>
      </c>
      <c r="B314" s="678" t="s">
        <v>731</v>
      </c>
      <c r="C314" s="775"/>
      <c r="D314" s="775"/>
      <c r="E314" s="775"/>
      <c r="F314" s="770">
        <v>0.05</v>
      </c>
    </row>
    <row r="315" spans="1:6" ht="24.6" thickBot="1">
      <c r="A315" s="684" t="s">
        <v>490</v>
      </c>
      <c r="B315" s="678" t="s">
        <v>732</v>
      </c>
      <c r="C315" s="775"/>
      <c r="D315" s="775"/>
      <c r="E315" s="775"/>
      <c r="F315" s="770">
        <v>0.05</v>
      </c>
    </row>
    <row r="316" spans="1:6" ht="24.6" thickBot="1">
      <c r="A316" s="701" t="s">
        <v>490</v>
      </c>
      <c r="B316" s="694" t="s">
        <v>733</v>
      </c>
      <c r="C316" s="772"/>
      <c r="D316" s="772"/>
      <c r="E316" s="772"/>
      <c r="F316" s="776">
        <v>0.05</v>
      </c>
    </row>
    <row r="317" spans="1:6" ht="15" thickBot="1">
      <c r="A317" s="684" t="s">
        <v>734</v>
      </c>
      <c r="B317" s="685" t="s">
        <v>735</v>
      </c>
      <c r="C317" s="767">
        <v>0.15</v>
      </c>
      <c r="D317" s="767">
        <v>0.15</v>
      </c>
      <c r="E317" s="767">
        <v>0.15</v>
      </c>
      <c r="F317" s="768">
        <v>0.15</v>
      </c>
    </row>
    <row r="318" spans="1:6" ht="15" thickBot="1">
      <c r="A318" s="684" t="s">
        <v>734</v>
      </c>
      <c r="B318" s="678" t="s">
        <v>736</v>
      </c>
      <c r="C318" s="769">
        <v>0.107</v>
      </c>
      <c r="D318" s="769">
        <v>0.11</v>
      </c>
      <c r="E318" s="769">
        <v>0.112</v>
      </c>
      <c r="F318" s="774"/>
    </row>
    <row r="319" spans="1:6" ht="15" thickBot="1">
      <c r="A319" s="684" t="s">
        <v>734</v>
      </c>
      <c r="B319" s="678" t="s">
        <v>737</v>
      </c>
      <c r="C319" s="769">
        <v>0.15</v>
      </c>
      <c r="D319" s="769">
        <v>0.15</v>
      </c>
      <c r="E319" s="769">
        <v>0.15</v>
      </c>
      <c r="F319" s="770">
        <v>0.15</v>
      </c>
    </row>
    <row r="320" spans="1:6" ht="15" thickBot="1">
      <c r="A320" s="684" t="s">
        <v>734</v>
      </c>
      <c r="B320" s="678" t="s">
        <v>171</v>
      </c>
      <c r="C320" s="769">
        <v>0.15</v>
      </c>
      <c r="D320" s="769">
        <v>0.15</v>
      </c>
      <c r="E320" s="769">
        <v>0.15</v>
      </c>
      <c r="F320" s="774"/>
    </row>
    <row r="321" spans="1:6" ht="15" thickBot="1">
      <c r="A321" s="684" t="s">
        <v>734</v>
      </c>
      <c r="B321" s="678" t="s">
        <v>738</v>
      </c>
      <c r="C321" s="769">
        <v>0.15</v>
      </c>
      <c r="D321" s="769">
        <v>0.15</v>
      </c>
      <c r="E321" s="769">
        <v>0.15</v>
      </c>
      <c r="F321" s="774"/>
    </row>
    <row r="322" spans="1:6" ht="15" thickBot="1">
      <c r="A322" s="684" t="s">
        <v>734</v>
      </c>
      <c r="B322" s="678" t="s">
        <v>739</v>
      </c>
      <c r="C322" s="769">
        <v>0.15</v>
      </c>
      <c r="D322" s="769">
        <v>0.15</v>
      </c>
      <c r="E322" s="769">
        <v>0.15</v>
      </c>
      <c r="F322" s="770">
        <v>0.15</v>
      </c>
    </row>
    <row r="323" spans="1:6" ht="15" thickBot="1">
      <c r="A323" s="684" t="s">
        <v>734</v>
      </c>
      <c r="B323" s="678" t="s">
        <v>740</v>
      </c>
      <c r="C323" s="769">
        <v>0.15</v>
      </c>
      <c r="D323" s="769">
        <v>0.15</v>
      </c>
      <c r="E323" s="769">
        <v>0.15</v>
      </c>
      <c r="F323" s="774"/>
    </row>
    <row r="324" spans="1:6" ht="15" thickBot="1">
      <c r="A324" s="684" t="s">
        <v>734</v>
      </c>
      <c r="B324" s="678" t="s">
        <v>741</v>
      </c>
      <c r="C324" s="769">
        <v>0.15</v>
      </c>
      <c r="D324" s="769">
        <v>0.15</v>
      </c>
      <c r="E324" s="769">
        <v>0.15</v>
      </c>
      <c r="F324" s="774"/>
    </row>
    <row r="325" spans="1:6" ht="15" thickBot="1">
      <c r="A325" s="684" t="s">
        <v>734</v>
      </c>
      <c r="B325" s="678" t="s">
        <v>742</v>
      </c>
      <c r="C325" s="769">
        <v>0.15</v>
      </c>
      <c r="D325" s="769">
        <v>0.15</v>
      </c>
      <c r="E325" s="769">
        <v>0.15</v>
      </c>
      <c r="F325" s="770">
        <v>0.14699999999999999</v>
      </c>
    </row>
    <row r="326" spans="1:6" ht="15" thickBot="1">
      <c r="A326" s="684" t="s">
        <v>734</v>
      </c>
      <c r="B326" s="678" t="s">
        <v>243</v>
      </c>
      <c r="C326" s="769">
        <v>0.15</v>
      </c>
      <c r="D326" s="769">
        <v>0.15</v>
      </c>
      <c r="E326" s="769">
        <v>0.15</v>
      </c>
      <c r="F326" s="774"/>
    </row>
    <row r="327" spans="1:6" ht="15" thickBot="1">
      <c r="A327" s="684" t="s">
        <v>734</v>
      </c>
      <c r="B327" s="678" t="s">
        <v>743</v>
      </c>
      <c r="C327" s="769">
        <v>0.15</v>
      </c>
      <c r="D327" s="769">
        <v>0.15</v>
      </c>
      <c r="E327" s="769">
        <v>0.15</v>
      </c>
      <c r="F327" s="770">
        <v>0.15</v>
      </c>
    </row>
    <row r="328" spans="1:6" ht="15" thickBot="1">
      <c r="A328" s="684" t="s">
        <v>734</v>
      </c>
      <c r="B328" s="678" t="s">
        <v>265</v>
      </c>
      <c r="C328" s="769">
        <v>0.15</v>
      </c>
      <c r="D328" s="769">
        <v>0.15</v>
      </c>
      <c r="E328" s="769">
        <v>0.15</v>
      </c>
      <c r="F328" s="770">
        <v>0.14099999999999999</v>
      </c>
    </row>
    <row r="329" spans="1:6" ht="15" thickBot="1">
      <c r="A329" s="684" t="s">
        <v>734</v>
      </c>
      <c r="B329" s="678" t="s">
        <v>276</v>
      </c>
      <c r="C329" s="769">
        <v>0.15</v>
      </c>
      <c r="D329" s="769">
        <v>0.15</v>
      </c>
      <c r="E329" s="769">
        <v>0.15</v>
      </c>
      <c r="F329" s="770">
        <v>0.15</v>
      </c>
    </row>
    <row r="330" spans="1:6" ht="15" thickBot="1">
      <c r="A330" s="684" t="s">
        <v>734</v>
      </c>
      <c r="B330" s="678" t="s">
        <v>287</v>
      </c>
      <c r="C330" s="769">
        <v>0.15</v>
      </c>
      <c r="D330" s="769">
        <v>0.15</v>
      </c>
      <c r="E330" s="769">
        <v>0.15</v>
      </c>
      <c r="F330" s="774"/>
    </row>
    <row r="331" spans="1:6" ht="15" thickBot="1">
      <c r="A331" s="684" t="s">
        <v>734</v>
      </c>
      <c r="B331" s="678" t="s">
        <v>744</v>
      </c>
      <c r="C331" s="769">
        <v>0.15</v>
      </c>
      <c r="D331" s="769">
        <v>0.15</v>
      </c>
      <c r="E331" s="769">
        <v>0.15</v>
      </c>
      <c r="F331" s="770">
        <v>0.15</v>
      </c>
    </row>
    <row r="332" spans="1:6" ht="15" thickBot="1">
      <c r="A332" s="684" t="s">
        <v>734</v>
      </c>
      <c r="B332" s="678" t="s">
        <v>308</v>
      </c>
      <c r="C332" s="769">
        <v>0.15</v>
      </c>
      <c r="D332" s="769">
        <v>0.15</v>
      </c>
      <c r="E332" s="769">
        <v>0.15</v>
      </c>
      <c r="F332" s="770">
        <v>0.15</v>
      </c>
    </row>
    <row r="333" spans="1:6" ht="15" thickBot="1">
      <c r="A333" s="684" t="s">
        <v>734</v>
      </c>
      <c r="B333" s="678" t="s">
        <v>745</v>
      </c>
      <c r="C333" s="769">
        <v>0.15</v>
      </c>
      <c r="D333" s="769">
        <v>0.15</v>
      </c>
      <c r="E333" s="769">
        <v>0.15</v>
      </c>
      <c r="F333" s="770">
        <v>0.14099999999999999</v>
      </c>
    </row>
    <row r="334" spans="1:6" ht="15" thickBot="1">
      <c r="A334" s="684" t="s">
        <v>734</v>
      </c>
      <c r="B334" s="678" t="s">
        <v>328</v>
      </c>
      <c r="C334" s="769">
        <v>0.15</v>
      </c>
      <c r="D334" s="769">
        <v>0.15</v>
      </c>
      <c r="E334" s="769">
        <v>0.15</v>
      </c>
      <c r="F334" s="770">
        <v>0.15</v>
      </c>
    </row>
    <row r="335" spans="1:6" ht="15" thickBot="1">
      <c r="A335" s="684" t="s">
        <v>734</v>
      </c>
      <c r="B335" s="678" t="s">
        <v>338</v>
      </c>
      <c r="C335" s="769">
        <v>0.15</v>
      </c>
      <c r="D335" s="769">
        <v>0.15</v>
      </c>
      <c r="E335" s="769">
        <v>0.15</v>
      </c>
      <c r="F335" s="774"/>
    </row>
    <row r="336" spans="1:6" ht="15" thickBot="1">
      <c r="A336" s="684" t="s">
        <v>734</v>
      </c>
      <c r="B336" s="678" t="s">
        <v>746</v>
      </c>
      <c r="C336" s="769">
        <v>0.15</v>
      </c>
      <c r="D336" s="769">
        <v>0.15</v>
      </c>
      <c r="E336" s="769">
        <v>0.15</v>
      </c>
      <c r="F336" s="770">
        <v>0.11799999999999999</v>
      </c>
    </row>
    <row r="337" spans="1:6" ht="15" thickBot="1">
      <c r="A337" s="701" t="s">
        <v>734</v>
      </c>
      <c r="B337" s="694" t="s">
        <v>356</v>
      </c>
      <c r="C337" s="772"/>
      <c r="D337" s="772"/>
      <c r="E337" s="772"/>
      <c r="F337" s="776">
        <v>0.14299999999999999</v>
      </c>
    </row>
    <row r="338" spans="1:6" ht="15" thickBot="1">
      <c r="A338" s="684" t="s">
        <v>747</v>
      </c>
      <c r="B338" s="685" t="s">
        <v>748</v>
      </c>
      <c r="C338" s="767">
        <v>0.15</v>
      </c>
      <c r="D338" s="767">
        <v>0.15</v>
      </c>
      <c r="E338" s="767">
        <v>0.15</v>
      </c>
      <c r="F338" s="784"/>
    </row>
    <row r="339" spans="1:6" ht="15" thickBot="1">
      <c r="A339" s="684" t="s">
        <v>747</v>
      </c>
      <c r="B339" s="678" t="s">
        <v>749</v>
      </c>
      <c r="C339" s="769">
        <v>0.15</v>
      </c>
      <c r="D339" s="769">
        <v>0.15</v>
      </c>
      <c r="E339" s="769">
        <v>0.15</v>
      </c>
      <c r="F339" s="774"/>
    </row>
    <row r="340" spans="1:6" ht="15" thickBot="1">
      <c r="A340" s="684" t="s">
        <v>747</v>
      </c>
      <c r="B340" s="678" t="s">
        <v>750</v>
      </c>
      <c r="C340" s="769">
        <v>0.15</v>
      </c>
      <c r="D340" s="769">
        <v>0.15</v>
      </c>
      <c r="E340" s="769">
        <v>0.15</v>
      </c>
      <c r="F340" s="774"/>
    </row>
    <row r="341" spans="1:6" ht="15" thickBot="1">
      <c r="A341" s="684" t="s">
        <v>747</v>
      </c>
      <c r="B341" s="678" t="s">
        <v>751</v>
      </c>
      <c r="C341" s="769">
        <v>0.15</v>
      </c>
      <c r="D341" s="769">
        <v>0.15</v>
      </c>
      <c r="E341" s="769">
        <v>0.15</v>
      </c>
      <c r="F341" s="770">
        <v>0.15</v>
      </c>
    </row>
    <row r="342" spans="1:6" ht="15" thickBot="1">
      <c r="A342" s="684" t="s">
        <v>747</v>
      </c>
      <c r="B342" s="678" t="s">
        <v>752</v>
      </c>
      <c r="C342" s="769">
        <v>0.15</v>
      </c>
      <c r="D342" s="769">
        <v>0.15</v>
      </c>
      <c r="E342" s="769">
        <v>0.15</v>
      </c>
      <c r="F342" s="770">
        <v>0.15</v>
      </c>
    </row>
    <row r="343" spans="1:6" ht="15" thickBot="1">
      <c r="A343" s="684" t="s">
        <v>747</v>
      </c>
      <c r="B343" s="678" t="s">
        <v>753</v>
      </c>
      <c r="C343" s="769">
        <v>0.15</v>
      </c>
      <c r="D343" s="769">
        <v>0.15</v>
      </c>
      <c r="E343" s="769">
        <v>0.15</v>
      </c>
      <c r="F343" s="770">
        <v>0.15</v>
      </c>
    </row>
    <row r="344" spans="1:6" ht="15" thickBot="1">
      <c r="A344" s="701" t="s">
        <v>747</v>
      </c>
      <c r="B344" s="694" t="s">
        <v>754</v>
      </c>
      <c r="C344" s="771">
        <v>0.15</v>
      </c>
      <c r="D344" s="771">
        <v>0.15</v>
      </c>
      <c r="E344" s="771">
        <v>0.15</v>
      </c>
      <c r="F344" s="77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57" customWidth="1"/>
    <col min="2" max="2" width="40.6640625" style="890" customWidth="1"/>
    <col min="3" max="3" width="9" style="891"/>
    <col min="4" max="5" width="9" style="403"/>
    <col min="6" max="6" width="9" style="892"/>
    <col min="7" max="7" width="11.88671875" style="757" customWidth="1"/>
    <col min="8" max="8" width="9" style="892"/>
    <col min="9" max="13" width="9" style="757"/>
    <col min="14" max="20" width="9" style="882"/>
    <col min="21" max="16384" width="9" style="757"/>
  </cols>
  <sheetData>
    <row r="1" spans="1:13" ht="18" customHeight="1" thickBot="1">
      <c r="A1" s="642" t="s">
        <v>529</v>
      </c>
      <c r="B1" s="643"/>
      <c r="C1" s="878"/>
      <c r="D1" s="879"/>
      <c r="E1" s="879"/>
      <c r="F1" s="880"/>
      <c r="G1" s="881"/>
      <c r="H1" s="880"/>
      <c r="I1" s="881"/>
      <c r="J1" s="881"/>
      <c r="K1" s="881"/>
      <c r="L1" s="881"/>
      <c r="M1" s="881"/>
    </row>
    <row r="2" spans="1:13" ht="18" customHeight="1">
      <c r="A2" s="645" t="s">
        <v>132</v>
      </c>
      <c r="B2" s="646">
        <f>1+F4</f>
        <v>1.0128999999999999</v>
      </c>
      <c r="C2" s="647"/>
      <c r="D2" s="648"/>
      <c r="E2" s="648"/>
      <c r="F2" s="649"/>
      <c r="G2" s="883"/>
      <c r="H2" s="880"/>
      <c r="I2" s="881"/>
      <c r="J2" s="881"/>
      <c r="K2" s="881"/>
      <c r="L2" s="881"/>
      <c r="M2" s="881"/>
    </row>
    <row r="3" spans="1:13" ht="24">
      <c r="A3" s="650" t="s">
        <v>530</v>
      </c>
      <c r="B3" s="651" t="s">
        <v>531</v>
      </c>
      <c r="C3" s="652" t="s">
        <v>532</v>
      </c>
      <c r="D3" s="653" t="s">
        <v>554</v>
      </c>
      <c r="E3" s="653" t="s">
        <v>555</v>
      </c>
      <c r="F3" s="654" t="s">
        <v>556</v>
      </c>
      <c r="G3" s="655" t="s">
        <v>755</v>
      </c>
      <c r="H3" s="653" t="s">
        <v>550</v>
      </c>
      <c r="I3" s="477" t="s">
        <v>82</v>
      </c>
      <c r="J3" s="477" t="s">
        <v>83</v>
      </c>
      <c r="K3" s="477" t="s">
        <v>84</v>
      </c>
      <c r="L3" s="477" t="s">
        <v>85</v>
      </c>
      <c r="M3" s="477" t="s">
        <v>86</v>
      </c>
    </row>
    <row r="4" spans="1:13" ht="24">
      <c r="A4" s="650" t="s">
        <v>533</v>
      </c>
      <c r="B4" s="656" t="str">
        <f>估价对象房地状况!C4</f>
        <v>估价对象位于XX商圈，周边商业氛围成熟，人流量大，商业繁华度好</v>
      </c>
      <c r="C4" s="638" t="s">
        <v>534</v>
      </c>
      <c r="D4" s="657">
        <f>SUMIF($I$3:$M$3,C4,I4:M4)</f>
        <v>0.02</v>
      </c>
      <c r="E4" s="658">
        <v>0.33</v>
      </c>
      <c r="F4" s="659">
        <f>D4*E4+D5*E5+D6*E6+D7*E7+D8*E8+D9*E9+D10*E10+D11*E11+D12*E12</f>
        <v>1.29E-2</v>
      </c>
      <c r="G4" s="660" t="str">
        <f>IF(基准地价修正!E2="商业",SUMIF(基准地价修正!L1:L12,基准地价修正!G2,基准地价修正!N1:N12),"——")</f>
        <v>——</v>
      </c>
      <c r="H4" s="719">
        <v>0.02</v>
      </c>
      <c r="I4" s="637">
        <f>J4+$H4</f>
        <v>0.04</v>
      </c>
      <c r="J4" s="637">
        <f>$K4+$H4</f>
        <v>0.02</v>
      </c>
      <c r="K4" s="636">
        <v>0</v>
      </c>
      <c r="L4" s="637">
        <f t="shared" ref="L4:M12" si="0">K4-$H4</f>
        <v>-0.02</v>
      </c>
      <c r="M4" s="637">
        <f t="shared" si="0"/>
        <v>-0.04</v>
      </c>
    </row>
    <row r="5" spans="1:13" ht="24">
      <c r="A5" s="650" t="s">
        <v>535</v>
      </c>
      <c r="B5" s="651" t="str">
        <f>估价对象房地状况!C6</f>
        <v>估价对象周边道路状况、公共交通通达情况、停车便捷程度，综合评价交通便捷度较好</v>
      </c>
      <c r="C5" s="638" t="s">
        <v>31</v>
      </c>
      <c r="D5" s="657">
        <f t="shared" ref="D5:D12" si="1">SUMIF($I$3:$M$3,C5,I5:M5)</f>
        <v>0</v>
      </c>
      <c r="E5" s="658">
        <v>0.25</v>
      </c>
      <c r="F5" s="661"/>
      <c r="G5" s="884"/>
      <c r="H5" s="719">
        <v>0.01</v>
      </c>
      <c r="I5" s="637">
        <f t="shared" ref="I5:I12" si="2">J5+$H5</f>
        <v>0.02</v>
      </c>
      <c r="J5" s="637">
        <f t="shared" ref="J5:J12" si="3">$K5+$H5</f>
        <v>0.01</v>
      </c>
      <c r="K5" s="636">
        <v>0</v>
      </c>
      <c r="L5" s="637">
        <f t="shared" si="0"/>
        <v>-0.01</v>
      </c>
      <c r="M5" s="637">
        <f t="shared" si="0"/>
        <v>-0.02</v>
      </c>
    </row>
    <row r="6" spans="1:13" ht="14.4">
      <c r="A6" s="650" t="s">
        <v>536</v>
      </c>
      <c r="B6" s="651">
        <f>估价对象房地状况!C19</f>
        <v>0</v>
      </c>
      <c r="C6" s="638" t="s">
        <v>534</v>
      </c>
      <c r="D6" s="657">
        <f t="shared" si="1"/>
        <v>0.02</v>
      </c>
      <c r="E6" s="658">
        <v>0.05</v>
      </c>
      <c r="F6" s="661"/>
      <c r="G6" s="884"/>
      <c r="H6" s="719">
        <v>0.02</v>
      </c>
      <c r="I6" s="637">
        <f t="shared" si="2"/>
        <v>0.04</v>
      </c>
      <c r="J6" s="637">
        <f t="shared" si="3"/>
        <v>0.02</v>
      </c>
      <c r="K6" s="636">
        <v>0</v>
      </c>
      <c r="L6" s="637">
        <f t="shared" si="0"/>
        <v>-0.02</v>
      </c>
      <c r="M6" s="637">
        <f t="shared" si="0"/>
        <v>-0.04</v>
      </c>
    </row>
    <row r="7" spans="1:13" ht="24">
      <c r="A7" s="650" t="s">
        <v>537</v>
      </c>
      <c r="B7" s="639" t="s">
        <v>557</v>
      </c>
      <c r="C7" s="638" t="s">
        <v>35</v>
      </c>
      <c r="D7" s="657">
        <f t="shared" si="1"/>
        <v>-0.02</v>
      </c>
      <c r="E7" s="658">
        <v>0.05</v>
      </c>
      <c r="F7" s="661"/>
      <c r="G7" s="884"/>
      <c r="H7" s="719">
        <v>0.01</v>
      </c>
      <c r="I7" s="637">
        <f t="shared" si="2"/>
        <v>0.02</v>
      </c>
      <c r="J7" s="637">
        <f t="shared" si="3"/>
        <v>0.01</v>
      </c>
      <c r="K7" s="636">
        <v>0</v>
      </c>
      <c r="L7" s="637">
        <f t="shared" si="0"/>
        <v>-0.01</v>
      </c>
      <c r="M7" s="637">
        <f t="shared" si="0"/>
        <v>-0.02</v>
      </c>
    </row>
    <row r="8" spans="1:13" ht="14.4">
      <c r="A8" s="650" t="s">
        <v>538</v>
      </c>
      <c r="B8" s="651">
        <f>估价对象房地状况!C10</f>
        <v>0</v>
      </c>
      <c r="C8" s="638" t="s">
        <v>534</v>
      </c>
      <c r="D8" s="657">
        <f t="shared" si="1"/>
        <v>0.02</v>
      </c>
      <c r="E8" s="658">
        <v>0.08</v>
      </c>
      <c r="F8" s="661"/>
      <c r="G8" s="884"/>
      <c r="H8" s="719">
        <v>0.02</v>
      </c>
      <c r="I8" s="637">
        <f t="shared" si="2"/>
        <v>0.04</v>
      </c>
      <c r="J8" s="637">
        <f t="shared" si="3"/>
        <v>0.02</v>
      </c>
      <c r="K8" s="636">
        <v>0</v>
      </c>
      <c r="L8" s="637">
        <f t="shared" si="0"/>
        <v>-0.02</v>
      </c>
      <c r="M8" s="637">
        <f t="shared" si="0"/>
        <v>-0.04</v>
      </c>
    </row>
    <row r="9" spans="1:13" ht="24">
      <c r="A9" s="650" t="s">
        <v>539</v>
      </c>
      <c r="B9" s="640" t="s">
        <v>558</v>
      </c>
      <c r="C9" s="638" t="s">
        <v>534</v>
      </c>
      <c r="D9" s="657">
        <f t="shared" si="1"/>
        <v>0.01</v>
      </c>
      <c r="E9" s="658">
        <v>0.03</v>
      </c>
      <c r="F9" s="661"/>
      <c r="G9" s="884"/>
      <c r="H9" s="719">
        <v>0.01</v>
      </c>
      <c r="I9" s="637">
        <f t="shared" si="2"/>
        <v>0.02</v>
      </c>
      <c r="J9" s="637">
        <f t="shared" si="3"/>
        <v>0.01</v>
      </c>
      <c r="K9" s="636">
        <v>0</v>
      </c>
      <c r="L9" s="637">
        <f t="shared" si="0"/>
        <v>-0.01</v>
      </c>
      <c r="M9" s="637">
        <f t="shared" si="0"/>
        <v>-0.02</v>
      </c>
    </row>
    <row r="10" spans="1:13" ht="14.4">
      <c r="A10" s="662" t="s">
        <v>540</v>
      </c>
      <c r="B10" s="837" t="str">
        <f>估价对象房地状况!C7</f>
        <v>估价对象所在区域公共配套设施齐备情况</v>
      </c>
      <c r="C10" s="638" t="s">
        <v>29</v>
      </c>
      <c r="D10" s="657">
        <f t="shared" si="1"/>
        <v>0.04</v>
      </c>
      <c r="E10" s="658">
        <v>0.05</v>
      </c>
      <c r="F10" s="661"/>
      <c r="G10" s="884"/>
      <c r="H10" s="719">
        <v>0.02</v>
      </c>
      <c r="I10" s="637">
        <f t="shared" si="2"/>
        <v>0.04</v>
      </c>
      <c r="J10" s="637">
        <f t="shared" si="3"/>
        <v>0.02</v>
      </c>
      <c r="K10" s="636">
        <v>0</v>
      </c>
      <c r="L10" s="637">
        <f t="shared" si="0"/>
        <v>-0.02</v>
      </c>
      <c r="M10" s="637">
        <f t="shared" si="0"/>
        <v>-0.04</v>
      </c>
    </row>
    <row r="11" spans="1:13" ht="14.4">
      <c r="A11" s="662" t="s">
        <v>541</v>
      </c>
      <c r="B11" s="838"/>
      <c r="C11" s="638" t="s">
        <v>31</v>
      </c>
      <c r="D11" s="657">
        <f t="shared" si="1"/>
        <v>0</v>
      </c>
      <c r="E11" s="658">
        <v>0.1</v>
      </c>
      <c r="F11" s="661"/>
      <c r="G11" s="884"/>
      <c r="H11" s="719">
        <v>0.01</v>
      </c>
      <c r="I11" s="637">
        <f t="shared" si="2"/>
        <v>0.02</v>
      </c>
      <c r="J11" s="637">
        <f t="shared" si="3"/>
        <v>0.01</v>
      </c>
      <c r="K11" s="636">
        <v>0</v>
      </c>
      <c r="L11" s="637">
        <f t="shared" si="0"/>
        <v>-0.01</v>
      </c>
      <c r="M11" s="637">
        <f t="shared" si="0"/>
        <v>-0.02</v>
      </c>
    </row>
    <row r="12" spans="1:13" ht="24.6" thickBot="1">
      <c r="A12" s="663" t="s">
        <v>542</v>
      </c>
      <c r="B12" s="664" t="str">
        <f>估价对象房地状况!C9</f>
        <v>区域自然环境：；人文环境；综合评价环境状况一般</v>
      </c>
      <c r="C12" s="638" t="s">
        <v>29</v>
      </c>
      <c r="D12" s="657">
        <f t="shared" si="1"/>
        <v>0.04</v>
      </c>
      <c r="E12" s="665">
        <v>0.06</v>
      </c>
      <c r="F12" s="666"/>
      <c r="G12" s="884"/>
      <c r="H12" s="719">
        <v>0.02</v>
      </c>
      <c r="I12" s="637">
        <f t="shared" si="2"/>
        <v>0.04</v>
      </c>
      <c r="J12" s="637">
        <f t="shared" si="3"/>
        <v>0.02</v>
      </c>
      <c r="K12" s="636">
        <v>0</v>
      </c>
      <c r="L12" s="637">
        <f t="shared" si="0"/>
        <v>-0.02</v>
      </c>
      <c r="M12" s="637">
        <f t="shared" si="0"/>
        <v>-0.04</v>
      </c>
    </row>
    <row r="13" spans="1:13" ht="18" customHeight="1">
      <c r="A13" s="645" t="s">
        <v>133</v>
      </c>
      <c r="B13" s="646">
        <f>1+F15</f>
        <v>1.0148999999999999</v>
      </c>
      <c r="C13" s="885"/>
      <c r="D13" s="648"/>
      <c r="E13" s="648"/>
      <c r="F13" s="649"/>
      <c r="G13" s="883"/>
      <c r="H13" s="880"/>
      <c r="I13" s="644"/>
      <c r="J13" s="644"/>
      <c r="K13" s="644"/>
      <c r="L13" s="644"/>
      <c r="M13" s="644"/>
    </row>
    <row r="14" spans="1:13" ht="18" customHeight="1">
      <c r="A14" s="650" t="s">
        <v>530</v>
      </c>
      <c r="B14" s="651"/>
      <c r="C14" s="652" t="s">
        <v>532</v>
      </c>
      <c r="D14" s="653" t="s">
        <v>551</v>
      </c>
      <c r="E14" s="653" t="s">
        <v>552</v>
      </c>
      <c r="F14" s="654" t="s">
        <v>553</v>
      </c>
      <c r="G14" s="655" t="s">
        <v>755</v>
      </c>
      <c r="H14" s="653" t="s">
        <v>550</v>
      </c>
      <c r="I14" s="477" t="s">
        <v>82</v>
      </c>
      <c r="J14" s="477" t="s">
        <v>83</v>
      </c>
      <c r="K14" s="477" t="s">
        <v>84</v>
      </c>
      <c r="L14" s="477" t="s">
        <v>85</v>
      </c>
      <c r="M14" s="477" t="s">
        <v>86</v>
      </c>
    </row>
    <row r="15" spans="1:13" ht="24">
      <c r="A15" s="650" t="s">
        <v>543</v>
      </c>
      <c r="B15" s="656" t="str">
        <f>估价对象房地状况!C5</f>
        <v>估价对象位于XX商圈，周边办公楼项目较多，入驻率高，办公集聚程度较好</v>
      </c>
      <c r="C15" s="638" t="s">
        <v>534</v>
      </c>
      <c r="D15" s="657">
        <f t="shared" ref="D15:D23" si="4">SUMIF($I$3:$M$3,C15,I15:M15)</f>
        <v>0.02</v>
      </c>
      <c r="E15" s="658">
        <v>0.24</v>
      </c>
      <c r="F15" s="659">
        <f>D15*E15+D16*E16+D17*E17+D18*E18+D19*E19+D20*E20+D21*E21+D22*E22+D23*E23</f>
        <v>1.49E-2</v>
      </c>
      <c r="G15" s="660" t="str">
        <f>IF(基准地价修正!E2="办公",SUMIF(基准地价修正!L1:L12,基准地价修正!G2,基准地价修正!N1:N12),"——")</f>
        <v>——</v>
      </c>
      <c r="H15" s="719">
        <v>0.02</v>
      </c>
      <c r="I15" s="637">
        <f>J15+$H15</f>
        <v>0.04</v>
      </c>
      <c r="J15" s="637">
        <f>$K15+$H15</f>
        <v>0.02</v>
      </c>
      <c r="K15" s="636">
        <v>0</v>
      </c>
      <c r="L15" s="637">
        <f t="shared" ref="L15:M23" si="5">K15-$H15</f>
        <v>-0.02</v>
      </c>
      <c r="M15" s="637">
        <f t="shared" si="5"/>
        <v>-0.04</v>
      </c>
    </row>
    <row r="16" spans="1:13" ht="24">
      <c r="A16" s="650" t="s">
        <v>535</v>
      </c>
      <c r="B16" s="651" t="str">
        <f>估价对象房地状况!C6</f>
        <v>估价对象周边道路状况、公共交通通达情况、停车便捷程度，综合评价交通便捷度较好</v>
      </c>
      <c r="C16" s="638" t="s">
        <v>534</v>
      </c>
      <c r="D16" s="657">
        <f t="shared" si="4"/>
        <v>0.01</v>
      </c>
      <c r="E16" s="658">
        <v>0.3</v>
      </c>
      <c r="F16" s="661"/>
      <c r="G16" s="884"/>
      <c r="H16" s="719">
        <v>0.01</v>
      </c>
      <c r="I16" s="637">
        <f t="shared" ref="I16:I23" si="6">J16+$H16</f>
        <v>0.02</v>
      </c>
      <c r="J16" s="637">
        <f t="shared" ref="J16:J23" si="7">$K16+$H16</f>
        <v>0.01</v>
      </c>
      <c r="K16" s="636">
        <v>0</v>
      </c>
      <c r="L16" s="637">
        <f t="shared" si="5"/>
        <v>-0.01</v>
      </c>
      <c r="M16" s="637">
        <f t="shared" si="5"/>
        <v>-0.02</v>
      </c>
    </row>
    <row r="17" spans="1:13" ht="14.4">
      <c r="A17" s="650" t="s">
        <v>536</v>
      </c>
      <c r="B17" s="651">
        <f>估价对象房地状况!C19</f>
        <v>0</v>
      </c>
      <c r="C17" s="638" t="s">
        <v>534</v>
      </c>
      <c r="D17" s="657">
        <f t="shared" si="4"/>
        <v>0.02</v>
      </c>
      <c r="E17" s="658">
        <v>0.08</v>
      </c>
      <c r="F17" s="661"/>
      <c r="G17" s="884"/>
      <c r="H17" s="719">
        <v>0.02</v>
      </c>
      <c r="I17" s="637">
        <f t="shared" si="6"/>
        <v>0.04</v>
      </c>
      <c r="J17" s="637">
        <f t="shared" si="7"/>
        <v>0.02</v>
      </c>
      <c r="K17" s="636">
        <v>0</v>
      </c>
      <c r="L17" s="637">
        <f t="shared" si="5"/>
        <v>-0.02</v>
      </c>
      <c r="M17" s="637">
        <f t="shared" si="5"/>
        <v>-0.04</v>
      </c>
    </row>
    <row r="18" spans="1:13" ht="24">
      <c r="A18" s="650" t="s">
        <v>537</v>
      </c>
      <c r="B18" s="639" t="s">
        <v>557</v>
      </c>
      <c r="C18" s="638" t="s">
        <v>30</v>
      </c>
      <c r="D18" s="657">
        <f t="shared" si="4"/>
        <v>0.01</v>
      </c>
      <c r="E18" s="658">
        <v>0.04</v>
      </c>
      <c r="F18" s="661"/>
      <c r="G18" s="884"/>
      <c r="H18" s="719">
        <v>0.01</v>
      </c>
      <c r="I18" s="637">
        <f t="shared" si="6"/>
        <v>0.02</v>
      </c>
      <c r="J18" s="637">
        <f t="shared" si="7"/>
        <v>0.01</v>
      </c>
      <c r="K18" s="636">
        <v>0</v>
      </c>
      <c r="L18" s="637">
        <f t="shared" si="5"/>
        <v>-0.01</v>
      </c>
      <c r="M18" s="637">
        <f t="shared" si="5"/>
        <v>-0.02</v>
      </c>
    </row>
    <row r="19" spans="1:13" ht="14.4">
      <c r="A19" s="650" t="s">
        <v>538</v>
      </c>
      <c r="B19" s="651">
        <f>估价对象房地状况!C10</f>
        <v>0</v>
      </c>
      <c r="C19" s="638" t="s">
        <v>534</v>
      </c>
      <c r="D19" s="657">
        <f t="shared" si="4"/>
        <v>0.02</v>
      </c>
      <c r="E19" s="658">
        <v>0.05</v>
      </c>
      <c r="F19" s="661"/>
      <c r="G19" s="884"/>
      <c r="H19" s="719">
        <v>0.02</v>
      </c>
      <c r="I19" s="637">
        <f t="shared" si="6"/>
        <v>0.04</v>
      </c>
      <c r="J19" s="637">
        <f t="shared" si="7"/>
        <v>0.02</v>
      </c>
      <c r="K19" s="636">
        <v>0</v>
      </c>
      <c r="L19" s="637">
        <f t="shared" si="5"/>
        <v>-0.02</v>
      </c>
      <c r="M19" s="637">
        <f t="shared" si="5"/>
        <v>-0.04</v>
      </c>
    </row>
    <row r="20" spans="1:13" ht="24">
      <c r="A20" s="650" t="s">
        <v>539</v>
      </c>
      <c r="B20" s="640" t="s">
        <v>558</v>
      </c>
      <c r="C20" s="638" t="s">
        <v>534</v>
      </c>
      <c r="D20" s="657">
        <f t="shared" si="4"/>
        <v>0.01</v>
      </c>
      <c r="E20" s="658">
        <v>0.05</v>
      </c>
      <c r="F20" s="661"/>
      <c r="G20" s="884"/>
      <c r="H20" s="719">
        <v>0.01</v>
      </c>
      <c r="I20" s="637">
        <f t="shared" si="6"/>
        <v>0.02</v>
      </c>
      <c r="J20" s="637">
        <f t="shared" si="7"/>
        <v>0.01</v>
      </c>
      <c r="K20" s="636">
        <v>0</v>
      </c>
      <c r="L20" s="637">
        <f t="shared" si="5"/>
        <v>-0.01</v>
      </c>
      <c r="M20" s="637">
        <f t="shared" si="5"/>
        <v>-0.02</v>
      </c>
    </row>
    <row r="21" spans="1:13" ht="14.4">
      <c r="A21" s="650" t="s">
        <v>540</v>
      </c>
      <c r="B21" s="837" t="str">
        <f>估价对象房地状况!C7</f>
        <v>估价对象所在区域公共配套设施齐备情况</v>
      </c>
      <c r="C21" s="638" t="s">
        <v>534</v>
      </c>
      <c r="D21" s="657">
        <f t="shared" si="4"/>
        <v>0.02</v>
      </c>
      <c r="E21" s="658">
        <v>0.06</v>
      </c>
      <c r="F21" s="661"/>
      <c r="G21" s="884"/>
      <c r="H21" s="719">
        <v>0.02</v>
      </c>
      <c r="I21" s="637">
        <f t="shared" si="6"/>
        <v>0.04</v>
      </c>
      <c r="J21" s="637">
        <f t="shared" si="7"/>
        <v>0.02</v>
      </c>
      <c r="K21" s="636">
        <v>0</v>
      </c>
      <c r="L21" s="637">
        <f t="shared" si="5"/>
        <v>-0.02</v>
      </c>
      <c r="M21" s="637">
        <f t="shared" si="5"/>
        <v>-0.04</v>
      </c>
    </row>
    <row r="22" spans="1:13" ht="14.4">
      <c r="A22" s="650" t="s">
        <v>541</v>
      </c>
      <c r="B22" s="838"/>
      <c r="C22" s="638" t="s">
        <v>534</v>
      </c>
      <c r="D22" s="657">
        <f t="shared" si="4"/>
        <v>0.01</v>
      </c>
      <c r="E22" s="658">
        <v>0.12</v>
      </c>
      <c r="F22" s="661"/>
      <c r="G22" s="884"/>
      <c r="H22" s="719">
        <v>0.01</v>
      </c>
      <c r="I22" s="637">
        <f t="shared" si="6"/>
        <v>0.02</v>
      </c>
      <c r="J22" s="637">
        <f t="shared" si="7"/>
        <v>0.01</v>
      </c>
      <c r="K22" s="636">
        <v>0</v>
      </c>
      <c r="L22" s="637">
        <f t="shared" si="5"/>
        <v>-0.01</v>
      </c>
      <c r="M22" s="637">
        <f t="shared" si="5"/>
        <v>-0.02</v>
      </c>
    </row>
    <row r="23" spans="1:13" ht="24.6" thickBot="1">
      <c r="A23" s="663" t="s">
        <v>542</v>
      </c>
      <c r="B23" s="667" t="str">
        <f>估价对象房地状况!C9</f>
        <v>区域自然环境：；人文环境；综合评价环境状况一般</v>
      </c>
      <c r="C23" s="638" t="s">
        <v>534</v>
      </c>
      <c r="D23" s="657">
        <f t="shared" si="4"/>
        <v>0.02</v>
      </c>
      <c r="E23" s="665">
        <v>0.06</v>
      </c>
      <c r="F23" s="666"/>
      <c r="G23" s="884"/>
      <c r="H23" s="719">
        <v>0.02</v>
      </c>
      <c r="I23" s="637">
        <f t="shared" si="6"/>
        <v>0.04</v>
      </c>
      <c r="J23" s="637">
        <f t="shared" si="7"/>
        <v>0.02</v>
      </c>
      <c r="K23" s="636">
        <v>0</v>
      </c>
      <c r="L23" s="637">
        <f t="shared" si="5"/>
        <v>-0.02</v>
      </c>
      <c r="M23" s="637">
        <f t="shared" si="5"/>
        <v>-0.04</v>
      </c>
    </row>
    <row r="24" spans="1:13" ht="18" customHeight="1">
      <c r="A24" s="645" t="s">
        <v>549</v>
      </c>
      <c r="B24" s="646">
        <f>1+F26</f>
        <v>1.0597000000000001</v>
      </c>
      <c r="C24" s="885"/>
      <c r="D24" s="648"/>
      <c r="E24" s="648"/>
      <c r="F24" s="649"/>
      <c r="G24" s="883"/>
      <c r="H24" s="880"/>
      <c r="I24" s="644"/>
      <c r="J24" s="644"/>
      <c r="K24" s="644"/>
      <c r="L24" s="644"/>
      <c r="M24" s="644"/>
    </row>
    <row r="25" spans="1:13" ht="24">
      <c r="A25" s="650" t="s">
        <v>530</v>
      </c>
      <c r="B25" s="651"/>
      <c r="C25" s="652" t="s">
        <v>532</v>
      </c>
      <c r="D25" s="653" t="s">
        <v>551</v>
      </c>
      <c r="E25" s="653" t="s">
        <v>552</v>
      </c>
      <c r="F25" s="654" t="s">
        <v>553</v>
      </c>
      <c r="G25" s="655" t="s">
        <v>755</v>
      </c>
      <c r="H25" s="653" t="s">
        <v>550</v>
      </c>
      <c r="I25" s="477" t="s">
        <v>82</v>
      </c>
      <c r="J25" s="477" t="s">
        <v>83</v>
      </c>
      <c r="K25" s="477" t="s">
        <v>84</v>
      </c>
      <c r="L25" s="477" t="s">
        <v>85</v>
      </c>
      <c r="M25" s="477" t="s">
        <v>86</v>
      </c>
    </row>
    <row r="26" spans="1:13" ht="24">
      <c r="A26" s="650" t="s">
        <v>544</v>
      </c>
      <c r="B26" s="656" t="str">
        <f>估价对象房地状况!C3</f>
        <v>估价对象周边居住用地比例、居住小区规模和社区发展完善程度，综合评价居住社区成熟度一般</v>
      </c>
      <c r="C26" s="638" t="s">
        <v>534</v>
      </c>
      <c r="D26" s="657">
        <f t="shared" ref="D26:D34" si="8">SUMIF($I$3:$M$3,C26,I26:M26)</f>
        <v>0.08</v>
      </c>
      <c r="E26" s="658">
        <v>0.14000000000000001</v>
      </c>
      <c r="F26" s="659">
        <f>D26*E26+D27*E27+D28*E28+D29*E29+D30*E30+D32*E32+D31*E31+D33*E33+D34*E34</f>
        <v>5.9700000000000003E-2</v>
      </c>
      <c r="G26" s="660">
        <f>IF(基准地价修正!E2="住宅",SUMIF(基准地价修正!L1:L12,基准地价修正!G2,基准地价修正!N1:N12),"——")</f>
        <v>0</v>
      </c>
      <c r="H26" s="719">
        <v>0.08</v>
      </c>
      <c r="I26" s="637">
        <f>J26+$H26</f>
        <v>0.16</v>
      </c>
      <c r="J26" s="637">
        <f>$K26+$H26</f>
        <v>0.08</v>
      </c>
      <c r="K26" s="636">
        <v>0</v>
      </c>
      <c r="L26" s="637">
        <f t="shared" ref="L26:M34" si="9">K26-$H26</f>
        <v>-0.08</v>
      </c>
      <c r="M26" s="637">
        <f t="shared" si="9"/>
        <v>-0.16</v>
      </c>
    </row>
    <row r="27" spans="1:13" ht="24">
      <c r="A27" s="650" t="s">
        <v>535</v>
      </c>
      <c r="B27" s="651" t="str">
        <f>估价对象房地状况!C6</f>
        <v>估价对象周边道路状况、公共交通通达情况、停车便捷程度，综合评价交通便捷度较好</v>
      </c>
      <c r="C27" s="638" t="s">
        <v>534</v>
      </c>
      <c r="D27" s="657">
        <f t="shared" si="8"/>
        <v>0.08</v>
      </c>
      <c r="E27" s="658">
        <v>0.3</v>
      </c>
      <c r="F27" s="668"/>
      <c r="G27" s="886"/>
      <c r="H27" s="719">
        <v>0.08</v>
      </c>
      <c r="I27" s="637">
        <f t="shared" ref="I27:I34" si="10">J27+$H27</f>
        <v>0.16</v>
      </c>
      <c r="J27" s="637">
        <f t="shared" ref="J27:J34" si="11">$K27+$H27</f>
        <v>0.08</v>
      </c>
      <c r="K27" s="636">
        <v>0</v>
      </c>
      <c r="L27" s="637">
        <f t="shared" si="9"/>
        <v>-0.08</v>
      </c>
      <c r="M27" s="637">
        <f t="shared" si="9"/>
        <v>-0.16</v>
      </c>
    </row>
    <row r="28" spans="1:13" ht="14.4">
      <c r="A28" s="650" t="s">
        <v>536</v>
      </c>
      <c r="B28" s="651">
        <f>估价对象房地状况!C19</f>
        <v>0</v>
      </c>
      <c r="C28" s="638" t="s">
        <v>534</v>
      </c>
      <c r="D28" s="657">
        <f t="shared" si="8"/>
        <v>0.03</v>
      </c>
      <c r="E28" s="658">
        <v>0.08</v>
      </c>
      <c r="F28" s="668"/>
      <c r="G28" s="886"/>
      <c r="H28" s="719">
        <v>0.03</v>
      </c>
      <c r="I28" s="637">
        <f t="shared" si="10"/>
        <v>0.06</v>
      </c>
      <c r="J28" s="637">
        <f t="shared" si="11"/>
        <v>0.03</v>
      </c>
      <c r="K28" s="636">
        <v>0</v>
      </c>
      <c r="L28" s="637">
        <f t="shared" si="9"/>
        <v>-0.03</v>
      </c>
      <c r="M28" s="637">
        <f t="shared" si="9"/>
        <v>-0.06</v>
      </c>
    </row>
    <row r="29" spans="1:13" ht="14.4">
      <c r="A29" s="650" t="s">
        <v>545</v>
      </c>
      <c r="B29" s="651">
        <f>估价对象房地状况!C10</f>
        <v>0</v>
      </c>
      <c r="C29" s="638" t="s">
        <v>29</v>
      </c>
      <c r="D29" s="657">
        <f t="shared" si="8"/>
        <v>0.05</v>
      </c>
      <c r="E29" s="658">
        <v>0.04</v>
      </c>
      <c r="F29" s="668"/>
      <c r="G29" s="886"/>
      <c r="H29" s="719">
        <v>2.5000000000000001E-2</v>
      </c>
      <c r="I29" s="637">
        <f t="shared" si="10"/>
        <v>0.05</v>
      </c>
      <c r="J29" s="637">
        <f t="shared" si="11"/>
        <v>2.5000000000000001E-2</v>
      </c>
      <c r="K29" s="636">
        <v>0</v>
      </c>
      <c r="L29" s="637">
        <f t="shared" si="9"/>
        <v>-2.5000000000000001E-2</v>
      </c>
      <c r="M29" s="637">
        <f t="shared" si="9"/>
        <v>-0.05</v>
      </c>
    </row>
    <row r="30" spans="1:13" ht="14.4">
      <c r="A30" s="650" t="s">
        <v>540</v>
      </c>
      <c r="B30" s="837" t="str">
        <f>估价对象房地状况!C7</f>
        <v>估价对象所在区域公共配套设施齐备情况</v>
      </c>
      <c r="C30" s="638" t="s">
        <v>534</v>
      </c>
      <c r="D30" s="657">
        <f t="shared" si="8"/>
        <v>0.03</v>
      </c>
      <c r="E30" s="658">
        <v>0.08</v>
      </c>
      <c r="F30" s="668"/>
      <c r="G30" s="886"/>
      <c r="H30" s="719">
        <v>0.03</v>
      </c>
      <c r="I30" s="637">
        <f t="shared" si="10"/>
        <v>0.06</v>
      </c>
      <c r="J30" s="637">
        <f t="shared" si="11"/>
        <v>0.03</v>
      </c>
      <c r="K30" s="636">
        <v>0</v>
      </c>
      <c r="L30" s="637">
        <f t="shared" si="9"/>
        <v>-0.03</v>
      </c>
      <c r="M30" s="637">
        <f t="shared" si="9"/>
        <v>-0.06</v>
      </c>
    </row>
    <row r="31" spans="1:13" ht="14.4">
      <c r="A31" s="650" t="s">
        <v>541</v>
      </c>
      <c r="B31" s="838"/>
      <c r="C31" s="638" t="s">
        <v>29</v>
      </c>
      <c r="D31" s="657">
        <f t="shared" si="8"/>
        <v>0.06</v>
      </c>
      <c r="E31" s="658">
        <v>0.12</v>
      </c>
      <c r="F31" s="668"/>
      <c r="G31" s="886"/>
      <c r="H31" s="719">
        <v>0.03</v>
      </c>
      <c r="I31" s="637">
        <f t="shared" si="10"/>
        <v>0.06</v>
      </c>
      <c r="J31" s="637">
        <f t="shared" si="11"/>
        <v>0.03</v>
      </c>
      <c r="K31" s="636">
        <v>0</v>
      </c>
      <c r="L31" s="637">
        <f t="shared" si="9"/>
        <v>-0.03</v>
      </c>
      <c r="M31" s="637">
        <f t="shared" si="9"/>
        <v>-0.06</v>
      </c>
    </row>
    <row r="32" spans="1:13" ht="24">
      <c r="A32" s="650" t="s">
        <v>539</v>
      </c>
      <c r="B32" s="640" t="s">
        <v>558</v>
      </c>
      <c r="C32" s="638" t="s">
        <v>30</v>
      </c>
      <c r="D32" s="657">
        <f t="shared" si="8"/>
        <v>0.03</v>
      </c>
      <c r="E32" s="658">
        <v>0.05</v>
      </c>
      <c r="F32" s="668"/>
      <c r="G32" s="886"/>
      <c r="H32" s="719">
        <v>0.03</v>
      </c>
      <c r="I32" s="637">
        <f t="shared" si="10"/>
        <v>0.06</v>
      </c>
      <c r="J32" s="637">
        <f t="shared" si="11"/>
        <v>0.03</v>
      </c>
      <c r="K32" s="636">
        <v>0</v>
      </c>
      <c r="L32" s="637">
        <f t="shared" si="9"/>
        <v>-0.03</v>
      </c>
      <c r="M32" s="637">
        <f t="shared" si="9"/>
        <v>-0.06</v>
      </c>
    </row>
    <row r="33" spans="1:13" ht="24">
      <c r="A33" s="650" t="s">
        <v>542</v>
      </c>
      <c r="B33" s="656" t="str">
        <f>估价对象房地状况!C9</f>
        <v>区域自然环境：；人文环境；综合评价环境状况一般</v>
      </c>
      <c r="C33" s="638" t="s">
        <v>534</v>
      </c>
      <c r="D33" s="657">
        <f t="shared" si="8"/>
        <v>0.06</v>
      </c>
      <c r="E33" s="658">
        <v>0.15</v>
      </c>
      <c r="F33" s="668"/>
      <c r="G33" s="886"/>
      <c r="H33" s="719">
        <v>0.06</v>
      </c>
      <c r="I33" s="637">
        <f t="shared" si="10"/>
        <v>0.12</v>
      </c>
      <c r="J33" s="637">
        <f t="shared" si="11"/>
        <v>0.06</v>
      </c>
      <c r="K33" s="636">
        <v>0</v>
      </c>
      <c r="L33" s="637">
        <f t="shared" si="9"/>
        <v>-0.06</v>
      </c>
      <c r="M33" s="637">
        <f t="shared" si="9"/>
        <v>-0.12</v>
      </c>
    </row>
    <row r="34" spans="1:13" ht="24.6" thickBot="1">
      <c r="A34" s="663" t="s">
        <v>546</v>
      </c>
      <c r="B34" s="641" t="s">
        <v>559</v>
      </c>
      <c r="C34" s="638" t="s">
        <v>31</v>
      </c>
      <c r="D34" s="657">
        <f t="shared" si="8"/>
        <v>0</v>
      </c>
      <c r="E34" s="665">
        <v>0.04</v>
      </c>
      <c r="F34" s="669"/>
      <c r="G34" s="886"/>
      <c r="H34" s="719">
        <v>0.03</v>
      </c>
      <c r="I34" s="637">
        <f t="shared" si="10"/>
        <v>0.06</v>
      </c>
      <c r="J34" s="637">
        <f t="shared" si="11"/>
        <v>0.03</v>
      </c>
      <c r="K34" s="636">
        <v>0</v>
      </c>
      <c r="L34" s="637">
        <f t="shared" si="9"/>
        <v>-0.03</v>
      </c>
      <c r="M34" s="637">
        <f t="shared" si="9"/>
        <v>-0.06</v>
      </c>
    </row>
    <row r="35" spans="1:13" ht="14.4">
      <c r="A35" s="645" t="s">
        <v>134</v>
      </c>
      <c r="B35" s="646">
        <f>1+F37</f>
        <v>1.0127999999999999</v>
      </c>
      <c r="C35" s="885"/>
      <c r="D35" s="648"/>
      <c r="E35" s="648"/>
      <c r="F35" s="649"/>
      <c r="G35" s="883"/>
      <c r="H35" s="880"/>
      <c r="I35" s="644"/>
      <c r="J35" s="644"/>
      <c r="K35" s="644"/>
      <c r="L35" s="644"/>
      <c r="M35" s="644"/>
    </row>
    <row r="36" spans="1:13" ht="24">
      <c r="A36" s="650" t="s">
        <v>530</v>
      </c>
      <c r="B36" s="651"/>
      <c r="C36" s="652" t="s">
        <v>532</v>
      </c>
      <c r="D36" s="653" t="s">
        <v>551</v>
      </c>
      <c r="E36" s="653" t="s">
        <v>552</v>
      </c>
      <c r="F36" s="654" t="s">
        <v>553</v>
      </c>
      <c r="G36" s="655" t="s">
        <v>756</v>
      </c>
      <c r="H36" s="653" t="s">
        <v>550</v>
      </c>
      <c r="I36" s="477" t="s">
        <v>82</v>
      </c>
      <c r="J36" s="477" t="s">
        <v>83</v>
      </c>
      <c r="K36" s="477" t="s">
        <v>84</v>
      </c>
      <c r="L36" s="477" t="s">
        <v>85</v>
      </c>
      <c r="M36" s="477" t="s">
        <v>86</v>
      </c>
    </row>
    <row r="37" spans="1:13" ht="24">
      <c r="A37" s="650" t="s">
        <v>547</v>
      </c>
      <c r="B37" s="651" t="str">
        <f>估价对象房地状况!G3</f>
        <v>估价对象位于XX开发区，园区建设成熟度XX，产业集聚程度XX</v>
      </c>
      <c r="C37" s="638" t="s">
        <v>534</v>
      </c>
      <c r="D37" s="657">
        <f t="shared" ref="D37:D44" si="12">SUMIF($I$3:$M$3,C37,I37:M37)</f>
        <v>0.02</v>
      </c>
      <c r="E37" s="658">
        <v>0.26</v>
      </c>
      <c r="F37" s="659">
        <f>D37*E37+D38*E38+D39*E39+D40*E40+D41*E41+D43*E43+D42*E42+D44*E44</f>
        <v>1.2800000000000001E-2</v>
      </c>
      <c r="G37" s="660" t="str">
        <f>IF(基准地价修正!E2="工业",SUMIF(基准地价修正!L1:L12,基准地价修正!G2,基准地价修正!N1:N12),"——")</f>
        <v>——</v>
      </c>
      <c r="H37" s="719">
        <v>0.02</v>
      </c>
      <c r="I37" s="637">
        <f>J37+$H37</f>
        <v>0.04</v>
      </c>
      <c r="J37" s="637">
        <f>$K37+$H37</f>
        <v>0.02</v>
      </c>
      <c r="K37" s="636">
        <v>0</v>
      </c>
      <c r="L37" s="637">
        <f t="shared" ref="L37:M44" si="13">K37-$H37</f>
        <v>-0.02</v>
      </c>
      <c r="M37" s="637">
        <f t="shared" si="13"/>
        <v>-0.04</v>
      </c>
    </row>
    <row r="38" spans="1:13" ht="24">
      <c r="A38" s="650" t="s">
        <v>535</v>
      </c>
      <c r="B38" s="651" t="str">
        <f>估价对象房地状况!G4</f>
        <v>估价对象周边道路状况、公共交通通达情况、停车便捷程度，综合评价交通便捷度较好</v>
      </c>
      <c r="C38" s="638" t="s">
        <v>534</v>
      </c>
      <c r="D38" s="657">
        <f t="shared" si="12"/>
        <v>0.01</v>
      </c>
      <c r="E38" s="658">
        <v>0.33</v>
      </c>
      <c r="F38" s="668"/>
      <c r="G38" s="886"/>
      <c r="H38" s="719">
        <v>0.01</v>
      </c>
      <c r="I38" s="637">
        <f t="shared" ref="I38:I44" si="14">J38+$H38</f>
        <v>0.02</v>
      </c>
      <c r="J38" s="637">
        <f t="shared" ref="J38:J44" si="15">$K38+$H38</f>
        <v>0.01</v>
      </c>
      <c r="K38" s="636">
        <v>0</v>
      </c>
      <c r="L38" s="637">
        <f t="shared" si="13"/>
        <v>-0.01</v>
      </c>
      <c r="M38" s="637">
        <f t="shared" si="13"/>
        <v>-0.02</v>
      </c>
    </row>
    <row r="39" spans="1:13" ht="14.4">
      <c r="A39" s="650" t="s">
        <v>536</v>
      </c>
      <c r="B39" s="651">
        <f>估价对象房地状况!G17</f>
        <v>0</v>
      </c>
      <c r="C39" s="638" t="s">
        <v>534</v>
      </c>
      <c r="D39" s="657">
        <f t="shared" si="12"/>
        <v>0.02</v>
      </c>
      <c r="E39" s="658">
        <v>0.05</v>
      </c>
      <c r="F39" s="668"/>
      <c r="G39" s="886"/>
      <c r="H39" s="719">
        <v>0.02</v>
      </c>
      <c r="I39" s="637">
        <f t="shared" si="14"/>
        <v>0.04</v>
      </c>
      <c r="J39" s="637">
        <f t="shared" si="15"/>
        <v>0.02</v>
      </c>
      <c r="K39" s="636">
        <v>0</v>
      </c>
      <c r="L39" s="637">
        <f t="shared" si="13"/>
        <v>-0.02</v>
      </c>
      <c r="M39" s="637">
        <f t="shared" si="13"/>
        <v>-0.04</v>
      </c>
    </row>
    <row r="40" spans="1:13" ht="14.4">
      <c r="A40" s="650" t="s">
        <v>545</v>
      </c>
      <c r="B40" s="651">
        <f>估价对象房地状况!G22</f>
        <v>0</v>
      </c>
      <c r="C40" s="638" t="s">
        <v>534</v>
      </c>
      <c r="D40" s="657">
        <f t="shared" si="12"/>
        <v>0.01</v>
      </c>
      <c r="E40" s="658">
        <v>0.04</v>
      </c>
      <c r="F40" s="668"/>
      <c r="G40" s="886"/>
      <c r="H40" s="719">
        <v>0.01</v>
      </c>
      <c r="I40" s="637">
        <f t="shared" si="14"/>
        <v>0.02</v>
      </c>
      <c r="J40" s="637">
        <f t="shared" si="15"/>
        <v>0.01</v>
      </c>
      <c r="K40" s="636">
        <v>0</v>
      </c>
      <c r="L40" s="637">
        <f t="shared" si="13"/>
        <v>-0.01</v>
      </c>
      <c r="M40" s="637">
        <f t="shared" si="13"/>
        <v>-0.02</v>
      </c>
    </row>
    <row r="41" spans="1:13" ht="14.4">
      <c r="A41" s="650" t="s">
        <v>540</v>
      </c>
      <c r="B41" s="837" t="str">
        <f>估价对象房地状况!G19</f>
        <v>估价对象所在区域公共配套设施齐备情况</v>
      </c>
      <c r="C41" s="638" t="s">
        <v>534</v>
      </c>
      <c r="D41" s="657">
        <f t="shared" si="12"/>
        <v>0.02</v>
      </c>
      <c r="E41" s="658">
        <v>0.06</v>
      </c>
      <c r="F41" s="668"/>
      <c r="G41" s="886"/>
      <c r="H41" s="719">
        <v>0.02</v>
      </c>
      <c r="I41" s="637">
        <f t="shared" si="14"/>
        <v>0.04</v>
      </c>
      <c r="J41" s="637">
        <f t="shared" si="15"/>
        <v>0.02</v>
      </c>
      <c r="K41" s="636">
        <v>0</v>
      </c>
      <c r="L41" s="637">
        <f t="shared" si="13"/>
        <v>-0.02</v>
      </c>
      <c r="M41" s="637">
        <f t="shared" si="13"/>
        <v>-0.04</v>
      </c>
    </row>
    <row r="42" spans="1:13" ht="14.4">
      <c r="A42" s="650" t="s">
        <v>541</v>
      </c>
      <c r="B42" s="838"/>
      <c r="C42" s="638" t="s">
        <v>534</v>
      </c>
      <c r="D42" s="657">
        <f t="shared" si="12"/>
        <v>0.01</v>
      </c>
      <c r="E42" s="658">
        <v>0.15</v>
      </c>
      <c r="F42" s="668"/>
      <c r="G42" s="886"/>
      <c r="H42" s="719">
        <v>0.01</v>
      </c>
      <c r="I42" s="637">
        <f t="shared" si="14"/>
        <v>0.02</v>
      </c>
      <c r="J42" s="637">
        <f t="shared" si="15"/>
        <v>0.01</v>
      </c>
      <c r="K42" s="636">
        <v>0</v>
      </c>
      <c r="L42" s="637">
        <f t="shared" si="13"/>
        <v>-0.01</v>
      </c>
      <c r="M42" s="637">
        <f t="shared" si="13"/>
        <v>-0.02</v>
      </c>
    </row>
    <row r="43" spans="1:13" ht="24">
      <c r="A43" s="650" t="s">
        <v>539</v>
      </c>
      <c r="B43" s="640" t="s">
        <v>558</v>
      </c>
      <c r="C43" s="638" t="s">
        <v>32</v>
      </c>
      <c r="D43" s="657">
        <f t="shared" si="12"/>
        <v>-0.02</v>
      </c>
      <c r="E43" s="658">
        <v>0.05</v>
      </c>
      <c r="F43" s="668"/>
      <c r="G43" s="886"/>
      <c r="H43" s="719">
        <v>0.02</v>
      </c>
      <c r="I43" s="637">
        <f t="shared" si="14"/>
        <v>0.04</v>
      </c>
      <c r="J43" s="637">
        <f t="shared" si="15"/>
        <v>0.02</v>
      </c>
      <c r="K43" s="636">
        <v>0</v>
      </c>
      <c r="L43" s="637">
        <f t="shared" si="13"/>
        <v>-0.02</v>
      </c>
      <c r="M43" s="637">
        <f t="shared" si="13"/>
        <v>-0.04</v>
      </c>
    </row>
    <row r="44" spans="1:13" ht="24.6" thickBot="1">
      <c r="A44" s="663" t="s">
        <v>548</v>
      </c>
      <c r="B44" s="670" t="str">
        <f>估价对象房地状况!G18</f>
        <v>该园区内是否有污染型企业，绿化情况，卫生条件，整体环境状况判断</v>
      </c>
      <c r="C44" s="638" t="s">
        <v>29</v>
      </c>
      <c r="D44" s="657">
        <f t="shared" si="12"/>
        <v>0.02</v>
      </c>
      <c r="E44" s="665">
        <v>0.06</v>
      </c>
      <c r="F44" s="669"/>
      <c r="G44" s="886"/>
      <c r="H44" s="719">
        <v>0.01</v>
      </c>
      <c r="I44" s="637">
        <f t="shared" si="14"/>
        <v>0.02</v>
      </c>
      <c r="J44" s="637">
        <f t="shared" si="15"/>
        <v>0.01</v>
      </c>
      <c r="K44" s="636">
        <v>0</v>
      </c>
      <c r="L44" s="637">
        <f t="shared" si="13"/>
        <v>-0.01</v>
      </c>
      <c r="M44" s="637">
        <f t="shared" si="13"/>
        <v>-0.02</v>
      </c>
    </row>
    <row r="45" spans="1:13" s="882" customFormat="1" ht="18" customHeight="1">
      <c r="B45" s="887"/>
      <c r="C45" s="839"/>
      <c r="D45" s="888"/>
      <c r="E45" s="888"/>
      <c r="F45" s="889"/>
      <c r="H45" s="889"/>
    </row>
    <row r="46" spans="1:13" s="882" customFormat="1" ht="18" customHeight="1">
      <c r="B46" s="887"/>
      <c r="C46" s="839"/>
      <c r="D46" s="888"/>
      <c r="E46" s="888"/>
      <c r="F46" s="889"/>
      <c r="H46" s="889"/>
    </row>
    <row r="47" spans="1:13" s="882" customFormat="1" ht="18" customHeight="1">
      <c r="B47" s="887"/>
      <c r="C47" s="839"/>
      <c r="D47" s="888"/>
      <c r="E47" s="888"/>
      <c r="F47" s="889"/>
      <c r="H47" s="889"/>
    </row>
    <row r="48" spans="1:13" s="882" customFormat="1" ht="18" customHeight="1">
      <c r="B48" s="887"/>
      <c r="C48" s="839"/>
      <c r="D48" s="888"/>
      <c r="E48" s="888"/>
      <c r="F48" s="889"/>
      <c r="H48" s="889"/>
    </row>
    <row r="49" spans="2:8" s="882" customFormat="1" ht="18" customHeight="1">
      <c r="B49" s="887"/>
      <c r="C49" s="839"/>
      <c r="D49" s="888"/>
      <c r="E49" s="888"/>
      <c r="F49" s="889"/>
      <c r="H49" s="889"/>
    </row>
    <row r="50" spans="2:8" s="882" customFormat="1" ht="18" customHeight="1">
      <c r="B50" s="887"/>
      <c r="C50" s="839"/>
      <c r="D50" s="888"/>
      <c r="E50" s="888"/>
      <c r="F50" s="889"/>
      <c r="H50" s="889"/>
    </row>
    <row r="51" spans="2:8" s="882" customFormat="1" ht="18" customHeight="1">
      <c r="B51" s="887"/>
      <c r="C51" s="839"/>
      <c r="D51" s="888"/>
      <c r="E51" s="888"/>
      <c r="F51" s="889"/>
      <c r="H51" s="889"/>
    </row>
    <row r="52" spans="2:8" s="882" customFormat="1" ht="18" customHeight="1">
      <c r="B52" s="887"/>
      <c r="C52" s="839"/>
      <c r="D52" s="888"/>
      <c r="E52" s="888"/>
      <c r="F52" s="889"/>
      <c r="H52" s="889"/>
    </row>
    <row r="53" spans="2:8" s="882" customFormat="1" ht="18" customHeight="1">
      <c r="B53" s="887"/>
      <c r="C53" s="839"/>
      <c r="D53" s="888"/>
      <c r="E53" s="888"/>
      <c r="F53" s="889"/>
      <c r="H53" s="889"/>
    </row>
    <row r="54" spans="2:8" s="882" customFormat="1" ht="18" customHeight="1">
      <c r="B54" s="887"/>
      <c r="C54" s="839"/>
      <c r="D54" s="888"/>
      <c r="E54" s="888"/>
      <c r="F54" s="889"/>
      <c r="H54" s="889"/>
    </row>
    <row r="55" spans="2:8" s="882" customFormat="1" ht="18" customHeight="1">
      <c r="B55" s="887"/>
      <c r="C55" s="839"/>
      <c r="D55" s="888"/>
      <c r="E55" s="888"/>
      <c r="F55" s="889"/>
      <c r="H55" s="889"/>
    </row>
    <row r="56" spans="2:8" s="882" customFormat="1" ht="18" customHeight="1">
      <c r="B56" s="887"/>
      <c r="C56" s="839"/>
      <c r="D56" s="888"/>
      <c r="E56" s="888"/>
      <c r="F56" s="889"/>
      <c r="H56" s="889"/>
    </row>
    <row r="57" spans="2:8" s="882" customFormat="1" ht="18" customHeight="1">
      <c r="B57" s="887"/>
      <c r="C57" s="839"/>
      <c r="D57" s="888"/>
      <c r="E57" s="888"/>
      <c r="F57" s="889"/>
      <c r="H57" s="889"/>
    </row>
    <row r="58" spans="2:8" s="882" customFormat="1" ht="18" customHeight="1">
      <c r="B58" s="887"/>
      <c r="C58" s="839"/>
      <c r="D58" s="888"/>
      <c r="E58" s="888"/>
      <c r="F58" s="889"/>
      <c r="H58" s="889"/>
    </row>
    <row r="59" spans="2:8" s="882" customFormat="1" ht="18" customHeight="1">
      <c r="B59" s="887"/>
      <c r="C59" s="839"/>
      <c r="D59" s="888"/>
      <c r="E59" s="888"/>
      <c r="F59" s="889"/>
      <c r="H59" s="889"/>
    </row>
    <row r="60" spans="2:8" s="882" customFormat="1" ht="18" customHeight="1">
      <c r="B60" s="887"/>
      <c r="C60" s="839"/>
      <c r="D60" s="888"/>
      <c r="E60" s="888"/>
      <c r="F60" s="889"/>
      <c r="H60" s="889"/>
    </row>
    <row r="61" spans="2:8" s="882" customFormat="1" ht="18" customHeight="1">
      <c r="B61" s="887"/>
      <c r="C61" s="839"/>
      <c r="D61" s="888"/>
      <c r="E61" s="888"/>
      <c r="F61" s="889"/>
      <c r="H61" s="889"/>
    </row>
    <row r="62" spans="2:8" s="882" customFormat="1" ht="18" customHeight="1">
      <c r="B62" s="887"/>
      <c r="C62" s="839"/>
      <c r="D62" s="888"/>
      <c r="E62" s="888"/>
      <c r="F62" s="889"/>
      <c r="H62" s="889"/>
    </row>
    <row r="63" spans="2:8" s="882" customFormat="1" ht="18" customHeight="1">
      <c r="B63" s="887"/>
      <c r="C63" s="839"/>
      <c r="D63" s="888"/>
      <c r="E63" s="888"/>
      <c r="F63" s="889"/>
      <c r="H63" s="889"/>
    </row>
    <row r="64" spans="2:8" s="882" customFormat="1" ht="18" customHeight="1">
      <c r="B64" s="887"/>
      <c r="C64" s="839"/>
      <c r="D64" s="888"/>
      <c r="E64" s="888"/>
      <c r="F64" s="889"/>
      <c r="H64" s="889"/>
    </row>
    <row r="65" spans="2:8" s="882" customFormat="1" ht="18" customHeight="1">
      <c r="B65" s="887"/>
      <c r="C65" s="839"/>
      <c r="D65" s="888"/>
      <c r="E65" s="888"/>
      <c r="F65" s="889"/>
      <c r="H65" s="889"/>
    </row>
    <row r="66" spans="2:8" s="882" customFormat="1" ht="18" customHeight="1">
      <c r="B66" s="887"/>
      <c r="C66" s="839"/>
      <c r="D66" s="888"/>
      <c r="E66" s="888"/>
      <c r="F66" s="889"/>
      <c r="H66" s="889"/>
    </row>
    <row r="67" spans="2:8" s="882" customFormat="1" ht="18" customHeight="1">
      <c r="B67" s="887"/>
      <c r="C67" s="839"/>
      <c r="D67" s="888"/>
      <c r="E67" s="888"/>
      <c r="F67" s="889"/>
      <c r="H67" s="889"/>
    </row>
    <row r="68" spans="2:8" s="882" customFormat="1" ht="18" customHeight="1">
      <c r="B68" s="887"/>
      <c r="C68" s="839"/>
      <c r="D68" s="888"/>
      <c r="E68" s="888"/>
      <c r="F68" s="889"/>
      <c r="H68" s="889"/>
    </row>
    <row r="69" spans="2:8" s="882" customFormat="1" ht="18" customHeight="1">
      <c r="B69" s="887"/>
      <c r="C69" s="839"/>
      <c r="D69" s="888"/>
      <c r="E69" s="888"/>
      <c r="F69" s="889"/>
      <c r="H69" s="889"/>
    </row>
    <row r="70" spans="2:8" s="882" customFormat="1" ht="18" customHeight="1">
      <c r="B70" s="887"/>
      <c r="C70" s="839"/>
      <c r="D70" s="888"/>
      <c r="E70" s="888"/>
      <c r="F70" s="889"/>
      <c r="H70" s="889"/>
    </row>
    <row r="71" spans="2:8" s="882" customFormat="1" ht="18" customHeight="1">
      <c r="B71" s="887"/>
      <c r="C71" s="839"/>
      <c r="D71" s="888"/>
      <c r="E71" s="888"/>
      <c r="F71" s="889"/>
      <c r="H71" s="889"/>
    </row>
    <row r="72" spans="2:8" s="882" customFormat="1" ht="18" customHeight="1">
      <c r="B72" s="887"/>
      <c r="C72" s="839"/>
      <c r="D72" s="888"/>
      <c r="E72" s="888"/>
      <c r="F72" s="889"/>
      <c r="H72" s="889"/>
    </row>
    <row r="73" spans="2:8" s="882" customFormat="1" ht="18" customHeight="1">
      <c r="B73" s="887"/>
      <c r="C73" s="839"/>
      <c r="D73" s="888"/>
      <c r="E73" s="888"/>
      <c r="F73" s="889"/>
      <c r="H73" s="889"/>
    </row>
    <row r="74" spans="2:8" s="882" customFormat="1" ht="18" customHeight="1">
      <c r="B74" s="887"/>
      <c r="C74" s="839"/>
      <c r="D74" s="888"/>
      <c r="E74" s="888"/>
      <c r="F74" s="889"/>
      <c r="H74" s="889"/>
    </row>
    <row r="75" spans="2:8" s="882" customFormat="1" ht="18" customHeight="1">
      <c r="B75" s="887"/>
      <c r="C75" s="839"/>
      <c r="D75" s="888"/>
      <c r="E75" s="888"/>
      <c r="F75" s="889"/>
      <c r="H75" s="889"/>
    </row>
    <row r="76" spans="2:8" s="882" customFormat="1" ht="18" customHeight="1">
      <c r="B76" s="887"/>
      <c r="C76" s="839"/>
      <c r="D76" s="888"/>
      <c r="E76" s="888"/>
      <c r="F76" s="889"/>
      <c r="H76" s="889"/>
    </row>
    <row r="77" spans="2:8" s="882" customFormat="1" ht="18" customHeight="1">
      <c r="B77" s="887"/>
      <c r="C77" s="839"/>
      <c r="D77" s="888"/>
      <c r="E77" s="888"/>
      <c r="F77" s="889"/>
      <c r="H77" s="889"/>
    </row>
    <row r="78" spans="2:8" s="882" customFormat="1" ht="18" customHeight="1">
      <c r="B78" s="887"/>
      <c r="C78" s="839"/>
      <c r="D78" s="888"/>
      <c r="E78" s="888"/>
      <c r="F78" s="889"/>
      <c r="H78" s="889"/>
    </row>
    <row r="79" spans="2:8" s="882" customFormat="1" ht="18" customHeight="1">
      <c r="B79" s="887"/>
      <c r="C79" s="839"/>
      <c r="D79" s="888"/>
      <c r="E79" s="888"/>
      <c r="F79" s="889"/>
      <c r="H79" s="889"/>
    </row>
    <row r="80" spans="2:8" s="882" customFormat="1" ht="18" customHeight="1">
      <c r="B80" s="887"/>
      <c r="C80" s="839"/>
      <c r="D80" s="888"/>
      <c r="E80" s="888"/>
      <c r="F80" s="889"/>
      <c r="H80" s="889"/>
    </row>
    <row r="81" spans="2:8" s="882" customFormat="1" ht="18" customHeight="1">
      <c r="B81" s="887"/>
      <c r="C81" s="839"/>
      <c r="D81" s="888"/>
      <c r="E81" s="888"/>
      <c r="F81" s="889"/>
      <c r="H81" s="889"/>
    </row>
    <row r="82" spans="2:8" s="882" customFormat="1" ht="18" customHeight="1">
      <c r="B82" s="887"/>
      <c r="C82" s="839"/>
      <c r="D82" s="888"/>
      <c r="E82" s="888"/>
      <c r="F82" s="889"/>
      <c r="H82" s="889"/>
    </row>
    <row r="83" spans="2:8" s="882" customFormat="1" ht="18" customHeight="1">
      <c r="B83" s="887"/>
      <c r="C83" s="839"/>
      <c r="D83" s="888"/>
      <c r="E83" s="888"/>
      <c r="F83" s="889"/>
      <c r="H83" s="889"/>
    </row>
    <row r="84" spans="2:8" s="882" customFormat="1" ht="18" customHeight="1">
      <c r="B84" s="887"/>
      <c r="C84" s="839"/>
      <c r="D84" s="888"/>
      <c r="E84" s="888"/>
      <c r="F84" s="889"/>
      <c r="H84" s="889"/>
    </row>
    <row r="85" spans="2:8" s="882" customFormat="1" ht="18" customHeight="1">
      <c r="B85" s="887"/>
      <c r="C85" s="839"/>
      <c r="D85" s="888"/>
      <c r="E85" s="888"/>
      <c r="F85" s="889"/>
      <c r="H85" s="889"/>
    </row>
    <row r="86" spans="2:8" s="882" customFormat="1" ht="18" customHeight="1">
      <c r="B86" s="887"/>
      <c r="C86" s="839"/>
      <c r="D86" s="888"/>
      <c r="E86" s="888"/>
      <c r="F86" s="889"/>
      <c r="H86" s="889"/>
    </row>
    <row r="87" spans="2:8" s="882" customFormat="1" ht="18" customHeight="1">
      <c r="B87" s="887"/>
      <c r="C87" s="839"/>
      <c r="D87" s="888"/>
      <c r="E87" s="888"/>
      <c r="F87" s="889"/>
      <c r="H87" s="889"/>
    </row>
    <row r="88" spans="2:8" s="882" customFormat="1" ht="18" customHeight="1">
      <c r="B88" s="887"/>
      <c r="C88" s="839"/>
      <c r="D88" s="888"/>
      <c r="E88" s="888"/>
      <c r="F88" s="889"/>
      <c r="H88" s="889"/>
    </row>
    <row r="89" spans="2:8" s="882" customFormat="1" ht="18" customHeight="1">
      <c r="B89" s="887"/>
      <c r="C89" s="839"/>
      <c r="D89" s="888"/>
      <c r="E89" s="888"/>
      <c r="F89" s="889"/>
      <c r="H89" s="889"/>
    </row>
    <row r="90" spans="2:8" s="882" customFormat="1" ht="18" customHeight="1">
      <c r="B90" s="887"/>
      <c r="C90" s="839"/>
      <c r="D90" s="888"/>
      <c r="E90" s="888"/>
      <c r="F90" s="889"/>
      <c r="H90" s="889"/>
    </row>
    <row r="91" spans="2:8" s="882" customFormat="1" ht="18" customHeight="1">
      <c r="B91" s="887"/>
      <c r="C91" s="839"/>
      <c r="D91" s="888"/>
      <c r="E91" s="888"/>
      <c r="F91" s="889"/>
      <c r="H91" s="889"/>
    </row>
    <row r="92" spans="2:8" s="882" customFormat="1" ht="18" customHeight="1">
      <c r="B92" s="887"/>
      <c r="C92" s="839"/>
      <c r="D92" s="888"/>
      <c r="E92" s="888"/>
      <c r="F92" s="889"/>
      <c r="H92" s="889"/>
    </row>
    <row r="93" spans="2:8" s="882" customFormat="1" ht="18" customHeight="1">
      <c r="B93" s="887"/>
      <c r="C93" s="839"/>
      <c r="D93" s="888"/>
      <c r="E93" s="888"/>
      <c r="F93" s="889"/>
      <c r="H93" s="889"/>
    </row>
    <row r="94" spans="2:8" s="882" customFormat="1" ht="18" customHeight="1">
      <c r="B94" s="887"/>
      <c r="C94" s="839"/>
      <c r="D94" s="888"/>
      <c r="E94" s="888"/>
      <c r="F94" s="889"/>
      <c r="H94" s="889"/>
    </row>
    <row r="95" spans="2:8" s="882" customFormat="1" ht="18" customHeight="1">
      <c r="B95" s="887"/>
      <c r="C95" s="839"/>
      <c r="D95" s="888"/>
      <c r="E95" s="888"/>
      <c r="F95" s="889"/>
      <c r="H95" s="889"/>
    </row>
    <row r="96" spans="2:8" s="882" customFormat="1" ht="18" customHeight="1">
      <c r="B96" s="887"/>
      <c r="C96" s="839"/>
      <c r="D96" s="888"/>
      <c r="E96" s="888"/>
      <c r="F96" s="889"/>
      <c r="H96" s="889"/>
    </row>
    <row r="97" spans="2:8" s="882" customFormat="1" ht="18" customHeight="1">
      <c r="B97" s="887"/>
      <c r="C97" s="839"/>
      <c r="D97" s="888"/>
      <c r="E97" s="888"/>
      <c r="F97" s="889"/>
      <c r="H97" s="889"/>
    </row>
    <row r="98" spans="2:8" s="882" customFormat="1" ht="18" customHeight="1">
      <c r="B98" s="887"/>
      <c r="C98" s="839"/>
      <c r="D98" s="888"/>
      <c r="E98" s="888"/>
      <c r="F98" s="889"/>
      <c r="H98" s="8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707" customWidth="1"/>
    <col min="2" max="5" width="10.21875" style="644" customWidth="1"/>
    <col min="6" max="6" width="9" style="644"/>
    <col min="7" max="7" width="9" style="672"/>
    <col min="8" max="8" width="9" style="644"/>
    <col min="9" max="9" width="9" style="672"/>
    <col min="10" max="16384" width="9" style="644"/>
  </cols>
  <sheetData>
    <row r="1" spans="1:20">
      <c r="A1" s="3436" t="s">
        <v>105</v>
      </c>
      <c r="B1" s="3436"/>
      <c r="C1" s="3436"/>
      <c r="D1" s="3436"/>
      <c r="E1" s="3436"/>
      <c r="F1" s="3436"/>
      <c r="H1" s="673"/>
      <c r="I1" s="674" t="s">
        <v>106</v>
      </c>
      <c r="J1" s="675" t="s">
        <v>107</v>
      </c>
      <c r="K1" s="675" t="s">
        <v>108</v>
      </c>
      <c r="L1" s="675" t="s">
        <v>109</v>
      </c>
      <c r="M1" s="675" t="s">
        <v>110</v>
      </c>
      <c r="N1" s="675" t="s">
        <v>111</v>
      </c>
      <c r="O1" s="675" t="s">
        <v>112</v>
      </c>
      <c r="P1" s="675" t="s">
        <v>113</v>
      </c>
      <c r="Q1" s="675" t="s">
        <v>114</v>
      </c>
      <c r="R1" s="675" t="s">
        <v>115</v>
      </c>
      <c r="S1" s="675" t="s">
        <v>116</v>
      </c>
      <c r="T1" s="676" t="s">
        <v>117</v>
      </c>
    </row>
    <row r="2" spans="1:20" ht="15" thickBot="1">
      <c r="A2" s="3437" t="s">
        <v>118</v>
      </c>
      <c r="B2" s="3437"/>
      <c r="C2" s="3437"/>
      <c r="D2" s="3437"/>
      <c r="E2" s="3437"/>
      <c r="F2" s="3437"/>
      <c r="I2" s="677" t="s">
        <v>119</v>
      </c>
      <c r="J2" s="678" t="s">
        <v>120</v>
      </c>
      <c r="K2" s="678" t="s">
        <v>121</v>
      </c>
      <c r="L2" s="678" t="s">
        <v>122</v>
      </c>
      <c r="M2" s="678" t="s">
        <v>123</v>
      </c>
      <c r="N2" s="678" t="s">
        <v>124</v>
      </c>
      <c r="O2" s="678" t="s">
        <v>125</v>
      </c>
      <c r="P2" s="678" t="s">
        <v>126</v>
      </c>
      <c r="Q2" s="678" t="s">
        <v>127</v>
      </c>
      <c r="R2" s="678" t="s">
        <v>128</v>
      </c>
      <c r="S2" s="678" t="s">
        <v>129</v>
      </c>
      <c r="T2" s="678" t="s">
        <v>130</v>
      </c>
    </row>
    <row r="3" spans="1:20" s="673" customFormat="1" ht="19.5" customHeight="1">
      <c r="A3" s="3438" t="s">
        <v>131</v>
      </c>
      <c r="B3" s="679"/>
      <c r="C3" s="680" t="s">
        <v>132</v>
      </c>
      <c r="D3" s="680" t="s">
        <v>133</v>
      </c>
      <c r="E3" s="680" t="s">
        <v>549</v>
      </c>
      <c r="F3" s="680" t="s">
        <v>134</v>
      </c>
      <c r="G3" s="681"/>
      <c r="I3" s="677" t="s">
        <v>135</v>
      </c>
      <c r="J3" s="678" t="s">
        <v>136</v>
      </c>
      <c r="K3" s="678" t="s">
        <v>137</v>
      </c>
      <c r="L3" s="678" t="s">
        <v>138</v>
      </c>
      <c r="M3" s="678" t="s">
        <v>139</v>
      </c>
      <c r="N3" s="678" t="s">
        <v>140</v>
      </c>
      <c r="O3" s="678" t="s">
        <v>141</v>
      </c>
      <c r="P3" s="678" t="s">
        <v>142</v>
      </c>
      <c r="Q3" s="678" t="s">
        <v>143</v>
      </c>
      <c r="R3" s="678" t="s">
        <v>144</v>
      </c>
      <c r="S3" s="678" t="s">
        <v>145</v>
      </c>
      <c r="T3" s="678" t="s">
        <v>146</v>
      </c>
    </row>
    <row r="4" spans="1:20" s="673" customFormat="1" ht="19.5" customHeight="1" thickBot="1">
      <c r="A4" s="3439"/>
      <c r="B4" s="682" t="s">
        <v>147</v>
      </c>
      <c r="C4" s="682" t="s">
        <v>148</v>
      </c>
      <c r="D4" s="682" t="s">
        <v>148</v>
      </c>
      <c r="E4" s="682" t="s">
        <v>148</v>
      </c>
      <c r="F4" s="683" t="s">
        <v>148</v>
      </c>
      <c r="G4" s="681"/>
      <c r="I4" s="677" t="s">
        <v>149</v>
      </c>
      <c r="J4" s="678" t="s">
        <v>88</v>
      </c>
      <c r="K4" s="678" t="s">
        <v>150</v>
      </c>
      <c r="L4" s="678" t="s">
        <v>151</v>
      </c>
      <c r="M4" s="678" t="s">
        <v>152</v>
      </c>
      <c r="N4" s="678" t="s">
        <v>153</v>
      </c>
      <c r="O4" s="678" t="s">
        <v>154</v>
      </c>
      <c r="P4" s="678" t="s">
        <v>155</v>
      </c>
      <c r="Q4" s="678" t="s">
        <v>156</v>
      </c>
      <c r="R4" s="678" t="s">
        <v>157</v>
      </c>
      <c r="S4" s="678" t="s">
        <v>158</v>
      </c>
      <c r="T4" s="678" t="s">
        <v>159</v>
      </c>
    </row>
    <row r="5" spans="1:20" ht="14.25" customHeight="1" thickBot="1">
      <c r="A5" s="684" t="s">
        <v>160</v>
      </c>
      <c r="B5" s="685" t="s">
        <v>119</v>
      </c>
      <c r="C5" s="685">
        <v>29530</v>
      </c>
      <c r="D5" s="685">
        <v>28130</v>
      </c>
      <c r="E5" s="685">
        <v>27930</v>
      </c>
      <c r="F5" s="686">
        <v>11300</v>
      </c>
      <c r="G5" s="687" t="s">
        <v>106</v>
      </c>
      <c r="H5" s="688">
        <f>SUMPRODUCT((B5:B9=基准地价修正!I2)*(C3:F3=基准地价修正!E2)*(C5:F9))</f>
        <v>0</v>
      </c>
      <c r="I5" s="677" t="s">
        <v>161</v>
      </c>
      <c r="J5" s="678" t="s">
        <v>162</v>
      </c>
      <c r="K5" s="678" t="s">
        <v>163</v>
      </c>
      <c r="L5" s="678" t="s">
        <v>164</v>
      </c>
      <c r="M5" s="678" t="s">
        <v>165</v>
      </c>
      <c r="N5" s="678" t="s">
        <v>166</v>
      </c>
      <c r="O5" s="678" t="s">
        <v>167</v>
      </c>
      <c r="P5" s="678" t="s">
        <v>168</v>
      </c>
      <c r="Q5" s="678" t="s">
        <v>169</v>
      </c>
      <c r="R5" s="678" t="s">
        <v>170</v>
      </c>
      <c r="S5" s="678" t="s">
        <v>171</v>
      </c>
      <c r="T5" s="678" t="s">
        <v>172</v>
      </c>
    </row>
    <row r="6" spans="1:20" ht="14.25" customHeight="1" thickBot="1">
      <c r="A6" s="684" t="s">
        <v>160</v>
      </c>
      <c r="B6" s="678" t="s">
        <v>135</v>
      </c>
      <c r="C6" s="678">
        <v>30290</v>
      </c>
      <c r="D6" s="678">
        <v>29210</v>
      </c>
      <c r="E6" s="678">
        <v>28860</v>
      </c>
      <c r="F6" s="689">
        <v>12600</v>
      </c>
      <c r="G6" s="690" t="s">
        <v>107</v>
      </c>
      <c r="H6" s="691">
        <f>SUMPRODUCT((B10:B28=基准地价修正!I2)*(C3:F3=基准地价修正!E2)*(C10:F28))</f>
        <v>0</v>
      </c>
      <c r="I6" s="677" t="s">
        <v>173</v>
      </c>
      <c r="J6" s="678" t="s">
        <v>174</v>
      </c>
      <c r="K6" s="678" t="s">
        <v>175</v>
      </c>
      <c r="L6" s="678" t="s">
        <v>176</v>
      </c>
      <c r="M6" s="678" t="s">
        <v>177</v>
      </c>
      <c r="N6" s="678" t="s">
        <v>178</v>
      </c>
      <c r="O6" s="678" t="s">
        <v>179</v>
      </c>
      <c r="P6" s="678" t="s">
        <v>180</v>
      </c>
      <c r="Q6" s="678" t="s">
        <v>181</v>
      </c>
      <c r="R6" s="678" t="s">
        <v>182</v>
      </c>
      <c r="S6" s="678" t="s">
        <v>183</v>
      </c>
      <c r="T6" s="678" t="s">
        <v>184</v>
      </c>
    </row>
    <row r="7" spans="1:20" ht="14.25" customHeight="1" thickBot="1">
      <c r="A7" s="684" t="s">
        <v>160</v>
      </c>
      <c r="B7" s="692" t="s">
        <v>149</v>
      </c>
      <c r="C7" s="678">
        <v>29350</v>
      </c>
      <c r="D7" s="678">
        <v>28410</v>
      </c>
      <c r="E7" s="678">
        <v>27990</v>
      </c>
      <c r="F7" s="689">
        <v>12300</v>
      </c>
      <c r="G7" s="690" t="s">
        <v>185</v>
      </c>
      <c r="H7" s="691">
        <f>SUMPRODUCT((B29:B48=基准地价修正!I2)*(C3:F3=基准地价修正!E2)*(C29:F48))</f>
        <v>0</v>
      </c>
      <c r="J7" s="678" t="s">
        <v>186</v>
      </c>
      <c r="K7" s="678" t="s">
        <v>187</v>
      </c>
      <c r="L7" s="678" t="s">
        <v>188</v>
      </c>
      <c r="M7" s="678" t="s">
        <v>189</v>
      </c>
      <c r="N7" s="678" t="s">
        <v>190</v>
      </c>
      <c r="O7" s="678" t="s">
        <v>191</v>
      </c>
      <c r="P7" s="678" t="s">
        <v>192</v>
      </c>
      <c r="Q7" s="678" t="s">
        <v>193</v>
      </c>
      <c r="R7" s="678" t="s">
        <v>194</v>
      </c>
      <c r="S7" s="678" t="s">
        <v>195</v>
      </c>
      <c r="T7" s="692" t="s">
        <v>196</v>
      </c>
    </row>
    <row r="8" spans="1:20" ht="14.25" customHeight="1" thickBot="1">
      <c r="A8" s="684" t="s">
        <v>160</v>
      </c>
      <c r="B8" s="678" t="s">
        <v>161</v>
      </c>
      <c r="C8" s="678">
        <v>30890</v>
      </c>
      <c r="D8" s="678">
        <v>29780</v>
      </c>
      <c r="E8" s="678">
        <v>29270</v>
      </c>
      <c r="F8" s="689">
        <v>11600</v>
      </c>
      <c r="G8" s="690" t="s">
        <v>197</v>
      </c>
      <c r="H8" s="691">
        <f>SUMPRODUCT((B49:B75=基准地价修正!I2)*(C3:F3=基准地价修正!E2)*(C49:F75))</f>
        <v>0</v>
      </c>
      <c r="J8" s="678" t="s">
        <v>198</v>
      </c>
      <c r="K8" s="678" t="s">
        <v>199</v>
      </c>
      <c r="L8" s="678" t="s">
        <v>200</v>
      </c>
      <c r="M8" s="678" t="s">
        <v>201</v>
      </c>
      <c r="N8" s="678" t="s">
        <v>202</v>
      </c>
      <c r="O8" s="678" t="s">
        <v>203</v>
      </c>
      <c r="P8" s="678" t="s">
        <v>204</v>
      </c>
      <c r="Q8" s="678" t="s">
        <v>205</v>
      </c>
      <c r="R8" s="678" t="s">
        <v>206</v>
      </c>
      <c r="S8" s="678" t="s">
        <v>207</v>
      </c>
      <c r="T8" s="678" t="s">
        <v>208</v>
      </c>
    </row>
    <row r="9" spans="1:20" ht="14.25" customHeight="1" thickBot="1">
      <c r="A9" s="684" t="s">
        <v>160</v>
      </c>
      <c r="B9" s="693" t="s">
        <v>173</v>
      </c>
      <c r="C9" s="694">
        <v>28140</v>
      </c>
      <c r="D9" s="694"/>
      <c r="E9" s="694"/>
      <c r="F9" s="695"/>
      <c r="G9" s="690" t="s">
        <v>209</v>
      </c>
      <c r="H9" s="691">
        <f>SUMPRODUCT((B76:B109=基准地价修正!I2)*(C3:F3=基准地价修正!E2)*(C76:F109))</f>
        <v>0</v>
      </c>
      <c r="J9" s="678" t="s">
        <v>210</v>
      </c>
      <c r="K9" s="678" t="s">
        <v>211</v>
      </c>
      <c r="L9" s="678" t="s">
        <v>212</v>
      </c>
      <c r="M9" s="678" t="s">
        <v>213</v>
      </c>
      <c r="N9" s="678" t="s">
        <v>214</v>
      </c>
      <c r="O9" s="678" t="s">
        <v>215</v>
      </c>
      <c r="P9" s="678" t="s">
        <v>216</v>
      </c>
      <c r="Q9" s="678" t="s">
        <v>217</v>
      </c>
      <c r="R9" s="678" t="s">
        <v>218</v>
      </c>
      <c r="S9" s="678" t="s">
        <v>219</v>
      </c>
    </row>
    <row r="10" spans="1:20" ht="14.25" customHeight="1" thickBot="1">
      <c r="A10" s="684" t="s">
        <v>220</v>
      </c>
      <c r="B10" s="685" t="s">
        <v>221</v>
      </c>
      <c r="C10" s="685">
        <v>27450</v>
      </c>
      <c r="D10" s="685">
        <v>26180</v>
      </c>
      <c r="E10" s="685">
        <v>25980</v>
      </c>
      <c r="F10" s="686">
        <v>8910</v>
      </c>
      <c r="G10" s="690" t="s">
        <v>222</v>
      </c>
      <c r="H10" s="691">
        <f>SUMPRODUCT((B110:B157=基准地价修正!I2)*(C3:F3=基准地价修正!E2)*(C110:F157))</f>
        <v>0</v>
      </c>
      <c r="J10" s="678" t="s">
        <v>223</v>
      </c>
      <c r="K10" s="678" t="s">
        <v>224</v>
      </c>
      <c r="L10" s="678" t="s">
        <v>225</v>
      </c>
      <c r="M10" s="678" t="s">
        <v>226</v>
      </c>
      <c r="N10" s="678" t="s">
        <v>227</v>
      </c>
      <c r="O10" s="678" t="s">
        <v>228</v>
      </c>
      <c r="P10" s="678" t="s">
        <v>229</v>
      </c>
      <c r="Q10" s="678" t="s">
        <v>230</v>
      </c>
      <c r="R10" s="678" t="s">
        <v>231</v>
      </c>
      <c r="S10" s="678" t="s">
        <v>232</v>
      </c>
    </row>
    <row r="11" spans="1:20" ht="14.25" customHeight="1" thickBot="1">
      <c r="A11" s="684" t="s">
        <v>220</v>
      </c>
      <c r="B11" s="692" t="s">
        <v>136</v>
      </c>
      <c r="C11" s="678">
        <v>22950</v>
      </c>
      <c r="D11" s="678">
        <v>22630</v>
      </c>
      <c r="E11" s="678">
        <v>22030</v>
      </c>
      <c r="F11" s="696">
        <v>8330</v>
      </c>
      <c r="G11" s="690" t="s">
        <v>233</v>
      </c>
      <c r="H11" s="691">
        <f>SUMPRODUCT((B158:B205=基准地价修正!I2)*(C3:F3=基准地价修正!E2)*(C158:F205))</f>
        <v>0</v>
      </c>
      <c r="J11" s="678" t="s">
        <v>234</v>
      </c>
      <c r="K11" s="678" t="s">
        <v>235</v>
      </c>
      <c r="L11" s="678" t="s">
        <v>236</v>
      </c>
      <c r="M11" s="678" t="s">
        <v>237</v>
      </c>
      <c r="N11" s="678" t="s">
        <v>238</v>
      </c>
      <c r="O11" s="678" t="s">
        <v>239</v>
      </c>
      <c r="P11" s="678" t="s">
        <v>240</v>
      </c>
      <c r="Q11" s="678" t="s">
        <v>241</v>
      </c>
      <c r="R11" s="678" t="s">
        <v>242</v>
      </c>
      <c r="S11" s="678" t="s">
        <v>243</v>
      </c>
    </row>
    <row r="12" spans="1:20" ht="14.25" customHeight="1" thickBot="1">
      <c r="A12" s="684" t="s">
        <v>220</v>
      </c>
      <c r="B12" s="692" t="s">
        <v>88</v>
      </c>
      <c r="C12" s="678">
        <v>24940</v>
      </c>
      <c r="D12" s="678">
        <v>23180</v>
      </c>
      <c r="E12" s="678">
        <v>22910</v>
      </c>
      <c r="F12" s="696">
        <v>7180</v>
      </c>
      <c r="G12" s="690" t="s">
        <v>244</v>
      </c>
      <c r="H12" s="691">
        <f>SUMPRODUCT((B206:B244=基准地价修正!I2)*(C3:F3=基准地价修正!E2)*(C206:F244))</f>
        <v>0</v>
      </c>
      <c r="J12" s="678" t="s">
        <v>245</v>
      </c>
      <c r="K12" s="678" t="s">
        <v>246</v>
      </c>
      <c r="L12" s="678" t="s">
        <v>247</v>
      </c>
      <c r="M12" s="678" t="s">
        <v>248</v>
      </c>
      <c r="N12" s="678" t="s">
        <v>249</v>
      </c>
      <c r="O12" s="678" t="s">
        <v>250</v>
      </c>
      <c r="P12" s="678" t="s">
        <v>251</v>
      </c>
      <c r="Q12" s="678" t="s">
        <v>252</v>
      </c>
      <c r="R12" s="678" t="s">
        <v>253</v>
      </c>
      <c r="S12" s="678" t="s">
        <v>254</v>
      </c>
    </row>
    <row r="13" spans="1:20" ht="14.25" customHeight="1" thickBot="1">
      <c r="A13" s="684" t="s">
        <v>220</v>
      </c>
      <c r="B13" s="692" t="s">
        <v>162</v>
      </c>
      <c r="C13" s="678">
        <v>24140</v>
      </c>
      <c r="D13" s="678">
        <v>22270</v>
      </c>
      <c r="E13" s="678">
        <v>21950</v>
      </c>
      <c r="F13" s="696">
        <v>7600</v>
      </c>
      <c r="G13" s="690" t="s">
        <v>255</v>
      </c>
      <c r="H13" s="691">
        <f>SUMPRODUCT((B245:B289=基准地价修正!I2)*(C3:F3=基准地价修正!E2)*(C245:F289))</f>
        <v>0</v>
      </c>
      <c r="J13" s="678" t="s">
        <v>256</v>
      </c>
      <c r="K13" s="678" t="s">
        <v>257</v>
      </c>
      <c r="L13" s="678" t="s">
        <v>258</v>
      </c>
      <c r="M13" s="678" t="s">
        <v>259</v>
      </c>
      <c r="N13" s="678" t="s">
        <v>260</v>
      </c>
      <c r="O13" s="678" t="s">
        <v>261</v>
      </c>
      <c r="P13" s="678" t="s">
        <v>262</v>
      </c>
      <c r="Q13" s="678" t="s">
        <v>263</v>
      </c>
      <c r="R13" s="678" t="s">
        <v>264</v>
      </c>
      <c r="S13" s="678" t="s">
        <v>265</v>
      </c>
    </row>
    <row r="14" spans="1:20" ht="14.25" customHeight="1" thickBot="1">
      <c r="A14" s="684" t="s">
        <v>220</v>
      </c>
      <c r="B14" s="692" t="s">
        <v>174</v>
      </c>
      <c r="C14" s="678">
        <v>25600</v>
      </c>
      <c r="D14" s="678">
        <v>22260</v>
      </c>
      <c r="E14" s="678">
        <v>22110</v>
      </c>
      <c r="F14" s="696">
        <v>7630</v>
      </c>
      <c r="G14" s="690" t="s">
        <v>266</v>
      </c>
      <c r="H14" s="691">
        <f>SUMPRODUCT((B290:B316=基准地价修正!I2)*(C3:F3=基准地价修正!E2)*(C290:F316))</f>
        <v>0</v>
      </c>
      <c r="J14" s="678" t="s">
        <v>267</v>
      </c>
      <c r="K14" s="678" t="s">
        <v>268</v>
      </c>
      <c r="L14" s="678" t="s">
        <v>269</v>
      </c>
      <c r="M14" s="678" t="s">
        <v>270</v>
      </c>
      <c r="N14" s="678" t="s">
        <v>271</v>
      </c>
      <c r="O14" s="678" t="s">
        <v>272</v>
      </c>
      <c r="P14" s="678" t="s">
        <v>273</v>
      </c>
      <c r="Q14" s="678" t="s">
        <v>274</v>
      </c>
      <c r="R14" s="678" t="s">
        <v>275</v>
      </c>
      <c r="S14" s="678" t="s">
        <v>276</v>
      </c>
    </row>
    <row r="15" spans="1:20" ht="14.25" customHeight="1" thickBot="1">
      <c r="A15" s="684" t="s">
        <v>220</v>
      </c>
      <c r="B15" s="692" t="s">
        <v>186</v>
      </c>
      <c r="C15" s="678">
        <v>24760</v>
      </c>
      <c r="D15" s="678">
        <v>24440</v>
      </c>
      <c r="E15" s="678">
        <v>24130</v>
      </c>
      <c r="F15" s="696">
        <v>9480</v>
      </c>
      <c r="G15" s="690" t="s">
        <v>277</v>
      </c>
      <c r="H15" s="691">
        <f>SUMPRODUCT((B317:B337=基准地价修正!I2)*(C3:F3=基准地价修正!E2)*(C317:F337))</f>
        <v>0</v>
      </c>
      <c r="J15" s="678" t="s">
        <v>278</v>
      </c>
      <c r="K15" s="678" t="s">
        <v>279</v>
      </c>
      <c r="L15" s="678" t="s">
        <v>280</v>
      </c>
      <c r="M15" s="678" t="s">
        <v>281</v>
      </c>
      <c r="N15" s="678" t="s">
        <v>282</v>
      </c>
      <c r="O15" s="678" t="s">
        <v>283</v>
      </c>
      <c r="P15" s="678" t="s">
        <v>284</v>
      </c>
      <c r="Q15" s="678" t="s">
        <v>285</v>
      </c>
      <c r="R15" s="678" t="s">
        <v>286</v>
      </c>
      <c r="S15" s="678" t="s">
        <v>287</v>
      </c>
    </row>
    <row r="16" spans="1:20" ht="14.25" customHeight="1" thickBot="1">
      <c r="A16" s="684" t="s">
        <v>220</v>
      </c>
      <c r="B16" s="692" t="s">
        <v>198</v>
      </c>
      <c r="C16" s="678">
        <v>22220</v>
      </c>
      <c r="D16" s="678">
        <v>22310</v>
      </c>
      <c r="E16" s="678">
        <v>22000</v>
      </c>
      <c r="F16" s="696">
        <v>8900</v>
      </c>
      <c r="G16" s="697" t="s">
        <v>288</v>
      </c>
      <c r="H16" s="698">
        <f>SUMPRODUCT((B338:B344=基准地价修正!I2)*(C3:F3=基准地价修正!E2)*(C338:F344))</f>
        <v>0</v>
      </c>
      <c r="J16" s="678" t="s">
        <v>289</v>
      </c>
      <c r="K16" s="678" t="s">
        <v>290</v>
      </c>
      <c r="L16" s="678" t="s">
        <v>291</v>
      </c>
      <c r="M16" s="678" t="s">
        <v>292</v>
      </c>
      <c r="N16" s="678" t="s">
        <v>293</v>
      </c>
      <c r="O16" s="678" t="s">
        <v>294</v>
      </c>
      <c r="P16" s="678" t="s">
        <v>295</v>
      </c>
      <c r="Q16" s="678" t="s">
        <v>296</v>
      </c>
      <c r="R16" s="678" t="s">
        <v>297</v>
      </c>
      <c r="S16" s="678" t="s">
        <v>298</v>
      </c>
    </row>
    <row r="17" spans="1:19" ht="14.25" customHeight="1" thickBot="1">
      <c r="A17" s="684" t="s">
        <v>220</v>
      </c>
      <c r="B17" s="692" t="s">
        <v>210</v>
      </c>
      <c r="C17" s="678">
        <v>24700</v>
      </c>
      <c r="D17" s="678">
        <v>25150</v>
      </c>
      <c r="E17" s="678">
        <v>24700</v>
      </c>
      <c r="F17" s="699"/>
      <c r="H17" s="700"/>
      <c r="J17" s="678" t="s">
        <v>299</v>
      </c>
      <c r="K17" s="678" t="s">
        <v>300</v>
      </c>
      <c r="L17" s="678" t="s">
        <v>301</v>
      </c>
      <c r="M17" s="678" t="s">
        <v>302</v>
      </c>
      <c r="N17" s="678" t="s">
        <v>303</v>
      </c>
      <c r="O17" s="678" t="s">
        <v>304</v>
      </c>
      <c r="P17" s="678" t="s">
        <v>305</v>
      </c>
      <c r="Q17" s="678" t="s">
        <v>306</v>
      </c>
      <c r="R17" s="678" t="s">
        <v>307</v>
      </c>
      <c r="S17" s="678" t="s">
        <v>308</v>
      </c>
    </row>
    <row r="18" spans="1:19" ht="14.25" customHeight="1" thickBot="1">
      <c r="A18" s="684" t="s">
        <v>220</v>
      </c>
      <c r="B18" s="692" t="s">
        <v>223</v>
      </c>
      <c r="C18" s="678">
        <v>22350</v>
      </c>
      <c r="D18" s="678">
        <v>24340</v>
      </c>
      <c r="E18" s="678">
        <v>24100</v>
      </c>
      <c r="F18" s="699"/>
      <c r="H18" s="700"/>
      <c r="J18" s="678" t="s">
        <v>309</v>
      </c>
      <c r="K18" s="678" t="s">
        <v>310</v>
      </c>
      <c r="L18" s="678" t="s">
        <v>311</v>
      </c>
      <c r="M18" s="678" t="s">
        <v>312</v>
      </c>
      <c r="N18" s="678" t="s">
        <v>313</v>
      </c>
      <c r="O18" s="678" t="s">
        <v>314</v>
      </c>
      <c r="P18" s="678" t="s">
        <v>315</v>
      </c>
      <c r="Q18" s="678" t="s">
        <v>316</v>
      </c>
      <c r="R18" s="678" t="s">
        <v>317</v>
      </c>
      <c r="S18" s="678" t="s">
        <v>318</v>
      </c>
    </row>
    <row r="19" spans="1:19" ht="14.25" customHeight="1" thickBot="1">
      <c r="A19" s="684" t="s">
        <v>220</v>
      </c>
      <c r="B19" s="692" t="s">
        <v>234</v>
      </c>
      <c r="C19" s="678">
        <v>23430</v>
      </c>
      <c r="D19" s="678">
        <v>21580</v>
      </c>
      <c r="E19" s="678">
        <v>21350</v>
      </c>
      <c r="F19" s="699"/>
      <c r="H19" s="700"/>
      <c r="J19" s="678" t="s">
        <v>319</v>
      </c>
      <c r="K19" s="678" t="s">
        <v>320</v>
      </c>
      <c r="L19" s="678" t="s">
        <v>321</v>
      </c>
      <c r="M19" s="678" t="s">
        <v>322</v>
      </c>
      <c r="N19" s="678" t="s">
        <v>323</v>
      </c>
      <c r="O19" s="678" t="s">
        <v>324</v>
      </c>
      <c r="P19" s="678" t="s">
        <v>325</v>
      </c>
      <c r="Q19" s="678" t="s">
        <v>326</v>
      </c>
      <c r="R19" s="678" t="s">
        <v>327</v>
      </c>
      <c r="S19" s="678" t="s">
        <v>328</v>
      </c>
    </row>
    <row r="20" spans="1:19" ht="14.25" customHeight="1" thickBot="1">
      <c r="A20" s="684" t="s">
        <v>220</v>
      </c>
      <c r="B20" s="692" t="s">
        <v>245</v>
      </c>
      <c r="C20" s="678">
        <v>27660</v>
      </c>
      <c r="D20" s="678">
        <v>24240</v>
      </c>
      <c r="E20" s="678">
        <v>24020</v>
      </c>
      <c r="F20" s="699"/>
      <c r="J20" s="678" t="s">
        <v>329</v>
      </c>
      <c r="K20" s="678" t="s">
        <v>330</v>
      </c>
      <c r="L20" s="678" t="s">
        <v>331</v>
      </c>
      <c r="M20" s="678" t="s">
        <v>332</v>
      </c>
      <c r="N20" s="678" t="s">
        <v>333</v>
      </c>
      <c r="O20" s="678" t="s">
        <v>334</v>
      </c>
      <c r="P20" s="678" t="s">
        <v>335</v>
      </c>
      <c r="Q20" s="678" t="s">
        <v>336</v>
      </c>
      <c r="R20" s="678" t="s">
        <v>337</v>
      </c>
      <c r="S20" s="678" t="s">
        <v>338</v>
      </c>
    </row>
    <row r="21" spans="1:19" ht="14.25" customHeight="1" thickBot="1">
      <c r="A21" s="684" t="s">
        <v>220</v>
      </c>
      <c r="B21" s="692" t="s">
        <v>256</v>
      </c>
      <c r="C21" s="678">
        <v>24720</v>
      </c>
      <c r="D21" s="678">
        <v>21670</v>
      </c>
      <c r="E21" s="678">
        <v>21510</v>
      </c>
      <c r="F21" s="699"/>
      <c r="K21" s="678" t="s">
        <v>339</v>
      </c>
      <c r="L21" s="678" t="s">
        <v>340</v>
      </c>
      <c r="M21" s="678" t="s">
        <v>341</v>
      </c>
      <c r="N21" s="678" t="s">
        <v>342</v>
      </c>
      <c r="O21" s="678" t="s">
        <v>343</v>
      </c>
      <c r="P21" s="678" t="s">
        <v>344</v>
      </c>
      <c r="Q21" s="678" t="s">
        <v>345</v>
      </c>
      <c r="R21" s="678" t="s">
        <v>346</v>
      </c>
      <c r="S21" s="678" t="s">
        <v>347</v>
      </c>
    </row>
    <row r="22" spans="1:19" ht="14.25" customHeight="1" thickBot="1">
      <c r="A22" s="684" t="s">
        <v>220</v>
      </c>
      <c r="B22" s="692" t="s">
        <v>348</v>
      </c>
      <c r="C22" s="678">
        <v>26530</v>
      </c>
      <c r="D22" s="678">
        <v>22980</v>
      </c>
      <c r="E22" s="678">
        <v>22650</v>
      </c>
      <c r="F22" s="699"/>
      <c r="L22" s="678" t="s">
        <v>349</v>
      </c>
      <c r="M22" s="678" t="s">
        <v>350</v>
      </c>
      <c r="N22" s="678" t="s">
        <v>351</v>
      </c>
      <c r="O22" s="678" t="s">
        <v>352</v>
      </c>
      <c r="P22" s="678" t="s">
        <v>353</v>
      </c>
      <c r="Q22" s="678" t="s">
        <v>354</v>
      </c>
      <c r="R22" s="678" t="s">
        <v>355</v>
      </c>
      <c r="S22" s="692" t="s">
        <v>356</v>
      </c>
    </row>
    <row r="23" spans="1:19" ht="14.25" customHeight="1" thickBot="1">
      <c r="A23" s="684" t="s">
        <v>220</v>
      </c>
      <c r="B23" s="692" t="s">
        <v>278</v>
      </c>
      <c r="C23" s="678">
        <v>24700</v>
      </c>
      <c r="D23" s="678">
        <v>27290</v>
      </c>
      <c r="E23" s="678">
        <v>26710</v>
      </c>
      <c r="F23" s="699"/>
      <c r="L23" s="678" t="s">
        <v>357</v>
      </c>
      <c r="M23" s="678" t="s">
        <v>358</v>
      </c>
      <c r="N23" s="678" t="s">
        <v>359</v>
      </c>
      <c r="O23" s="678" t="s">
        <v>360</v>
      </c>
      <c r="P23" s="678" t="s">
        <v>361</v>
      </c>
      <c r="Q23" s="678" t="s">
        <v>362</v>
      </c>
      <c r="R23" s="678" t="s">
        <v>363</v>
      </c>
    </row>
    <row r="24" spans="1:19" ht="14.25" customHeight="1" thickBot="1">
      <c r="A24" s="684" t="s">
        <v>220</v>
      </c>
      <c r="B24" s="692" t="s">
        <v>289</v>
      </c>
      <c r="C24" s="678">
        <v>23070</v>
      </c>
      <c r="D24" s="678">
        <v>24130</v>
      </c>
      <c r="E24" s="678">
        <v>23860</v>
      </c>
      <c r="F24" s="699"/>
      <c r="L24" s="678" t="s">
        <v>364</v>
      </c>
      <c r="M24" s="678" t="s">
        <v>365</v>
      </c>
      <c r="N24" s="678" t="s">
        <v>366</v>
      </c>
      <c r="O24" s="678" t="s">
        <v>367</v>
      </c>
      <c r="P24" s="678" t="s">
        <v>368</v>
      </c>
      <c r="Q24" s="678" t="s">
        <v>369</v>
      </c>
      <c r="R24" s="678" t="s">
        <v>370</v>
      </c>
    </row>
    <row r="25" spans="1:19" ht="14.25" customHeight="1" thickBot="1">
      <c r="A25" s="684" t="s">
        <v>220</v>
      </c>
      <c r="B25" s="692" t="s">
        <v>299</v>
      </c>
      <c r="C25" s="678">
        <v>27550</v>
      </c>
      <c r="D25" s="678">
        <v>25850</v>
      </c>
      <c r="E25" s="678">
        <v>25340</v>
      </c>
      <c r="F25" s="699"/>
      <c r="L25" s="678" t="s">
        <v>371</v>
      </c>
      <c r="M25" s="678" t="s">
        <v>372</v>
      </c>
      <c r="N25" s="678" t="s">
        <v>373</v>
      </c>
      <c r="O25" s="678" t="s">
        <v>374</v>
      </c>
      <c r="P25" s="678" t="s">
        <v>375</v>
      </c>
      <c r="Q25" s="678" t="s">
        <v>376</v>
      </c>
      <c r="R25" s="678" t="s">
        <v>377</v>
      </c>
    </row>
    <row r="26" spans="1:19" ht="14.25" customHeight="1" thickBot="1">
      <c r="A26" s="684" t="s">
        <v>220</v>
      </c>
      <c r="B26" s="692" t="s">
        <v>309</v>
      </c>
      <c r="C26" s="678"/>
      <c r="D26" s="678">
        <v>23900</v>
      </c>
      <c r="E26" s="678">
        <v>23590</v>
      </c>
      <c r="F26" s="699"/>
      <c r="L26" s="678" t="s">
        <v>378</v>
      </c>
      <c r="M26" s="678" t="s">
        <v>379</v>
      </c>
      <c r="N26" s="678" t="s">
        <v>380</v>
      </c>
      <c r="O26" s="678" t="s">
        <v>381</v>
      </c>
      <c r="P26" s="678" t="s">
        <v>382</v>
      </c>
      <c r="Q26" s="678" t="s">
        <v>383</v>
      </c>
      <c r="R26" s="678" t="s">
        <v>384</v>
      </c>
    </row>
    <row r="27" spans="1:19" ht="14.25" customHeight="1" thickBot="1">
      <c r="A27" s="684" t="s">
        <v>220</v>
      </c>
      <c r="B27" s="692" t="s">
        <v>319</v>
      </c>
      <c r="C27" s="678"/>
      <c r="D27" s="678">
        <v>22850</v>
      </c>
      <c r="E27" s="678">
        <v>21920</v>
      </c>
      <c r="F27" s="699"/>
      <c r="L27" s="678" t="s">
        <v>385</v>
      </c>
      <c r="M27" s="678" t="s">
        <v>386</v>
      </c>
      <c r="N27" s="678" t="s">
        <v>387</v>
      </c>
      <c r="O27" s="678" t="s">
        <v>388</v>
      </c>
      <c r="P27" s="678" t="s">
        <v>389</v>
      </c>
      <c r="Q27" s="678" t="s">
        <v>390</v>
      </c>
      <c r="R27" s="678" t="s">
        <v>391</v>
      </c>
    </row>
    <row r="28" spans="1:19" ht="14.25" customHeight="1" thickBot="1">
      <c r="A28" s="701" t="s">
        <v>220</v>
      </c>
      <c r="B28" s="693" t="s">
        <v>329</v>
      </c>
      <c r="C28" s="694"/>
      <c r="D28" s="694">
        <v>26610</v>
      </c>
      <c r="E28" s="694">
        <v>26370</v>
      </c>
      <c r="F28" s="695"/>
      <c r="L28" s="678" t="s">
        <v>392</v>
      </c>
      <c r="M28" s="678" t="s">
        <v>393</v>
      </c>
      <c r="N28" s="678" t="s">
        <v>394</v>
      </c>
      <c r="O28" s="678" t="s">
        <v>395</v>
      </c>
      <c r="P28" s="678" t="s">
        <v>396</v>
      </c>
      <c r="Q28" s="678" t="s">
        <v>397</v>
      </c>
    </row>
    <row r="29" spans="1:19" ht="14.25" customHeight="1" thickBot="1">
      <c r="A29" s="684" t="s">
        <v>398</v>
      </c>
      <c r="B29" s="685" t="s">
        <v>399</v>
      </c>
      <c r="C29" s="685">
        <v>22090</v>
      </c>
      <c r="D29" s="685">
        <v>21860</v>
      </c>
      <c r="E29" s="685">
        <v>19380</v>
      </c>
      <c r="F29" s="686">
        <v>6610</v>
      </c>
      <c r="M29" s="678" t="s">
        <v>400</v>
      </c>
      <c r="N29" s="678" t="s">
        <v>401</v>
      </c>
      <c r="O29" s="678" t="s">
        <v>402</v>
      </c>
      <c r="P29" s="678" t="s">
        <v>403</v>
      </c>
      <c r="Q29" s="678" t="s">
        <v>404</v>
      </c>
    </row>
    <row r="30" spans="1:19" ht="14.25" customHeight="1" thickBot="1">
      <c r="A30" s="684" t="s">
        <v>398</v>
      </c>
      <c r="B30" s="692" t="s">
        <v>137</v>
      </c>
      <c r="C30" s="678">
        <v>21380</v>
      </c>
      <c r="D30" s="678">
        <v>19930</v>
      </c>
      <c r="E30" s="678">
        <v>19860</v>
      </c>
      <c r="F30" s="696">
        <v>6010</v>
      </c>
      <c r="H30" s="700"/>
      <c r="M30" s="678" t="s">
        <v>405</v>
      </c>
      <c r="N30" s="678" t="s">
        <v>406</v>
      </c>
      <c r="O30" s="678" t="s">
        <v>407</v>
      </c>
      <c r="P30" s="678" t="s">
        <v>780</v>
      </c>
      <c r="Q30" s="678" t="s">
        <v>408</v>
      </c>
    </row>
    <row r="31" spans="1:19" ht="14.25" customHeight="1" thickBot="1">
      <c r="A31" s="684" t="s">
        <v>398</v>
      </c>
      <c r="B31" s="692" t="s">
        <v>150</v>
      </c>
      <c r="C31" s="678">
        <v>21670</v>
      </c>
      <c r="D31" s="678">
        <v>20660</v>
      </c>
      <c r="E31" s="678">
        <v>20290</v>
      </c>
      <c r="F31" s="696">
        <v>5840</v>
      </c>
      <c r="H31" s="700"/>
      <c r="M31" s="678" t="s">
        <v>409</v>
      </c>
      <c r="N31" s="678" t="s">
        <v>410</v>
      </c>
      <c r="O31" s="678" t="s">
        <v>411</v>
      </c>
      <c r="P31" s="678" t="s">
        <v>412</v>
      </c>
      <c r="Q31" s="678" t="s">
        <v>413</v>
      </c>
    </row>
    <row r="32" spans="1:19" ht="14.25" customHeight="1" thickBot="1">
      <c r="A32" s="684" t="s">
        <v>398</v>
      </c>
      <c r="B32" s="692" t="s">
        <v>163</v>
      </c>
      <c r="C32" s="678">
        <v>22280</v>
      </c>
      <c r="D32" s="678">
        <v>21800</v>
      </c>
      <c r="E32" s="678">
        <v>17650</v>
      </c>
      <c r="F32" s="696">
        <v>4690</v>
      </c>
      <c r="H32" s="700"/>
      <c r="M32" s="678" t="s">
        <v>414</v>
      </c>
      <c r="N32" s="678" t="s">
        <v>415</v>
      </c>
      <c r="O32" s="678" t="s">
        <v>416</v>
      </c>
      <c r="P32" s="678" t="s">
        <v>417</v>
      </c>
      <c r="Q32" s="678" t="s">
        <v>418</v>
      </c>
    </row>
    <row r="33" spans="1:17" ht="14.25" customHeight="1" thickBot="1">
      <c r="A33" s="684" t="s">
        <v>398</v>
      </c>
      <c r="B33" s="692" t="s">
        <v>175</v>
      </c>
      <c r="C33" s="678">
        <v>22130</v>
      </c>
      <c r="D33" s="678">
        <v>20460</v>
      </c>
      <c r="E33" s="678">
        <v>18500</v>
      </c>
      <c r="F33" s="696">
        <v>5340</v>
      </c>
      <c r="H33" s="700"/>
      <c r="M33" s="678" t="s">
        <v>419</v>
      </c>
      <c r="N33" s="678" t="s">
        <v>420</v>
      </c>
      <c r="O33" s="678" t="s">
        <v>421</v>
      </c>
      <c r="P33" s="678" t="s">
        <v>422</v>
      </c>
      <c r="Q33" s="678" t="s">
        <v>423</v>
      </c>
    </row>
    <row r="34" spans="1:17" ht="14.25" customHeight="1" thickBot="1">
      <c r="A34" s="684" t="s">
        <v>398</v>
      </c>
      <c r="B34" s="692" t="s">
        <v>187</v>
      </c>
      <c r="C34" s="678">
        <v>22070</v>
      </c>
      <c r="D34" s="678">
        <v>20110</v>
      </c>
      <c r="E34" s="678">
        <v>18830</v>
      </c>
      <c r="F34" s="696">
        <v>5190</v>
      </c>
      <c r="H34" s="700"/>
      <c r="M34" s="678" t="s">
        <v>424</v>
      </c>
      <c r="N34" s="678" t="s">
        <v>425</v>
      </c>
      <c r="O34" s="678" t="s">
        <v>426</v>
      </c>
      <c r="P34" s="678" t="s">
        <v>427</v>
      </c>
      <c r="Q34" s="678" t="s">
        <v>428</v>
      </c>
    </row>
    <row r="35" spans="1:17" ht="14.25" customHeight="1" thickBot="1">
      <c r="A35" s="684" t="s">
        <v>398</v>
      </c>
      <c r="B35" s="692" t="s">
        <v>199</v>
      </c>
      <c r="C35" s="678">
        <v>22240</v>
      </c>
      <c r="D35" s="678">
        <v>19550</v>
      </c>
      <c r="E35" s="678">
        <v>19220</v>
      </c>
      <c r="F35" s="696">
        <v>5800</v>
      </c>
      <c r="H35" s="700"/>
      <c r="M35" s="678" t="s">
        <v>429</v>
      </c>
      <c r="N35" s="678" t="s">
        <v>430</v>
      </c>
      <c r="O35" s="678" t="s">
        <v>431</v>
      </c>
      <c r="P35" s="678" t="s">
        <v>432</v>
      </c>
      <c r="Q35" s="678" t="s">
        <v>433</v>
      </c>
    </row>
    <row r="36" spans="1:17" ht="14.25" customHeight="1" thickBot="1">
      <c r="A36" s="684" t="s">
        <v>398</v>
      </c>
      <c r="B36" s="692" t="s">
        <v>211</v>
      </c>
      <c r="C36" s="678">
        <v>19750</v>
      </c>
      <c r="D36" s="678">
        <v>19790</v>
      </c>
      <c r="E36" s="678">
        <v>18510</v>
      </c>
      <c r="F36" s="696">
        <v>6520</v>
      </c>
      <c r="H36" s="700"/>
      <c r="N36" s="678" t="s">
        <v>434</v>
      </c>
      <c r="O36" s="678" t="s">
        <v>435</v>
      </c>
      <c r="P36" s="678" t="s">
        <v>436</v>
      </c>
      <c r="Q36" s="678" t="s">
        <v>437</v>
      </c>
    </row>
    <row r="37" spans="1:17" ht="14.25" customHeight="1" thickBot="1">
      <c r="A37" s="684" t="s">
        <v>398</v>
      </c>
      <c r="B37" s="692" t="s">
        <v>224</v>
      </c>
      <c r="C37" s="678">
        <v>22380</v>
      </c>
      <c r="D37" s="678">
        <v>18530</v>
      </c>
      <c r="E37" s="678">
        <v>17930</v>
      </c>
      <c r="F37" s="696">
        <v>6270</v>
      </c>
      <c r="H37" s="702"/>
      <c r="N37" s="678" t="s">
        <v>438</v>
      </c>
      <c r="O37" s="678" t="s">
        <v>439</v>
      </c>
      <c r="P37" s="678" t="s">
        <v>440</v>
      </c>
      <c r="Q37" s="678" t="s">
        <v>441</v>
      </c>
    </row>
    <row r="38" spans="1:17" ht="14.25" customHeight="1" thickBot="1">
      <c r="A38" s="684" t="s">
        <v>398</v>
      </c>
      <c r="B38" s="692" t="s">
        <v>235</v>
      </c>
      <c r="C38" s="678">
        <v>20200</v>
      </c>
      <c r="D38" s="678">
        <v>20070</v>
      </c>
      <c r="E38" s="678">
        <v>19950</v>
      </c>
      <c r="F38" s="696"/>
      <c r="H38" s="700"/>
      <c r="N38" s="678" t="s">
        <v>442</v>
      </c>
      <c r="O38" s="678" t="s">
        <v>443</v>
      </c>
      <c r="P38" s="678" t="s">
        <v>444</v>
      </c>
      <c r="Q38" s="678" t="s">
        <v>445</v>
      </c>
    </row>
    <row r="39" spans="1:17" ht="14.25" customHeight="1" thickBot="1">
      <c r="A39" s="684" t="s">
        <v>398</v>
      </c>
      <c r="B39" s="692" t="s">
        <v>246</v>
      </c>
      <c r="C39" s="678">
        <v>19300</v>
      </c>
      <c r="D39" s="678">
        <v>20360</v>
      </c>
      <c r="E39" s="678">
        <v>20230</v>
      </c>
      <c r="F39" s="696"/>
      <c r="H39" s="700"/>
      <c r="N39" s="678" t="s">
        <v>446</v>
      </c>
      <c r="O39" s="678" t="s">
        <v>447</v>
      </c>
      <c r="P39" s="678" t="s">
        <v>448</v>
      </c>
      <c r="Q39" s="678" t="s">
        <v>449</v>
      </c>
    </row>
    <row r="40" spans="1:17" ht="14.25" customHeight="1" thickBot="1">
      <c r="A40" s="684" t="s">
        <v>398</v>
      </c>
      <c r="B40" s="692" t="s">
        <v>257</v>
      </c>
      <c r="C40" s="678">
        <v>20210</v>
      </c>
      <c r="D40" s="678">
        <v>19060</v>
      </c>
      <c r="E40" s="678">
        <v>18890</v>
      </c>
      <c r="F40" s="696"/>
      <c r="H40" s="700"/>
      <c r="N40" s="678" t="s">
        <v>450</v>
      </c>
      <c r="O40" s="678" t="s">
        <v>451</v>
      </c>
      <c r="P40" s="678" t="s">
        <v>452</v>
      </c>
      <c r="Q40" s="678" t="s">
        <v>453</v>
      </c>
    </row>
    <row r="41" spans="1:17" ht="14.25" customHeight="1" thickBot="1">
      <c r="A41" s="684" t="s">
        <v>398</v>
      </c>
      <c r="B41" s="692" t="s">
        <v>268</v>
      </c>
      <c r="C41" s="678">
        <v>20560</v>
      </c>
      <c r="D41" s="678">
        <v>21040</v>
      </c>
      <c r="E41" s="678">
        <v>20740</v>
      </c>
      <c r="F41" s="696"/>
      <c r="H41" s="700"/>
      <c r="N41" s="692" t="s">
        <v>454</v>
      </c>
      <c r="O41" s="692" t="s">
        <v>455</v>
      </c>
      <c r="Q41" s="692" t="s">
        <v>456</v>
      </c>
    </row>
    <row r="42" spans="1:17" ht="14.25" customHeight="1" thickBot="1">
      <c r="A42" s="684" t="s">
        <v>398</v>
      </c>
      <c r="B42" s="692" t="s">
        <v>279</v>
      </c>
      <c r="C42" s="678">
        <v>19280</v>
      </c>
      <c r="D42" s="678">
        <v>22940</v>
      </c>
      <c r="E42" s="678">
        <v>22500</v>
      </c>
      <c r="F42" s="696"/>
      <c r="H42" s="700"/>
      <c r="N42" s="678" t="s">
        <v>457</v>
      </c>
      <c r="O42" s="678" t="s">
        <v>458</v>
      </c>
      <c r="Q42" s="678" t="s">
        <v>459</v>
      </c>
    </row>
    <row r="43" spans="1:17" ht="14.25" customHeight="1" thickBot="1">
      <c r="A43" s="684" t="s">
        <v>398</v>
      </c>
      <c r="B43" s="692" t="s">
        <v>290</v>
      </c>
      <c r="C43" s="678">
        <v>21520</v>
      </c>
      <c r="D43" s="678">
        <v>19230</v>
      </c>
      <c r="E43" s="678">
        <v>18540</v>
      </c>
      <c r="F43" s="696"/>
      <c r="H43" s="700"/>
      <c r="N43" s="678" t="s">
        <v>460</v>
      </c>
      <c r="O43" s="678" t="s">
        <v>461</v>
      </c>
      <c r="Q43" s="678" t="s">
        <v>462</v>
      </c>
    </row>
    <row r="44" spans="1:17" ht="14.25" customHeight="1" thickBot="1">
      <c r="A44" s="684" t="s">
        <v>398</v>
      </c>
      <c r="B44" s="692" t="s">
        <v>300</v>
      </c>
      <c r="C44" s="678">
        <v>23260</v>
      </c>
      <c r="D44" s="678">
        <v>21180</v>
      </c>
      <c r="E44" s="678">
        <v>20730</v>
      </c>
      <c r="F44" s="696"/>
      <c r="H44" s="700"/>
      <c r="N44" s="678" t="s">
        <v>463</v>
      </c>
      <c r="O44" s="678" t="s">
        <v>464</v>
      </c>
      <c r="Q44" s="678" t="s">
        <v>465</v>
      </c>
    </row>
    <row r="45" spans="1:17" ht="14.25" customHeight="1" thickBot="1">
      <c r="A45" s="684" t="s">
        <v>398</v>
      </c>
      <c r="B45" s="692" t="s">
        <v>310</v>
      </c>
      <c r="C45" s="678">
        <v>19610</v>
      </c>
      <c r="D45" s="678">
        <v>18090</v>
      </c>
      <c r="E45" s="678">
        <v>17970</v>
      </c>
      <c r="F45" s="696"/>
      <c r="H45" s="700"/>
      <c r="N45" s="678" t="s">
        <v>466</v>
      </c>
      <c r="O45" s="678" t="s">
        <v>467</v>
      </c>
      <c r="Q45" s="678" t="s">
        <v>468</v>
      </c>
    </row>
    <row r="46" spans="1:17" ht="14.25" customHeight="1" thickBot="1">
      <c r="A46" s="684" t="s">
        <v>398</v>
      </c>
      <c r="B46" s="692" t="s">
        <v>320</v>
      </c>
      <c r="C46" s="678">
        <v>21660</v>
      </c>
      <c r="D46" s="678">
        <v>19190</v>
      </c>
      <c r="E46" s="678">
        <v>19790</v>
      </c>
      <c r="F46" s="696"/>
      <c r="H46" s="700"/>
      <c r="N46" s="678" t="s">
        <v>469</v>
      </c>
      <c r="O46" s="678" t="s">
        <v>470</v>
      </c>
      <c r="Q46" s="678" t="s">
        <v>471</v>
      </c>
    </row>
    <row r="47" spans="1:17" ht="14.25" customHeight="1" thickBot="1">
      <c r="A47" s="684" t="s">
        <v>398</v>
      </c>
      <c r="B47" s="692" t="s">
        <v>330</v>
      </c>
      <c r="C47" s="678">
        <v>18220</v>
      </c>
      <c r="D47" s="678"/>
      <c r="E47" s="678">
        <v>17220</v>
      </c>
      <c r="F47" s="696"/>
      <c r="H47" s="700"/>
      <c r="N47" s="678" t="s">
        <v>472</v>
      </c>
      <c r="O47" s="678" t="s">
        <v>473</v>
      </c>
    </row>
    <row r="48" spans="1:17" ht="14.25" customHeight="1" thickBot="1">
      <c r="A48" s="684" t="s">
        <v>398</v>
      </c>
      <c r="B48" s="693" t="s">
        <v>339</v>
      </c>
      <c r="C48" s="694">
        <v>19430</v>
      </c>
      <c r="D48" s="694"/>
      <c r="E48" s="694">
        <v>17830</v>
      </c>
      <c r="F48" s="703"/>
      <c r="H48" s="700"/>
      <c r="N48" s="678" t="s">
        <v>474</v>
      </c>
      <c r="O48" s="678" t="s">
        <v>475</v>
      </c>
    </row>
    <row r="49" spans="1:15" ht="14.25" customHeight="1" thickBot="1">
      <c r="A49" s="684" t="s">
        <v>87</v>
      </c>
      <c r="B49" s="685" t="s">
        <v>476</v>
      </c>
      <c r="C49" s="685">
        <v>17090</v>
      </c>
      <c r="D49" s="685">
        <v>16950</v>
      </c>
      <c r="E49" s="685">
        <v>16310</v>
      </c>
      <c r="F49" s="686">
        <v>4540</v>
      </c>
      <c r="H49" s="700"/>
      <c r="N49" s="678" t="s">
        <v>477</v>
      </c>
      <c r="O49" s="678" t="s">
        <v>478</v>
      </c>
    </row>
    <row r="50" spans="1:15" ht="14.25" customHeight="1" thickBot="1">
      <c r="A50" s="684" t="s">
        <v>87</v>
      </c>
      <c r="B50" s="678" t="s">
        <v>138</v>
      </c>
      <c r="C50" s="678">
        <v>19040</v>
      </c>
      <c r="D50" s="678">
        <v>16960</v>
      </c>
      <c r="E50" s="678">
        <v>14800</v>
      </c>
      <c r="F50" s="696">
        <v>3940</v>
      </c>
      <c r="H50" s="700"/>
    </row>
    <row r="51" spans="1:15" ht="14.25" customHeight="1" thickBot="1">
      <c r="A51" s="684" t="s">
        <v>87</v>
      </c>
      <c r="B51" s="678" t="s">
        <v>151</v>
      </c>
      <c r="C51" s="678">
        <v>17040</v>
      </c>
      <c r="D51" s="678">
        <v>16930</v>
      </c>
      <c r="E51" s="678">
        <v>15030</v>
      </c>
      <c r="F51" s="696">
        <v>4120</v>
      </c>
      <c r="H51" s="700"/>
    </row>
    <row r="52" spans="1:15" ht="14.25" customHeight="1" thickBot="1">
      <c r="A52" s="684" t="s">
        <v>87</v>
      </c>
      <c r="B52" s="678" t="s">
        <v>164</v>
      </c>
      <c r="C52" s="678">
        <v>17110</v>
      </c>
      <c r="D52" s="678">
        <v>17750</v>
      </c>
      <c r="E52" s="678">
        <v>17310</v>
      </c>
      <c r="F52" s="696">
        <v>3220</v>
      </c>
      <c r="H52" s="700"/>
    </row>
    <row r="53" spans="1:15" ht="14.25" customHeight="1" thickBot="1">
      <c r="A53" s="684" t="s">
        <v>87</v>
      </c>
      <c r="B53" s="678" t="s">
        <v>176</v>
      </c>
      <c r="C53" s="678">
        <v>17810</v>
      </c>
      <c r="D53" s="678">
        <v>17260</v>
      </c>
      <c r="E53" s="678">
        <v>17090</v>
      </c>
      <c r="F53" s="696">
        <v>3520</v>
      </c>
      <c r="H53" s="700"/>
    </row>
    <row r="54" spans="1:15" ht="14.25" customHeight="1" thickBot="1">
      <c r="A54" s="684" t="s">
        <v>87</v>
      </c>
      <c r="B54" s="678" t="s">
        <v>188</v>
      </c>
      <c r="C54" s="678">
        <v>17410</v>
      </c>
      <c r="D54" s="678">
        <v>16780</v>
      </c>
      <c r="E54" s="678">
        <v>16370</v>
      </c>
      <c r="F54" s="696">
        <v>3410</v>
      </c>
      <c r="H54" s="700"/>
    </row>
    <row r="55" spans="1:15" ht="14.25" customHeight="1" thickBot="1">
      <c r="A55" s="684" t="s">
        <v>87</v>
      </c>
      <c r="B55" s="678" t="s">
        <v>200</v>
      </c>
      <c r="C55" s="678">
        <v>16930</v>
      </c>
      <c r="D55" s="678">
        <v>14720</v>
      </c>
      <c r="E55" s="678">
        <v>15000</v>
      </c>
      <c r="F55" s="696">
        <v>3710</v>
      </c>
      <c r="H55" s="700"/>
    </row>
    <row r="56" spans="1:15" ht="14.25" customHeight="1" thickBot="1">
      <c r="A56" s="684" t="s">
        <v>87</v>
      </c>
      <c r="B56" s="678" t="s">
        <v>212</v>
      </c>
      <c r="C56" s="678">
        <v>14930</v>
      </c>
      <c r="D56" s="678">
        <v>15850</v>
      </c>
      <c r="E56" s="678">
        <v>14320</v>
      </c>
      <c r="F56" s="696">
        <v>3960</v>
      </c>
      <c r="H56" s="700"/>
    </row>
    <row r="57" spans="1:15" ht="14.25" customHeight="1" thickBot="1">
      <c r="A57" s="684" t="s">
        <v>87</v>
      </c>
      <c r="B57" s="678" t="s">
        <v>225</v>
      </c>
      <c r="C57" s="678">
        <v>16160</v>
      </c>
      <c r="D57" s="678">
        <v>16190</v>
      </c>
      <c r="E57" s="678">
        <v>15650</v>
      </c>
      <c r="F57" s="696">
        <v>4200</v>
      </c>
      <c r="H57" s="700"/>
    </row>
    <row r="58" spans="1:15" ht="14.25" customHeight="1" thickBot="1">
      <c r="A58" s="684" t="s">
        <v>87</v>
      </c>
      <c r="B58" s="678" t="s">
        <v>236</v>
      </c>
      <c r="C58" s="678">
        <v>16360</v>
      </c>
      <c r="D58" s="678">
        <v>14050</v>
      </c>
      <c r="E58" s="678">
        <v>16070</v>
      </c>
      <c r="F58" s="696">
        <v>3990</v>
      </c>
      <c r="H58" s="700"/>
    </row>
    <row r="59" spans="1:15" ht="14.25" customHeight="1" thickBot="1">
      <c r="A59" s="684" t="s">
        <v>87</v>
      </c>
      <c r="B59" s="678" t="s">
        <v>247</v>
      </c>
      <c r="C59" s="678">
        <v>14160</v>
      </c>
      <c r="D59" s="678">
        <v>16620</v>
      </c>
      <c r="E59" s="678">
        <v>13940</v>
      </c>
      <c r="F59" s="696">
        <v>4260</v>
      </c>
      <c r="H59" s="700"/>
    </row>
    <row r="60" spans="1:15" ht="14.25" customHeight="1" thickBot="1">
      <c r="A60" s="684" t="s">
        <v>87</v>
      </c>
      <c r="B60" s="678" t="s">
        <v>258</v>
      </c>
      <c r="C60" s="678">
        <v>16750</v>
      </c>
      <c r="D60" s="678">
        <v>13910</v>
      </c>
      <c r="E60" s="678">
        <v>16550</v>
      </c>
      <c r="F60" s="696">
        <v>4550</v>
      </c>
      <c r="H60" s="700"/>
    </row>
    <row r="61" spans="1:15" ht="14.25" customHeight="1" thickBot="1">
      <c r="A61" s="684" t="s">
        <v>87</v>
      </c>
      <c r="B61" s="678" t="s">
        <v>269</v>
      </c>
      <c r="C61" s="678">
        <v>14000</v>
      </c>
      <c r="D61" s="678">
        <v>14550</v>
      </c>
      <c r="E61" s="678">
        <v>13860</v>
      </c>
      <c r="F61" s="704"/>
      <c r="H61" s="700"/>
    </row>
    <row r="62" spans="1:15" ht="14.25" customHeight="1" thickBot="1">
      <c r="A62" s="684" t="s">
        <v>87</v>
      </c>
      <c r="B62" s="678" t="s">
        <v>280</v>
      </c>
      <c r="C62" s="678">
        <v>14660</v>
      </c>
      <c r="D62" s="678">
        <v>17450</v>
      </c>
      <c r="E62" s="678">
        <v>14470</v>
      </c>
      <c r="F62" s="704"/>
      <c r="H62" s="700"/>
    </row>
    <row r="63" spans="1:15" ht="14.25" customHeight="1" thickBot="1">
      <c r="A63" s="684" t="s">
        <v>87</v>
      </c>
      <c r="B63" s="678" t="s">
        <v>291</v>
      </c>
      <c r="C63" s="678">
        <v>17610</v>
      </c>
      <c r="D63" s="678">
        <v>16500</v>
      </c>
      <c r="E63" s="678">
        <v>17330</v>
      </c>
      <c r="F63" s="704"/>
      <c r="H63" s="700"/>
    </row>
    <row r="64" spans="1:15" ht="14.25" customHeight="1" thickBot="1">
      <c r="A64" s="684" t="s">
        <v>87</v>
      </c>
      <c r="B64" s="678" t="s">
        <v>301</v>
      </c>
      <c r="C64" s="678">
        <v>16590</v>
      </c>
      <c r="D64" s="678">
        <v>15130</v>
      </c>
      <c r="E64" s="678">
        <v>16420</v>
      </c>
      <c r="F64" s="704"/>
      <c r="H64" s="700"/>
    </row>
    <row r="65" spans="1:8" s="672" customFormat="1" ht="14.25" customHeight="1" thickBot="1">
      <c r="A65" s="684" t="s">
        <v>87</v>
      </c>
      <c r="B65" s="678" t="s">
        <v>311</v>
      </c>
      <c r="C65" s="678">
        <v>15220</v>
      </c>
      <c r="D65" s="678">
        <v>14660</v>
      </c>
      <c r="E65" s="678">
        <v>15060</v>
      </c>
      <c r="F65" s="696"/>
      <c r="H65" s="700"/>
    </row>
    <row r="66" spans="1:8" s="672" customFormat="1" ht="14.25" customHeight="1" thickBot="1">
      <c r="A66" s="684" t="s">
        <v>87</v>
      </c>
      <c r="B66" s="678" t="s">
        <v>321</v>
      </c>
      <c r="C66" s="678">
        <v>14720</v>
      </c>
      <c r="D66" s="678">
        <v>15970</v>
      </c>
      <c r="E66" s="678">
        <v>14610</v>
      </c>
      <c r="F66" s="696"/>
      <c r="H66" s="700"/>
    </row>
    <row r="67" spans="1:8" s="672" customFormat="1" ht="14.25" customHeight="1" thickBot="1">
      <c r="A67" s="684" t="s">
        <v>87</v>
      </c>
      <c r="B67" s="678" t="s">
        <v>331</v>
      </c>
      <c r="C67" s="678">
        <v>16080</v>
      </c>
      <c r="D67" s="678">
        <v>14840</v>
      </c>
      <c r="E67" s="678">
        <v>15630</v>
      </c>
      <c r="F67" s="696"/>
      <c r="H67" s="700"/>
    </row>
    <row r="68" spans="1:8" s="672" customFormat="1" ht="14.25" customHeight="1" thickBot="1">
      <c r="A68" s="684" t="s">
        <v>87</v>
      </c>
      <c r="B68" s="678" t="s">
        <v>340</v>
      </c>
      <c r="C68" s="678">
        <v>14940</v>
      </c>
      <c r="D68" s="678">
        <v>18000</v>
      </c>
      <c r="E68" s="678">
        <v>14040</v>
      </c>
      <c r="F68" s="696"/>
      <c r="H68" s="700"/>
    </row>
    <row r="69" spans="1:8" s="672" customFormat="1" ht="14.25" customHeight="1" thickBot="1">
      <c r="A69" s="684" t="s">
        <v>87</v>
      </c>
      <c r="B69" s="678" t="s">
        <v>349</v>
      </c>
      <c r="C69" s="678">
        <v>18810</v>
      </c>
      <c r="D69" s="678">
        <v>15100</v>
      </c>
      <c r="E69" s="678">
        <v>14710</v>
      </c>
      <c r="F69" s="696"/>
      <c r="H69" s="700"/>
    </row>
    <row r="70" spans="1:8" s="672" customFormat="1" ht="14.25" customHeight="1" thickBot="1">
      <c r="A70" s="684" t="s">
        <v>87</v>
      </c>
      <c r="B70" s="678" t="s">
        <v>357</v>
      </c>
      <c r="C70" s="678">
        <v>18270</v>
      </c>
      <c r="D70" s="678"/>
      <c r="E70" s="678"/>
      <c r="F70" s="696"/>
      <c r="H70" s="700"/>
    </row>
    <row r="71" spans="1:8" s="672" customFormat="1" ht="14.25" customHeight="1" thickBot="1">
      <c r="A71" s="684" t="s">
        <v>87</v>
      </c>
      <c r="B71" s="678" t="s">
        <v>364</v>
      </c>
      <c r="C71" s="678">
        <v>15230</v>
      </c>
      <c r="D71" s="678"/>
      <c r="E71" s="678"/>
      <c r="F71" s="696"/>
      <c r="H71" s="700"/>
    </row>
    <row r="72" spans="1:8" s="672" customFormat="1" ht="14.25" customHeight="1" thickBot="1">
      <c r="A72" s="684" t="s">
        <v>87</v>
      </c>
      <c r="B72" s="678" t="s">
        <v>371</v>
      </c>
      <c r="C72" s="678"/>
      <c r="D72" s="678"/>
      <c r="E72" s="678"/>
      <c r="F72" s="696">
        <v>4120</v>
      </c>
      <c r="H72" s="700"/>
    </row>
    <row r="73" spans="1:8" s="672" customFormat="1" ht="14.25" customHeight="1" thickBot="1">
      <c r="A73" s="684" t="s">
        <v>87</v>
      </c>
      <c r="B73" s="678" t="s">
        <v>378</v>
      </c>
      <c r="C73" s="678"/>
      <c r="D73" s="678"/>
      <c r="E73" s="678"/>
      <c r="F73" s="696">
        <v>3930</v>
      </c>
      <c r="H73" s="700"/>
    </row>
    <row r="74" spans="1:8" s="672" customFormat="1" ht="14.25" customHeight="1" thickBot="1">
      <c r="A74" s="684" t="s">
        <v>87</v>
      </c>
      <c r="B74" s="678" t="s">
        <v>385</v>
      </c>
      <c r="C74" s="678"/>
      <c r="D74" s="678"/>
      <c r="E74" s="678"/>
      <c r="F74" s="696">
        <v>4060</v>
      </c>
      <c r="H74" s="700"/>
    </row>
    <row r="75" spans="1:8" s="672" customFormat="1" ht="14.25" customHeight="1" thickBot="1">
      <c r="A75" s="684" t="s">
        <v>87</v>
      </c>
      <c r="B75" s="694" t="s">
        <v>392</v>
      </c>
      <c r="C75" s="694"/>
      <c r="D75" s="694"/>
      <c r="E75" s="694"/>
      <c r="F75" s="703">
        <v>3750</v>
      </c>
      <c r="H75" s="700"/>
    </row>
    <row r="76" spans="1:8" s="672" customFormat="1" ht="14.25" customHeight="1" thickBot="1">
      <c r="A76" s="684" t="s">
        <v>479</v>
      </c>
      <c r="B76" s="685" t="s">
        <v>480</v>
      </c>
      <c r="C76" s="685">
        <v>14690</v>
      </c>
      <c r="D76" s="685">
        <v>14640</v>
      </c>
      <c r="E76" s="685">
        <v>14590</v>
      </c>
      <c r="F76" s="686">
        <v>3060</v>
      </c>
      <c r="H76" s="700"/>
    </row>
    <row r="77" spans="1:8" s="672" customFormat="1" ht="14.25" customHeight="1" thickBot="1">
      <c r="A77" s="684" t="s">
        <v>479</v>
      </c>
      <c r="B77" s="678" t="s">
        <v>139</v>
      </c>
      <c r="C77" s="678">
        <v>12550</v>
      </c>
      <c r="D77" s="678">
        <v>12480</v>
      </c>
      <c r="E77" s="678">
        <v>12450</v>
      </c>
      <c r="F77" s="696">
        <v>2590</v>
      </c>
      <c r="H77" s="700"/>
    </row>
    <row r="78" spans="1:8" s="672" customFormat="1" ht="14.25" customHeight="1" thickBot="1">
      <c r="A78" s="684" t="s">
        <v>479</v>
      </c>
      <c r="B78" s="678" t="s">
        <v>152</v>
      </c>
      <c r="C78" s="678">
        <v>14360</v>
      </c>
      <c r="D78" s="678">
        <v>14320</v>
      </c>
      <c r="E78" s="678">
        <v>12510</v>
      </c>
      <c r="F78" s="696">
        <v>2700</v>
      </c>
      <c r="H78" s="700"/>
    </row>
    <row r="79" spans="1:8" s="672" customFormat="1" ht="14.25" customHeight="1" thickBot="1">
      <c r="A79" s="684" t="s">
        <v>479</v>
      </c>
      <c r="B79" s="678" t="s">
        <v>165</v>
      </c>
      <c r="C79" s="678">
        <v>12590</v>
      </c>
      <c r="D79" s="678">
        <v>12540</v>
      </c>
      <c r="E79" s="678">
        <v>12350</v>
      </c>
      <c r="F79" s="696">
        <v>2740</v>
      </c>
      <c r="H79" s="700"/>
    </row>
    <row r="80" spans="1:8" s="672" customFormat="1" ht="14.25" customHeight="1" thickBot="1">
      <c r="A80" s="684" t="s">
        <v>479</v>
      </c>
      <c r="B80" s="678" t="s">
        <v>177</v>
      </c>
      <c r="C80" s="678">
        <v>12450</v>
      </c>
      <c r="D80" s="678">
        <v>12370</v>
      </c>
      <c r="E80" s="678">
        <v>10790</v>
      </c>
      <c r="F80" s="696">
        <v>2290</v>
      </c>
      <c r="H80" s="700"/>
    </row>
    <row r="81" spans="1:8" s="672" customFormat="1" ht="14.25" customHeight="1" thickBot="1">
      <c r="A81" s="684" t="s">
        <v>479</v>
      </c>
      <c r="B81" s="678" t="s">
        <v>189</v>
      </c>
      <c r="C81" s="678">
        <v>14210</v>
      </c>
      <c r="D81" s="678">
        <v>14150</v>
      </c>
      <c r="E81" s="678">
        <v>12730</v>
      </c>
      <c r="F81" s="696">
        <v>2240</v>
      </c>
      <c r="H81" s="700"/>
    </row>
    <row r="82" spans="1:8" s="672" customFormat="1" ht="14.25" customHeight="1" thickBot="1">
      <c r="A82" s="684" t="s">
        <v>479</v>
      </c>
      <c r="B82" s="678" t="s">
        <v>201</v>
      </c>
      <c r="C82" s="678">
        <v>10860</v>
      </c>
      <c r="D82" s="678">
        <v>10820</v>
      </c>
      <c r="E82" s="678">
        <v>14720</v>
      </c>
      <c r="F82" s="696">
        <v>2490</v>
      </c>
      <c r="H82" s="700"/>
    </row>
    <row r="83" spans="1:8" s="672" customFormat="1" ht="14.25" customHeight="1" thickBot="1">
      <c r="A83" s="684" t="s">
        <v>479</v>
      </c>
      <c r="B83" s="678" t="s">
        <v>213</v>
      </c>
      <c r="C83" s="678">
        <v>12810</v>
      </c>
      <c r="D83" s="678">
        <v>12760</v>
      </c>
      <c r="E83" s="678">
        <v>14830</v>
      </c>
      <c r="F83" s="696">
        <v>2450</v>
      </c>
      <c r="H83" s="700"/>
    </row>
    <row r="84" spans="1:8" s="672" customFormat="1" ht="14.25" customHeight="1" thickBot="1">
      <c r="A84" s="684" t="s">
        <v>479</v>
      </c>
      <c r="B84" s="678" t="s">
        <v>226</v>
      </c>
      <c r="C84" s="678">
        <v>14950</v>
      </c>
      <c r="D84" s="678">
        <v>14810</v>
      </c>
      <c r="E84" s="678">
        <v>12590</v>
      </c>
      <c r="F84" s="696">
        <v>2540</v>
      </c>
      <c r="H84" s="700"/>
    </row>
    <row r="85" spans="1:8" s="672" customFormat="1" ht="14.25" customHeight="1" thickBot="1">
      <c r="A85" s="684" t="s">
        <v>479</v>
      </c>
      <c r="B85" s="678" t="s">
        <v>237</v>
      </c>
      <c r="C85" s="678">
        <v>14960</v>
      </c>
      <c r="D85" s="678">
        <v>14890</v>
      </c>
      <c r="E85" s="678">
        <v>12840</v>
      </c>
      <c r="F85" s="696">
        <v>2840</v>
      </c>
      <c r="H85" s="700"/>
    </row>
    <row r="86" spans="1:8" s="672" customFormat="1" ht="14.25" customHeight="1" thickBot="1">
      <c r="A86" s="684" t="s">
        <v>479</v>
      </c>
      <c r="B86" s="678" t="s">
        <v>248</v>
      </c>
      <c r="C86" s="678">
        <v>12730</v>
      </c>
      <c r="D86" s="678">
        <v>12660</v>
      </c>
      <c r="E86" s="678">
        <v>13310</v>
      </c>
      <c r="F86" s="696">
        <v>3140</v>
      </c>
      <c r="H86" s="700"/>
    </row>
    <row r="87" spans="1:8" s="672" customFormat="1" ht="14.25" customHeight="1" thickBot="1">
      <c r="A87" s="684" t="s">
        <v>479</v>
      </c>
      <c r="B87" s="678" t="s">
        <v>259</v>
      </c>
      <c r="C87" s="678">
        <v>12940</v>
      </c>
      <c r="D87" s="678">
        <v>12890</v>
      </c>
      <c r="E87" s="678">
        <v>11580</v>
      </c>
      <c r="F87" s="704"/>
      <c r="H87" s="700"/>
    </row>
    <row r="88" spans="1:8" s="672" customFormat="1" ht="14.25" customHeight="1" thickBot="1">
      <c r="A88" s="684" t="s">
        <v>479</v>
      </c>
      <c r="B88" s="678" t="s">
        <v>270</v>
      </c>
      <c r="C88" s="678">
        <v>13430</v>
      </c>
      <c r="D88" s="678">
        <v>13360</v>
      </c>
      <c r="E88" s="678">
        <v>12790</v>
      </c>
      <c r="F88" s="704"/>
      <c r="H88" s="700"/>
    </row>
    <row r="89" spans="1:8" s="672" customFormat="1" ht="14.25" customHeight="1" thickBot="1">
      <c r="A89" s="684" t="s">
        <v>479</v>
      </c>
      <c r="B89" s="678" t="s">
        <v>281</v>
      </c>
      <c r="C89" s="678">
        <v>11680</v>
      </c>
      <c r="D89" s="678">
        <v>11630</v>
      </c>
      <c r="E89" s="678">
        <v>11320</v>
      </c>
      <c r="F89" s="704"/>
      <c r="H89" s="700"/>
    </row>
    <row r="90" spans="1:8" s="672" customFormat="1" ht="14.25" customHeight="1" thickBot="1">
      <c r="A90" s="684" t="s">
        <v>479</v>
      </c>
      <c r="B90" s="678" t="s">
        <v>292</v>
      </c>
      <c r="C90" s="678">
        <v>12890</v>
      </c>
      <c r="D90" s="678">
        <v>12820</v>
      </c>
      <c r="E90" s="678">
        <v>12710</v>
      </c>
      <c r="F90" s="704"/>
      <c r="H90" s="700"/>
    </row>
    <row r="91" spans="1:8" s="672" customFormat="1" ht="14.25" customHeight="1" thickBot="1">
      <c r="A91" s="684" t="s">
        <v>479</v>
      </c>
      <c r="B91" s="678" t="s">
        <v>302</v>
      </c>
      <c r="C91" s="678">
        <v>11410</v>
      </c>
      <c r="D91" s="678">
        <v>11360</v>
      </c>
      <c r="E91" s="678">
        <v>12670</v>
      </c>
      <c r="F91" s="704"/>
      <c r="H91" s="700"/>
    </row>
    <row r="92" spans="1:8" s="672" customFormat="1" ht="14.25" customHeight="1" thickBot="1">
      <c r="A92" s="684" t="s">
        <v>479</v>
      </c>
      <c r="B92" s="678" t="s">
        <v>312</v>
      </c>
      <c r="C92" s="678">
        <v>12770</v>
      </c>
      <c r="D92" s="678">
        <v>12740</v>
      </c>
      <c r="E92" s="678">
        <v>11970</v>
      </c>
      <c r="F92" s="704"/>
      <c r="H92" s="700"/>
    </row>
    <row r="93" spans="1:8" s="672" customFormat="1" ht="14.25" customHeight="1" thickBot="1">
      <c r="A93" s="684" t="s">
        <v>479</v>
      </c>
      <c r="B93" s="678" t="s">
        <v>322</v>
      </c>
      <c r="C93" s="678">
        <v>12740</v>
      </c>
      <c r="D93" s="678">
        <v>12700</v>
      </c>
      <c r="E93" s="678">
        <v>12540</v>
      </c>
      <c r="F93" s="704"/>
      <c r="H93" s="700"/>
    </row>
    <row r="94" spans="1:8" s="672" customFormat="1" ht="14.25" customHeight="1" thickBot="1">
      <c r="A94" s="684" t="s">
        <v>479</v>
      </c>
      <c r="B94" s="678" t="s">
        <v>332</v>
      </c>
      <c r="C94" s="678">
        <v>12020</v>
      </c>
      <c r="D94" s="678">
        <v>11990</v>
      </c>
      <c r="E94" s="678">
        <v>13110</v>
      </c>
      <c r="F94" s="704"/>
      <c r="H94" s="700"/>
    </row>
    <row r="95" spans="1:8" s="672" customFormat="1" ht="14.25" customHeight="1" thickBot="1">
      <c r="A95" s="684" t="s">
        <v>479</v>
      </c>
      <c r="B95" s="678" t="s">
        <v>341</v>
      </c>
      <c r="C95" s="678">
        <v>12620</v>
      </c>
      <c r="D95" s="678">
        <v>12580</v>
      </c>
      <c r="E95" s="678">
        <v>13160</v>
      </c>
      <c r="F95" s="696"/>
      <c r="H95" s="700"/>
    </row>
    <row r="96" spans="1:8" s="672" customFormat="1" ht="14.25" customHeight="1" thickBot="1">
      <c r="A96" s="684" t="s">
        <v>479</v>
      </c>
      <c r="B96" s="678" t="s">
        <v>350</v>
      </c>
      <c r="C96" s="678">
        <v>13200</v>
      </c>
      <c r="D96" s="678">
        <v>13150</v>
      </c>
      <c r="E96" s="678">
        <v>12900</v>
      </c>
      <c r="F96" s="696"/>
      <c r="H96" s="700"/>
    </row>
    <row r="97" spans="1:8" s="672" customFormat="1" ht="14.25" customHeight="1" thickBot="1">
      <c r="A97" s="684" t="s">
        <v>479</v>
      </c>
      <c r="B97" s="678" t="s">
        <v>358</v>
      </c>
      <c r="C97" s="678">
        <v>13270</v>
      </c>
      <c r="D97" s="678">
        <v>13210</v>
      </c>
      <c r="E97" s="678">
        <v>11080</v>
      </c>
      <c r="F97" s="696"/>
      <c r="H97" s="700"/>
    </row>
    <row r="98" spans="1:8" s="672" customFormat="1" ht="14.25" customHeight="1" thickBot="1">
      <c r="A98" s="684" t="s">
        <v>479</v>
      </c>
      <c r="B98" s="678" t="s">
        <v>365</v>
      </c>
      <c r="C98" s="678">
        <v>13010</v>
      </c>
      <c r="D98" s="678">
        <v>12930</v>
      </c>
      <c r="E98" s="678">
        <v>12840</v>
      </c>
      <c r="F98" s="696"/>
      <c r="H98" s="700"/>
    </row>
    <row r="99" spans="1:8" s="672" customFormat="1" ht="14.25" customHeight="1" thickBot="1">
      <c r="A99" s="684" t="s">
        <v>479</v>
      </c>
      <c r="B99" s="678" t="s">
        <v>372</v>
      </c>
      <c r="C99" s="678">
        <v>11190</v>
      </c>
      <c r="D99" s="678">
        <v>11130</v>
      </c>
      <c r="E99" s="678"/>
      <c r="F99" s="696"/>
      <c r="H99" s="700"/>
    </row>
    <row r="100" spans="1:8" s="672" customFormat="1" ht="14.25" customHeight="1" thickBot="1">
      <c r="A100" s="684" t="s">
        <v>479</v>
      </c>
      <c r="B100" s="678" t="s">
        <v>379</v>
      </c>
      <c r="C100" s="678">
        <v>14280</v>
      </c>
      <c r="D100" s="678">
        <v>14180</v>
      </c>
      <c r="E100" s="678"/>
      <c r="F100" s="696"/>
      <c r="H100" s="700"/>
    </row>
    <row r="101" spans="1:8" s="672" customFormat="1" ht="14.25" customHeight="1" thickBot="1">
      <c r="A101" s="684" t="s">
        <v>479</v>
      </c>
      <c r="B101" s="678" t="s">
        <v>386</v>
      </c>
      <c r="C101" s="678">
        <v>12960</v>
      </c>
      <c r="D101" s="678">
        <v>12890</v>
      </c>
      <c r="E101" s="678"/>
      <c r="F101" s="696"/>
      <c r="H101" s="700"/>
    </row>
    <row r="102" spans="1:8" s="672" customFormat="1" ht="14.25" customHeight="1" thickBot="1">
      <c r="A102" s="684" t="s">
        <v>479</v>
      </c>
      <c r="B102" s="678" t="s">
        <v>393</v>
      </c>
      <c r="C102" s="678"/>
      <c r="D102" s="678"/>
      <c r="E102" s="678"/>
      <c r="F102" s="696">
        <v>3100</v>
      </c>
      <c r="H102" s="700"/>
    </row>
    <row r="103" spans="1:8" s="672" customFormat="1" ht="14.25" customHeight="1" thickBot="1">
      <c r="A103" s="684" t="s">
        <v>479</v>
      </c>
      <c r="B103" s="678" t="s">
        <v>400</v>
      </c>
      <c r="C103" s="678"/>
      <c r="D103" s="678"/>
      <c r="E103" s="678"/>
      <c r="F103" s="696">
        <v>2320</v>
      </c>
      <c r="H103" s="700"/>
    </row>
    <row r="104" spans="1:8" s="672" customFormat="1" ht="14.25" customHeight="1" thickBot="1">
      <c r="A104" s="684" t="s">
        <v>479</v>
      </c>
      <c r="B104" s="678" t="s">
        <v>405</v>
      </c>
      <c r="C104" s="678"/>
      <c r="D104" s="678"/>
      <c r="E104" s="678"/>
      <c r="F104" s="696">
        <v>2320</v>
      </c>
      <c r="H104" s="700"/>
    </row>
    <row r="105" spans="1:8" s="672" customFormat="1" ht="14.25" customHeight="1" thickBot="1">
      <c r="A105" s="684" t="s">
        <v>479</v>
      </c>
      <c r="B105" s="678" t="s">
        <v>409</v>
      </c>
      <c r="C105" s="678"/>
      <c r="D105" s="678"/>
      <c r="E105" s="678"/>
      <c r="F105" s="696">
        <v>2320</v>
      </c>
      <c r="H105" s="700"/>
    </row>
    <row r="106" spans="1:8" s="672" customFormat="1" ht="14.25" customHeight="1" thickBot="1">
      <c r="A106" s="684" t="s">
        <v>479</v>
      </c>
      <c r="B106" s="678" t="s">
        <v>414</v>
      </c>
      <c r="C106" s="678"/>
      <c r="D106" s="678"/>
      <c r="E106" s="678"/>
      <c r="F106" s="696">
        <v>2320</v>
      </c>
      <c r="H106" s="700"/>
    </row>
    <row r="107" spans="1:8" s="672" customFormat="1" ht="14.25" customHeight="1" thickBot="1">
      <c r="A107" s="684" t="s">
        <v>479</v>
      </c>
      <c r="B107" s="678" t="s">
        <v>419</v>
      </c>
      <c r="C107" s="678"/>
      <c r="D107" s="678"/>
      <c r="E107" s="678"/>
      <c r="F107" s="696">
        <v>2280</v>
      </c>
      <c r="H107" s="700"/>
    </row>
    <row r="108" spans="1:8" s="672" customFormat="1" ht="14.25" customHeight="1" thickBot="1">
      <c r="A108" s="684" t="s">
        <v>479</v>
      </c>
      <c r="B108" s="678" t="s">
        <v>424</v>
      </c>
      <c r="C108" s="678"/>
      <c r="D108" s="678"/>
      <c r="E108" s="678"/>
      <c r="F108" s="696">
        <v>2280</v>
      </c>
      <c r="H108" s="700"/>
    </row>
    <row r="109" spans="1:8" s="672" customFormat="1" ht="14.25" customHeight="1" thickBot="1">
      <c r="A109" s="684" t="s">
        <v>479</v>
      </c>
      <c r="B109" s="694" t="s">
        <v>429</v>
      </c>
      <c r="C109" s="694"/>
      <c r="D109" s="694"/>
      <c r="E109" s="694"/>
      <c r="F109" s="703">
        <v>2280</v>
      </c>
      <c r="H109" s="700"/>
    </row>
    <row r="110" spans="1:8" s="672" customFormat="1" ht="14.25" customHeight="1" thickBot="1">
      <c r="A110" s="684" t="s">
        <v>70</v>
      </c>
      <c r="B110" s="685" t="s">
        <v>481</v>
      </c>
      <c r="C110" s="685">
        <v>10520</v>
      </c>
      <c r="D110" s="685">
        <v>10490</v>
      </c>
      <c r="E110" s="685">
        <v>10760</v>
      </c>
      <c r="F110" s="686">
        <v>2160</v>
      </c>
      <c r="H110" s="700"/>
    </row>
    <row r="111" spans="1:8" s="672" customFormat="1" ht="14.25" customHeight="1" thickBot="1">
      <c r="A111" s="684" t="s">
        <v>70</v>
      </c>
      <c r="B111" s="678" t="s">
        <v>140</v>
      </c>
      <c r="C111" s="678">
        <v>10090</v>
      </c>
      <c r="D111" s="678">
        <v>10060</v>
      </c>
      <c r="E111" s="678">
        <v>10300</v>
      </c>
      <c r="F111" s="696">
        <v>2010</v>
      </c>
      <c r="H111" s="700"/>
    </row>
    <row r="112" spans="1:8" s="672" customFormat="1" ht="14.25" customHeight="1" thickBot="1">
      <c r="A112" s="684" t="s">
        <v>70</v>
      </c>
      <c r="B112" s="678" t="s">
        <v>153</v>
      </c>
      <c r="C112" s="678">
        <v>9910</v>
      </c>
      <c r="D112" s="678">
        <v>9850</v>
      </c>
      <c r="E112" s="678">
        <v>9960</v>
      </c>
      <c r="F112" s="696">
        <v>2090</v>
      </c>
      <c r="H112" s="700"/>
    </row>
    <row r="113" spans="1:8" s="672" customFormat="1" ht="14.25" customHeight="1" thickBot="1">
      <c r="A113" s="684" t="s">
        <v>70</v>
      </c>
      <c r="B113" s="678" t="s">
        <v>166</v>
      </c>
      <c r="C113" s="678">
        <v>11430</v>
      </c>
      <c r="D113" s="678">
        <v>11400</v>
      </c>
      <c r="E113" s="678">
        <v>11710</v>
      </c>
      <c r="F113" s="696">
        <v>2050</v>
      </c>
      <c r="H113" s="700"/>
    </row>
    <row r="114" spans="1:8" s="672" customFormat="1" ht="14.25" customHeight="1" thickBot="1">
      <c r="A114" s="684" t="s">
        <v>70</v>
      </c>
      <c r="B114" s="678" t="s">
        <v>178</v>
      </c>
      <c r="C114" s="678">
        <v>11390</v>
      </c>
      <c r="D114" s="678">
        <v>11350</v>
      </c>
      <c r="E114" s="678">
        <v>11640</v>
      </c>
      <c r="F114" s="696">
        <v>1620</v>
      </c>
      <c r="H114" s="700"/>
    </row>
    <row r="115" spans="1:8" s="672" customFormat="1" ht="14.25" customHeight="1" thickBot="1">
      <c r="A115" s="684" t="s">
        <v>70</v>
      </c>
      <c r="B115" s="678" t="s">
        <v>190</v>
      </c>
      <c r="C115" s="678">
        <v>9930</v>
      </c>
      <c r="D115" s="678">
        <v>9900</v>
      </c>
      <c r="E115" s="678">
        <v>10160</v>
      </c>
      <c r="F115" s="696">
        <v>1580</v>
      </c>
      <c r="H115" s="700"/>
    </row>
    <row r="116" spans="1:8" s="672" customFormat="1" ht="14.25" customHeight="1" thickBot="1">
      <c r="A116" s="684" t="s">
        <v>70</v>
      </c>
      <c r="B116" s="678" t="s">
        <v>202</v>
      </c>
      <c r="C116" s="678">
        <v>9150</v>
      </c>
      <c r="D116" s="678">
        <v>9120</v>
      </c>
      <c r="E116" s="678">
        <v>9380</v>
      </c>
      <c r="F116" s="696">
        <v>1750</v>
      </c>
      <c r="H116" s="700"/>
    </row>
    <row r="117" spans="1:8" s="672" customFormat="1" ht="14.25" customHeight="1" thickBot="1">
      <c r="A117" s="684" t="s">
        <v>70</v>
      </c>
      <c r="B117" s="678" t="s">
        <v>214</v>
      </c>
      <c r="C117" s="678">
        <v>10680</v>
      </c>
      <c r="D117" s="678">
        <v>10650</v>
      </c>
      <c r="E117" s="678">
        <v>10970</v>
      </c>
      <c r="F117" s="696">
        <v>1730</v>
      </c>
      <c r="H117" s="700"/>
    </row>
    <row r="118" spans="1:8" s="672" customFormat="1" ht="14.25" customHeight="1" thickBot="1">
      <c r="A118" s="684" t="s">
        <v>70</v>
      </c>
      <c r="B118" s="678" t="s">
        <v>227</v>
      </c>
      <c r="C118" s="678">
        <v>10080</v>
      </c>
      <c r="D118" s="678">
        <v>10050</v>
      </c>
      <c r="E118" s="678">
        <v>10350</v>
      </c>
      <c r="F118" s="696">
        <v>1920</v>
      </c>
      <c r="H118" s="700"/>
    </row>
    <row r="119" spans="1:8" s="672" customFormat="1" ht="14.25" customHeight="1" thickBot="1">
      <c r="A119" s="684" t="s">
        <v>70</v>
      </c>
      <c r="B119" s="678" t="s">
        <v>238</v>
      </c>
      <c r="C119" s="678">
        <v>9450</v>
      </c>
      <c r="D119" s="678">
        <v>9410</v>
      </c>
      <c r="E119" s="678">
        <v>9680</v>
      </c>
      <c r="F119" s="696">
        <v>1880</v>
      </c>
      <c r="H119" s="700"/>
    </row>
    <row r="120" spans="1:8" s="672" customFormat="1" ht="14.25" customHeight="1" thickBot="1">
      <c r="A120" s="684" t="s">
        <v>70</v>
      </c>
      <c r="B120" s="678" t="s">
        <v>249</v>
      </c>
      <c r="C120" s="678">
        <v>8730</v>
      </c>
      <c r="D120" s="678">
        <v>8700</v>
      </c>
      <c r="E120" s="678">
        <v>8950</v>
      </c>
      <c r="F120" s="696">
        <v>1830</v>
      </c>
      <c r="H120" s="700"/>
    </row>
    <row r="121" spans="1:8" s="672" customFormat="1" ht="14.25" customHeight="1" thickBot="1">
      <c r="A121" s="684" t="s">
        <v>70</v>
      </c>
      <c r="B121" s="678" t="s">
        <v>260</v>
      </c>
      <c r="C121" s="678">
        <v>10070</v>
      </c>
      <c r="D121" s="678">
        <v>10040</v>
      </c>
      <c r="E121" s="678">
        <v>10270</v>
      </c>
      <c r="F121" s="696">
        <v>1960</v>
      </c>
      <c r="H121" s="700"/>
    </row>
    <row r="122" spans="1:8" s="672" customFormat="1" ht="14.25" customHeight="1" thickBot="1">
      <c r="A122" s="684" t="s">
        <v>70</v>
      </c>
      <c r="B122" s="678" t="s">
        <v>271</v>
      </c>
      <c r="C122" s="678">
        <v>10500</v>
      </c>
      <c r="D122" s="678">
        <v>10470</v>
      </c>
      <c r="E122" s="678">
        <v>10780</v>
      </c>
      <c r="F122" s="696">
        <v>2180</v>
      </c>
      <c r="H122" s="700"/>
    </row>
    <row r="123" spans="1:8" s="672" customFormat="1" ht="14.25" customHeight="1" thickBot="1">
      <c r="A123" s="684" t="s">
        <v>70</v>
      </c>
      <c r="B123" s="678" t="s">
        <v>282</v>
      </c>
      <c r="C123" s="678">
        <v>10390</v>
      </c>
      <c r="D123" s="678">
        <v>10360</v>
      </c>
      <c r="E123" s="678">
        <v>10660</v>
      </c>
      <c r="F123" s="696">
        <v>2040</v>
      </c>
      <c r="H123" s="700"/>
    </row>
    <row r="124" spans="1:8" s="672" customFormat="1" ht="14.25" customHeight="1" thickBot="1">
      <c r="A124" s="684" t="s">
        <v>70</v>
      </c>
      <c r="B124" s="678" t="s">
        <v>293</v>
      </c>
      <c r="C124" s="678">
        <v>10390</v>
      </c>
      <c r="D124" s="678">
        <v>10360</v>
      </c>
      <c r="E124" s="678">
        <v>10680</v>
      </c>
      <c r="F124" s="704"/>
      <c r="H124" s="700"/>
    </row>
    <row r="125" spans="1:8" s="672" customFormat="1" ht="14.25" customHeight="1" thickBot="1">
      <c r="A125" s="684" t="s">
        <v>70</v>
      </c>
      <c r="B125" s="678" t="s">
        <v>303</v>
      </c>
      <c r="C125" s="678">
        <v>10440</v>
      </c>
      <c r="D125" s="678">
        <v>10410</v>
      </c>
      <c r="E125" s="678">
        <v>10710</v>
      </c>
      <c r="F125" s="704"/>
      <c r="H125" s="700"/>
    </row>
    <row r="126" spans="1:8" s="672" customFormat="1" ht="14.25" customHeight="1" thickBot="1">
      <c r="A126" s="684" t="s">
        <v>70</v>
      </c>
      <c r="B126" s="678" t="s">
        <v>313</v>
      </c>
      <c r="C126" s="678">
        <v>10780</v>
      </c>
      <c r="D126" s="678">
        <v>10750</v>
      </c>
      <c r="E126" s="678">
        <v>11080</v>
      </c>
      <c r="F126" s="704"/>
      <c r="H126" s="700"/>
    </row>
    <row r="127" spans="1:8" s="672" customFormat="1" ht="14.25" customHeight="1" thickBot="1">
      <c r="A127" s="684" t="s">
        <v>70</v>
      </c>
      <c r="B127" s="678" t="s">
        <v>323</v>
      </c>
      <c r="C127" s="678">
        <v>10100</v>
      </c>
      <c r="D127" s="678">
        <v>10070</v>
      </c>
      <c r="E127" s="678">
        <v>10350</v>
      </c>
      <c r="F127" s="704"/>
      <c r="H127" s="700"/>
    </row>
    <row r="128" spans="1:8" s="672" customFormat="1" ht="14.25" customHeight="1" thickBot="1">
      <c r="A128" s="684" t="s">
        <v>70</v>
      </c>
      <c r="B128" s="678" t="s">
        <v>333</v>
      </c>
      <c r="C128" s="678">
        <v>9200</v>
      </c>
      <c r="D128" s="678">
        <v>9160</v>
      </c>
      <c r="E128" s="678">
        <v>9660</v>
      </c>
      <c r="F128" s="704"/>
      <c r="H128" s="700"/>
    </row>
    <row r="129" spans="1:8" s="672" customFormat="1" ht="14.25" customHeight="1" thickBot="1">
      <c r="A129" s="684" t="s">
        <v>70</v>
      </c>
      <c r="B129" s="678" t="s">
        <v>342</v>
      </c>
      <c r="C129" s="678">
        <v>10340</v>
      </c>
      <c r="D129" s="678">
        <v>10310</v>
      </c>
      <c r="E129" s="678">
        <v>10580</v>
      </c>
      <c r="F129" s="704"/>
      <c r="H129" s="700"/>
    </row>
    <row r="130" spans="1:8" s="672" customFormat="1" ht="14.25" customHeight="1" thickBot="1">
      <c r="A130" s="684" t="s">
        <v>70</v>
      </c>
      <c r="B130" s="678" t="s">
        <v>351</v>
      </c>
      <c r="C130" s="678">
        <v>9680</v>
      </c>
      <c r="D130" s="678">
        <v>9660</v>
      </c>
      <c r="E130" s="678">
        <v>9950</v>
      </c>
      <c r="F130" s="704"/>
      <c r="H130" s="700"/>
    </row>
    <row r="131" spans="1:8" s="672" customFormat="1" ht="14.25" customHeight="1" thickBot="1">
      <c r="A131" s="684" t="s">
        <v>70</v>
      </c>
      <c r="B131" s="678" t="s">
        <v>359</v>
      </c>
      <c r="C131" s="678">
        <v>9540</v>
      </c>
      <c r="D131" s="678">
        <v>9510</v>
      </c>
      <c r="E131" s="678">
        <v>9790</v>
      </c>
      <c r="F131" s="704"/>
      <c r="H131" s="700"/>
    </row>
    <row r="132" spans="1:8" s="672" customFormat="1" ht="14.25" customHeight="1" thickBot="1">
      <c r="A132" s="684" t="s">
        <v>70</v>
      </c>
      <c r="B132" s="678" t="s">
        <v>366</v>
      </c>
      <c r="C132" s="678">
        <v>9320</v>
      </c>
      <c r="D132" s="678">
        <v>9290</v>
      </c>
      <c r="E132" s="678">
        <v>9570</v>
      </c>
      <c r="F132" s="704"/>
      <c r="H132" s="700"/>
    </row>
    <row r="133" spans="1:8" s="672" customFormat="1" ht="14.25" customHeight="1" thickBot="1">
      <c r="A133" s="684" t="s">
        <v>70</v>
      </c>
      <c r="B133" s="678" t="s">
        <v>373</v>
      </c>
      <c r="C133" s="678">
        <v>10310</v>
      </c>
      <c r="D133" s="678">
        <v>10280</v>
      </c>
      <c r="E133" s="678">
        <v>10530</v>
      </c>
      <c r="F133" s="704"/>
      <c r="H133" s="700"/>
    </row>
    <row r="134" spans="1:8" s="672" customFormat="1" ht="14.25" customHeight="1" thickBot="1">
      <c r="A134" s="684" t="s">
        <v>70</v>
      </c>
      <c r="B134" s="678" t="s">
        <v>380</v>
      </c>
      <c r="C134" s="678">
        <v>10370</v>
      </c>
      <c r="D134" s="678">
        <v>10310</v>
      </c>
      <c r="E134" s="678">
        <v>10240</v>
      </c>
      <c r="F134" s="696">
        <v>2060</v>
      </c>
      <c r="H134" s="700"/>
    </row>
    <row r="135" spans="1:8" s="672" customFormat="1" ht="14.25" customHeight="1" thickBot="1">
      <c r="A135" s="684" t="s">
        <v>70</v>
      </c>
      <c r="B135" s="678" t="s">
        <v>387</v>
      </c>
      <c r="C135" s="678">
        <v>9300</v>
      </c>
      <c r="D135" s="678">
        <v>9270</v>
      </c>
      <c r="E135" s="678">
        <v>9350</v>
      </c>
      <c r="F135" s="704"/>
      <c r="H135" s="700"/>
    </row>
    <row r="136" spans="1:8" s="672" customFormat="1" ht="14.25" customHeight="1" thickBot="1">
      <c r="A136" s="684" t="s">
        <v>70</v>
      </c>
      <c r="B136" s="678" t="s">
        <v>394</v>
      </c>
      <c r="C136" s="678">
        <v>10160</v>
      </c>
      <c r="D136" s="678">
        <v>10110</v>
      </c>
      <c r="E136" s="678">
        <v>10080</v>
      </c>
      <c r="F136" s="704"/>
      <c r="H136" s="700"/>
    </row>
    <row r="137" spans="1:8" s="672" customFormat="1" ht="14.25" customHeight="1" thickBot="1">
      <c r="A137" s="684" t="s">
        <v>70</v>
      </c>
      <c r="B137" s="678" t="s">
        <v>401</v>
      </c>
      <c r="C137" s="678">
        <v>9200</v>
      </c>
      <c r="D137" s="678">
        <v>9170</v>
      </c>
      <c r="E137" s="678">
        <v>9450</v>
      </c>
      <c r="F137" s="704"/>
      <c r="H137" s="700"/>
    </row>
    <row r="138" spans="1:8" s="672" customFormat="1" ht="14.25" customHeight="1" thickBot="1">
      <c r="A138" s="684" t="s">
        <v>70</v>
      </c>
      <c r="B138" s="678" t="s">
        <v>406</v>
      </c>
      <c r="C138" s="678">
        <v>9690</v>
      </c>
      <c r="D138" s="678">
        <v>9660</v>
      </c>
      <c r="E138" s="678">
        <v>9840</v>
      </c>
      <c r="F138" s="704"/>
      <c r="H138" s="700"/>
    </row>
    <row r="139" spans="1:8" s="672" customFormat="1" ht="14.25" customHeight="1" thickBot="1">
      <c r="A139" s="684" t="s">
        <v>70</v>
      </c>
      <c r="B139" s="678" t="s">
        <v>410</v>
      </c>
      <c r="C139" s="678">
        <v>10290</v>
      </c>
      <c r="D139" s="678">
        <v>10260</v>
      </c>
      <c r="E139" s="678">
        <v>10550</v>
      </c>
      <c r="F139" s="696">
        <v>1700</v>
      </c>
      <c r="H139" s="700"/>
    </row>
    <row r="140" spans="1:8" s="672" customFormat="1" ht="14.25" customHeight="1" thickBot="1">
      <c r="A140" s="684" t="s">
        <v>70</v>
      </c>
      <c r="B140" s="678" t="s">
        <v>415</v>
      </c>
      <c r="C140" s="678">
        <v>9740</v>
      </c>
      <c r="D140" s="678">
        <v>9710</v>
      </c>
      <c r="E140" s="678">
        <v>10000</v>
      </c>
      <c r="F140" s="696">
        <v>2000</v>
      </c>
      <c r="H140" s="700"/>
    </row>
    <row r="141" spans="1:8" s="672" customFormat="1" ht="14.25" customHeight="1" thickBot="1">
      <c r="A141" s="684" t="s">
        <v>70</v>
      </c>
      <c r="B141" s="678" t="s">
        <v>420</v>
      </c>
      <c r="C141" s="678">
        <v>9810</v>
      </c>
      <c r="D141" s="678">
        <v>9770</v>
      </c>
      <c r="E141" s="678">
        <v>10060</v>
      </c>
      <c r="F141" s="704"/>
      <c r="H141" s="700"/>
    </row>
    <row r="142" spans="1:8" s="672" customFormat="1" ht="14.25" customHeight="1" thickBot="1">
      <c r="A142" s="684" t="s">
        <v>70</v>
      </c>
      <c r="B142" s="678" t="s">
        <v>425</v>
      </c>
      <c r="C142" s="678">
        <v>9300</v>
      </c>
      <c r="D142" s="678">
        <v>9270</v>
      </c>
      <c r="E142" s="678">
        <v>9530</v>
      </c>
      <c r="F142" s="704"/>
      <c r="H142" s="700"/>
    </row>
    <row r="143" spans="1:8" s="672" customFormat="1" ht="14.25" customHeight="1" thickBot="1">
      <c r="A143" s="684" t="s">
        <v>70</v>
      </c>
      <c r="B143" s="678" t="s">
        <v>430</v>
      </c>
      <c r="C143" s="678">
        <v>10080</v>
      </c>
      <c r="D143" s="678">
        <v>10050</v>
      </c>
      <c r="E143" s="678">
        <v>10340</v>
      </c>
      <c r="F143" s="704"/>
      <c r="H143" s="700"/>
    </row>
    <row r="144" spans="1:8" s="672" customFormat="1" ht="14.25" customHeight="1" thickBot="1">
      <c r="A144" s="684" t="s">
        <v>70</v>
      </c>
      <c r="B144" s="678" t="s">
        <v>434</v>
      </c>
      <c r="C144" s="678">
        <v>9820</v>
      </c>
      <c r="D144" s="678">
        <v>9750</v>
      </c>
      <c r="E144" s="678">
        <v>9900</v>
      </c>
      <c r="F144" s="704"/>
      <c r="H144" s="700"/>
    </row>
    <row r="145" spans="1:8" s="672" customFormat="1" ht="14.25" customHeight="1" thickBot="1">
      <c r="A145" s="684" t="s">
        <v>70</v>
      </c>
      <c r="B145" s="678" t="s">
        <v>438</v>
      </c>
      <c r="C145" s="678"/>
      <c r="D145" s="678"/>
      <c r="E145" s="678"/>
      <c r="F145" s="696">
        <v>1740</v>
      </c>
      <c r="H145" s="700"/>
    </row>
    <row r="146" spans="1:8" s="672" customFormat="1" ht="14.25" customHeight="1" thickBot="1">
      <c r="A146" s="684" t="s">
        <v>70</v>
      </c>
      <c r="B146" s="678" t="s">
        <v>442</v>
      </c>
      <c r="C146" s="678"/>
      <c r="D146" s="678"/>
      <c r="E146" s="678"/>
      <c r="F146" s="696">
        <v>1740</v>
      </c>
      <c r="H146" s="700"/>
    </row>
    <row r="147" spans="1:8" s="672" customFormat="1" ht="14.25" customHeight="1" thickBot="1">
      <c r="A147" s="684" t="s">
        <v>70</v>
      </c>
      <c r="B147" s="678" t="s">
        <v>446</v>
      </c>
      <c r="C147" s="678"/>
      <c r="D147" s="678"/>
      <c r="E147" s="678"/>
      <c r="F147" s="696">
        <v>1740</v>
      </c>
      <c r="H147" s="700"/>
    </row>
    <row r="148" spans="1:8" s="672" customFormat="1" ht="14.25" customHeight="1" thickBot="1">
      <c r="A148" s="684" t="s">
        <v>70</v>
      </c>
      <c r="B148" s="678" t="s">
        <v>450</v>
      </c>
      <c r="C148" s="678"/>
      <c r="D148" s="678"/>
      <c r="E148" s="678"/>
      <c r="F148" s="696">
        <v>1740</v>
      </c>
      <c r="H148" s="700"/>
    </row>
    <row r="149" spans="1:8" s="672" customFormat="1" ht="14.25" customHeight="1" thickBot="1">
      <c r="A149" s="684" t="s">
        <v>70</v>
      </c>
      <c r="B149" s="678" t="s">
        <v>454</v>
      </c>
      <c r="C149" s="678"/>
      <c r="D149" s="678"/>
      <c r="E149" s="678"/>
      <c r="F149" s="696">
        <v>1740</v>
      </c>
      <c r="H149" s="700"/>
    </row>
    <row r="150" spans="1:8" s="672" customFormat="1" ht="14.25" customHeight="1" thickBot="1">
      <c r="A150" s="684" t="s">
        <v>70</v>
      </c>
      <c r="B150" s="678" t="s">
        <v>457</v>
      </c>
      <c r="C150" s="678"/>
      <c r="D150" s="678"/>
      <c r="E150" s="678"/>
      <c r="F150" s="696">
        <v>1610</v>
      </c>
      <c r="H150" s="700"/>
    </row>
    <row r="151" spans="1:8" s="672" customFormat="1" ht="14.25" customHeight="1" thickBot="1">
      <c r="A151" s="684" t="s">
        <v>70</v>
      </c>
      <c r="B151" s="678" t="s">
        <v>460</v>
      </c>
      <c r="C151" s="678"/>
      <c r="D151" s="678"/>
      <c r="E151" s="678"/>
      <c r="F151" s="696">
        <v>1610</v>
      </c>
      <c r="H151" s="700"/>
    </row>
    <row r="152" spans="1:8" s="672" customFormat="1" ht="14.25" customHeight="1" thickBot="1">
      <c r="A152" s="684" t="s">
        <v>70</v>
      </c>
      <c r="B152" s="678" t="s">
        <v>463</v>
      </c>
      <c r="C152" s="678"/>
      <c r="D152" s="678"/>
      <c r="E152" s="678"/>
      <c r="F152" s="696">
        <v>1610</v>
      </c>
      <c r="H152" s="700"/>
    </row>
    <row r="153" spans="1:8" s="672" customFormat="1" ht="14.25" customHeight="1" thickBot="1">
      <c r="A153" s="684" t="s">
        <v>70</v>
      </c>
      <c r="B153" s="678" t="s">
        <v>466</v>
      </c>
      <c r="C153" s="678"/>
      <c r="D153" s="678"/>
      <c r="E153" s="678"/>
      <c r="F153" s="696">
        <v>1610</v>
      </c>
      <c r="H153" s="700"/>
    </row>
    <row r="154" spans="1:8" s="672" customFormat="1" ht="14.25" customHeight="1" thickBot="1">
      <c r="A154" s="684" t="s">
        <v>70</v>
      </c>
      <c r="B154" s="678" t="s">
        <v>469</v>
      </c>
      <c r="C154" s="678"/>
      <c r="D154" s="678"/>
      <c r="E154" s="678"/>
      <c r="F154" s="696">
        <v>1610</v>
      </c>
      <c r="H154" s="700"/>
    </row>
    <row r="155" spans="1:8" s="672" customFormat="1" ht="14.25" customHeight="1" thickBot="1">
      <c r="A155" s="684" t="s">
        <v>70</v>
      </c>
      <c r="B155" s="678" t="s">
        <v>472</v>
      </c>
      <c r="C155" s="678"/>
      <c r="D155" s="678"/>
      <c r="E155" s="678"/>
      <c r="F155" s="696">
        <v>1800</v>
      </c>
      <c r="H155" s="700"/>
    </row>
    <row r="156" spans="1:8" s="672" customFormat="1" ht="14.25" customHeight="1" thickBot="1">
      <c r="A156" s="684" t="s">
        <v>70</v>
      </c>
      <c r="B156" s="678" t="s">
        <v>474</v>
      </c>
      <c r="C156" s="678"/>
      <c r="D156" s="678"/>
      <c r="E156" s="678"/>
      <c r="F156" s="696">
        <v>1910</v>
      </c>
      <c r="H156" s="700"/>
    </row>
    <row r="157" spans="1:8" s="672" customFormat="1" ht="14.25" customHeight="1" thickBot="1">
      <c r="A157" s="684" t="s">
        <v>70</v>
      </c>
      <c r="B157" s="694" t="s">
        <v>477</v>
      </c>
      <c r="C157" s="694"/>
      <c r="D157" s="694"/>
      <c r="E157" s="694"/>
      <c r="F157" s="703">
        <v>1500</v>
      </c>
      <c r="H157" s="700"/>
    </row>
    <row r="158" spans="1:8" s="672" customFormat="1" ht="14.25" customHeight="1" thickBot="1">
      <c r="A158" s="684" t="s">
        <v>482</v>
      </c>
      <c r="B158" s="685" t="s">
        <v>483</v>
      </c>
      <c r="C158" s="685">
        <v>8170</v>
      </c>
      <c r="D158" s="685">
        <v>8140</v>
      </c>
      <c r="E158" s="685">
        <v>8590</v>
      </c>
      <c r="F158" s="686">
        <v>1450</v>
      </c>
      <c r="H158" s="700"/>
    </row>
    <row r="159" spans="1:8" s="672" customFormat="1" ht="14.25" customHeight="1" thickBot="1">
      <c r="A159" s="684" t="s">
        <v>482</v>
      </c>
      <c r="B159" s="678" t="s">
        <v>141</v>
      </c>
      <c r="C159" s="678">
        <v>7410</v>
      </c>
      <c r="D159" s="678">
        <v>7370</v>
      </c>
      <c r="E159" s="678">
        <v>8030</v>
      </c>
      <c r="F159" s="696">
        <v>1510</v>
      </c>
      <c r="H159" s="700"/>
    </row>
    <row r="160" spans="1:8" s="672" customFormat="1" ht="14.25" customHeight="1" thickBot="1">
      <c r="A160" s="684" t="s">
        <v>482</v>
      </c>
      <c r="B160" s="678" t="s">
        <v>154</v>
      </c>
      <c r="C160" s="678">
        <v>7240</v>
      </c>
      <c r="D160" s="678">
        <v>7210</v>
      </c>
      <c r="E160" s="678">
        <v>7860</v>
      </c>
      <c r="F160" s="696">
        <v>1370</v>
      </c>
      <c r="H160" s="700"/>
    </row>
    <row r="161" spans="1:8" s="672" customFormat="1" ht="14.25" customHeight="1" thickBot="1">
      <c r="A161" s="684" t="s">
        <v>482</v>
      </c>
      <c r="B161" s="678" t="s">
        <v>167</v>
      </c>
      <c r="C161" s="678">
        <v>7720</v>
      </c>
      <c r="D161" s="678">
        <v>7690</v>
      </c>
      <c r="E161" s="678">
        <v>8200</v>
      </c>
      <c r="F161" s="696">
        <v>1190</v>
      </c>
      <c r="H161" s="700"/>
    </row>
    <row r="162" spans="1:8" s="672" customFormat="1" ht="14.25" customHeight="1" thickBot="1">
      <c r="A162" s="684" t="s">
        <v>482</v>
      </c>
      <c r="B162" s="678" t="s">
        <v>179</v>
      </c>
      <c r="C162" s="678">
        <v>6900</v>
      </c>
      <c r="D162" s="678">
        <v>6870</v>
      </c>
      <c r="E162" s="678">
        <v>7500</v>
      </c>
      <c r="F162" s="696">
        <v>1390</v>
      </c>
      <c r="H162" s="700"/>
    </row>
    <row r="163" spans="1:8" s="672" customFormat="1" ht="14.25" customHeight="1" thickBot="1">
      <c r="A163" s="684" t="s">
        <v>482</v>
      </c>
      <c r="B163" s="678" t="s">
        <v>191</v>
      </c>
      <c r="C163" s="678">
        <v>7120</v>
      </c>
      <c r="D163" s="678">
        <v>7090</v>
      </c>
      <c r="E163" s="678">
        <v>7690</v>
      </c>
      <c r="F163" s="696">
        <v>1230</v>
      </c>
      <c r="H163" s="700"/>
    </row>
    <row r="164" spans="1:8" s="672" customFormat="1" ht="14.25" customHeight="1" thickBot="1">
      <c r="A164" s="684" t="s">
        <v>482</v>
      </c>
      <c r="B164" s="678" t="s">
        <v>203</v>
      </c>
      <c r="C164" s="678">
        <v>6560</v>
      </c>
      <c r="D164" s="678">
        <v>6530</v>
      </c>
      <c r="E164" s="678">
        <v>7110</v>
      </c>
      <c r="F164" s="696">
        <v>1340</v>
      </c>
      <c r="H164" s="700"/>
    </row>
    <row r="165" spans="1:8" s="672" customFormat="1" ht="14.25" customHeight="1" thickBot="1">
      <c r="A165" s="684" t="s">
        <v>482</v>
      </c>
      <c r="B165" s="678" t="s">
        <v>215</v>
      </c>
      <c r="C165" s="678">
        <v>7450</v>
      </c>
      <c r="D165" s="678">
        <v>7430</v>
      </c>
      <c r="E165" s="678">
        <v>8110</v>
      </c>
      <c r="F165" s="696">
        <v>1290</v>
      </c>
      <c r="H165" s="700"/>
    </row>
    <row r="166" spans="1:8" s="672" customFormat="1" ht="14.25" customHeight="1" thickBot="1">
      <c r="A166" s="684" t="s">
        <v>482</v>
      </c>
      <c r="B166" s="678" t="s">
        <v>228</v>
      </c>
      <c r="C166" s="678">
        <v>7490</v>
      </c>
      <c r="D166" s="678">
        <v>7460</v>
      </c>
      <c r="E166" s="678">
        <v>8150</v>
      </c>
      <c r="F166" s="696">
        <v>1350</v>
      </c>
      <c r="H166" s="700"/>
    </row>
    <row r="167" spans="1:8" s="672" customFormat="1" ht="14.25" customHeight="1" thickBot="1">
      <c r="A167" s="684" t="s">
        <v>482</v>
      </c>
      <c r="B167" s="678" t="s">
        <v>239</v>
      </c>
      <c r="C167" s="678">
        <v>7540</v>
      </c>
      <c r="D167" s="678">
        <v>7510</v>
      </c>
      <c r="E167" s="678">
        <v>8030</v>
      </c>
      <c r="F167" s="704"/>
      <c r="H167" s="700"/>
    </row>
    <row r="168" spans="1:8" s="672" customFormat="1" ht="14.25" customHeight="1" thickBot="1">
      <c r="A168" s="684" t="s">
        <v>482</v>
      </c>
      <c r="B168" s="678" t="s">
        <v>250</v>
      </c>
      <c r="C168" s="678">
        <v>7210</v>
      </c>
      <c r="D168" s="678">
        <v>7180</v>
      </c>
      <c r="E168" s="678">
        <v>7830</v>
      </c>
      <c r="F168" s="704"/>
      <c r="H168" s="700"/>
    </row>
    <row r="169" spans="1:8" s="672" customFormat="1" ht="14.25" customHeight="1" thickBot="1">
      <c r="A169" s="684" t="s">
        <v>482</v>
      </c>
      <c r="B169" s="678" t="s">
        <v>261</v>
      </c>
      <c r="C169" s="678">
        <v>7040</v>
      </c>
      <c r="D169" s="678">
        <v>7020</v>
      </c>
      <c r="E169" s="678">
        <v>7670</v>
      </c>
      <c r="F169" s="704"/>
      <c r="H169" s="700"/>
    </row>
    <row r="170" spans="1:8" s="672" customFormat="1" ht="14.25" customHeight="1" thickBot="1">
      <c r="A170" s="684" t="s">
        <v>482</v>
      </c>
      <c r="B170" s="678" t="s">
        <v>272</v>
      </c>
      <c r="C170" s="678">
        <v>8040</v>
      </c>
      <c r="D170" s="678">
        <v>7190</v>
      </c>
      <c r="E170" s="678">
        <v>7850</v>
      </c>
      <c r="F170" s="704"/>
      <c r="H170" s="700"/>
    </row>
    <row r="171" spans="1:8" s="672" customFormat="1" ht="14.25" customHeight="1" thickBot="1">
      <c r="A171" s="684" t="s">
        <v>482</v>
      </c>
      <c r="B171" s="678" t="s">
        <v>283</v>
      </c>
      <c r="C171" s="678">
        <v>7860</v>
      </c>
      <c r="D171" s="678">
        <v>7720</v>
      </c>
      <c r="E171" s="678">
        <v>8150</v>
      </c>
      <c r="F171" s="696">
        <v>1110</v>
      </c>
      <c r="H171" s="700"/>
    </row>
    <row r="172" spans="1:8" s="672" customFormat="1" ht="14.25" customHeight="1" thickBot="1">
      <c r="A172" s="684" t="s">
        <v>482</v>
      </c>
      <c r="B172" s="678" t="s">
        <v>294</v>
      </c>
      <c r="C172" s="678">
        <v>7210</v>
      </c>
      <c r="D172" s="678">
        <v>7170</v>
      </c>
      <c r="E172" s="678">
        <v>7320</v>
      </c>
      <c r="F172" s="704"/>
      <c r="H172" s="700"/>
    </row>
    <row r="173" spans="1:8" s="672" customFormat="1" ht="14.25" customHeight="1" thickBot="1">
      <c r="A173" s="684" t="s">
        <v>482</v>
      </c>
      <c r="B173" s="678" t="s">
        <v>304</v>
      </c>
      <c r="C173" s="678">
        <v>6860</v>
      </c>
      <c r="D173" s="678">
        <v>6810</v>
      </c>
      <c r="E173" s="678">
        <v>7440</v>
      </c>
      <c r="F173" s="704"/>
      <c r="H173" s="700"/>
    </row>
    <row r="174" spans="1:8" s="672" customFormat="1" ht="14.25" customHeight="1" thickBot="1">
      <c r="A174" s="684" t="s">
        <v>482</v>
      </c>
      <c r="B174" s="678" t="s">
        <v>314</v>
      </c>
      <c r="C174" s="678">
        <v>7120</v>
      </c>
      <c r="D174" s="678">
        <v>7090</v>
      </c>
      <c r="E174" s="678">
        <v>7500</v>
      </c>
      <c r="F174" s="696">
        <v>1490</v>
      </c>
      <c r="H174" s="700"/>
    </row>
    <row r="175" spans="1:8" s="672" customFormat="1" ht="14.25" customHeight="1" thickBot="1">
      <c r="A175" s="684" t="s">
        <v>482</v>
      </c>
      <c r="B175" s="678" t="s">
        <v>324</v>
      </c>
      <c r="C175" s="678">
        <v>7850</v>
      </c>
      <c r="D175" s="678">
        <v>7820</v>
      </c>
      <c r="E175" s="678">
        <v>8120</v>
      </c>
      <c r="F175" s="696">
        <v>1530</v>
      </c>
      <c r="H175" s="700"/>
    </row>
    <row r="176" spans="1:8" s="672" customFormat="1" ht="14.25" customHeight="1" thickBot="1">
      <c r="A176" s="684" t="s">
        <v>482</v>
      </c>
      <c r="B176" s="678" t="s">
        <v>334</v>
      </c>
      <c r="C176" s="678">
        <v>7620</v>
      </c>
      <c r="D176" s="678">
        <v>7570</v>
      </c>
      <c r="E176" s="678">
        <v>7990</v>
      </c>
      <c r="F176" s="696">
        <v>1480</v>
      </c>
      <c r="H176" s="700"/>
    </row>
    <row r="177" spans="1:8" s="672" customFormat="1" ht="14.25" customHeight="1" thickBot="1">
      <c r="A177" s="684" t="s">
        <v>482</v>
      </c>
      <c r="B177" s="678" t="s">
        <v>343</v>
      </c>
      <c r="C177" s="678">
        <v>8590</v>
      </c>
      <c r="D177" s="678">
        <v>8570</v>
      </c>
      <c r="E177" s="678">
        <v>8740</v>
      </c>
      <c r="F177" s="696">
        <v>1540</v>
      </c>
      <c r="H177" s="700"/>
    </row>
    <row r="178" spans="1:8" s="672" customFormat="1" ht="14.25" customHeight="1" thickBot="1">
      <c r="A178" s="684" t="s">
        <v>482</v>
      </c>
      <c r="B178" s="678" t="s">
        <v>352</v>
      </c>
      <c r="C178" s="678">
        <v>7510</v>
      </c>
      <c r="D178" s="678">
        <v>7470</v>
      </c>
      <c r="E178" s="678">
        <v>8090</v>
      </c>
      <c r="F178" s="696">
        <v>1320</v>
      </c>
      <c r="H178" s="700"/>
    </row>
    <row r="179" spans="1:8" s="672" customFormat="1" ht="14.25" customHeight="1" thickBot="1">
      <c r="A179" s="684" t="s">
        <v>482</v>
      </c>
      <c r="B179" s="678" t="s">
        <v>360</v>
      </c>
      <c r="C179" s="678">
        <v>6380</v>
      </c>
      <c r="D179" s="678">
        <v>6340</v>
      </c>
      <c r="E179" s="678">
        <v>6810</v>
      </c>
      <c r="F179" s="704"/>
      <c r="H179" s="700"/>
    </row>
    <row r="180" spans="1:8" s="672" customFormat="1" ht="14.25" customHeight="1" thickBot="1">
      <c r="A180" s="684" t="s">
        <v>482</v>
      </c>
      <c r="B180" s="678" t="s">
        <v>367</v>
      </c>
      <c r="C180" s="678">
        <v>7830</v>
      </c>
      <c r="D180" s="678">
        <v>7800</v>
      </c>
      <c r="E180" s="678">
        <v>7780</v>
      </c>
      <c r="F180" s="696">
        <v>1440</v>
      </c>
      <c r="H180" s="700"/>
    </row>
    <row r="181" spans="1:8" s="672" customFormat="1" ht="14.25" customHeight="1" thickBot="1">
      <c r="A181" s="684" t="s">
        <v>482</v>
      </c>
      <c r="B181" s="678" t="s">
        <v>374</v>
      </c>
      <c r="C181" s="678">
        <v>7110</v>
      </c>
      <c r="D181" s="678">
        <v>7080</v>
      </c>
      <c r="E181" s="678">
        <v>7730</v>
      </c>
      <c r="F181" s="696">
        <v>1350</v>
      </c>
      <c r="H181" s="700"/>
    </row>
    <row r="182" spans="1:8" s="672" customFormat="1" ht="14.25" customHeight="1" thickBot="1">
      <c r="A182" s="684" t="s">
        <v>482</v>
      </c>
      <c r="B182" s="678" t="s">
        <v>381</v>
      </c>
      <c r="C182" s="678">
        <v>7310</v>
      </c>
      <c r="D182" s="678">
        <v>7280</v>
      </c>
      <c r="E182" s="678">
        <v>7950</v>
      </c>
      <c r="F182" s="696">
        <v>1220</v>
      </c>
      <c r="H182" s="700"/>
    </row>
    <row r="183" spans="1:8" s="672" customFormat="1" ht="14.25" customHeight="1" thickBot="1">
      <c r="A183" s="684" t="s">
        <v>482</v>
      </c>
      <c r="B183" s="678" t="s">
        <v>388</v>
      </c>
      <c r="C183" s="678">
        <v>7470</v>
      </c>
      <c r="D183" s="678">
        <v>7440</v>
      </c>
      <c r="E183" s="678">
        <v>7880</v>
      </c>
      <c r="F183" s="704"/>
      <c r="H183" s="700"/>
    </row>
    <row r="184" spans="1:8" s="672" customFormat="1" ht="14.25" customHeight="1" thickBot="1">
      <c r="A184" s="684" t="s">
        <v>482</v>
      </c>
      <c r="B184" s="678" t="s">
        <v>395</v>
      </c>
      <c r="C184" s="678">
        <v>6960</v>
      </c>
      <c r="D184" s="678">
        <v>6930</v>
      </c>
      <c r="E184" s="678">
        <v>7570</v>
      </c>
      <c r="F184" s="704"/>
      <c r="H184" s="700"/>
    </row>
    <row r="185" spans="1:8" s="672" customFormat="1" ht="14.25" customHeight="1" thickBot="1">
      <c r="A185" s="684" t="s">
        <v>482</v>
      </c>
      <c r="B185" s="678" t="s">
        <v>402</v>
      </c>
      <c r="C185" s="678">
        <v>7260</v>
      </c>
      <c r="D185" s="678">
        <v>7230</v>
      </c>
      <c r="E185" s="678">
        <v>7710</v>
      </c>
      <c r="F185" s="696">
        <v>1360</v>
      </c>
      <c r="H185" s="700"/>
    </row>
    <row r="186" spans="1:8" s="672" customFormat="1" ht="14.25" customHeight="1" thickBot="1">
      <c r="A186" s="684" t="s">
        <v>482</v>
      </c>
      <c r="B186" s="678" t="s">
        <v>407</v>
      </c>
      <c r="C186" s="678"/>
      <c r="D186" s="678"/>
      <c r="E186" s="678"/>
      <c r="F186" s="696">
        <v>1560</v>
      </c>
      <c r="H186" s="700"/>
    </row>
    <row r="187" spans="1:8" s="672" customFormat="1" ht="14.25" customHeight="1" thickBot="1">
      <c r="A187" s="684" t="s">
        <v>482</v>
      </c>
      <c r="B187" s="678" t="s">
        <v>411</v>
      </c>
      <c r="C187" s="678"/>
      <c r="D187" s="678"/>
      <c r="E187" s="678"/>
      <c r="F187" s="696">
        <v>1560</v>
      </c>
      <c r="H187" s="700"/>
    </row>
    <row r="188" spans="1:8" s="672" customFormat="1" ht="14.25" customHeight="1" thickBot="1">
      <c r="A188" s="684" t="s">
        <v>482</v>
      </c>
      <c r="B188" s="678" t="s">
        <v>416</v>
      </c>
      <c r="C188" s="678"/>
      <c r="D188" s="678"/>
      <c r="E188" s="678"/>
      <c r="F188" s="696">
        <v>1560</v>
      </c>
      <c r="H188" s="700"/>
    </row>
    <row r="189" spans="1:8" s="672" customFormat="1" ht="14.25" customHeight="1" thickBot="1">
      <c r="A189" s="684" t="s">
        <v>482</v>
      </c>
      <c r="B189" s="678" t="s">
        <v>421</v>
      </c>
      <c r="C189" s="678"/>
      <c r="D189" s="678"/>
      <c r="E189" s="678"/>
      <c r="F189" s="696">
        <v>1320</v>
      </c>
      <c r="H189" s="700"/>
    </row>
    <row r="190" spans="1:8" s="672" customFormat="1" ht="14.25" customHeight="1" thickBot="1">
      <c r="A190" s="684" t="s">
        <v>482</v>
      </c>
      <c r="B190" s="678" t="s">
        <v>426</v>
      </c>
      <c r="C190" s="678"/>
      <c r="D190" s="678"/>
      <c r="E190" s="678"/>
      <c r="F190" s="696">
        <v>1320</v>
      </c>
      <c r="H190" s="700"/>
    </row>
    <row r="191" spans="1:8" s="672" customFormat="1" ht="14.25" customHeight="1" thickBot="1">
      <c r="A191" s="684" t="s">
        <v>482</v>
      </c>
      <c r="B191" s="678" t="s">
        <v>431</v>
      </c>
      <c r="C191" s="678"/>
      <c r="D191" s="678"/>
      <c r="E191" s="678"/>
      <c r="F191" s="696">
        <v>1320</v>
      </c>
      <c r="H191" s="700"/>
    </row>
    <row r="192" spans="1:8" s="672" customFormat="1" ht="14.25" customHeight="1" thickBot="1">
      <c r="A192" s="684" t="s">
        <v>482</v>
      </c>
      <c r="B192" s="678" t="s">
        <v>435</v>
      </c>
      <c r="C192" s="678"/>
      <c r="D192" s="678"/>
      <c r="E192" s="678"/>
      <c r="F192" s="696">
        <v>1100</v>
      </c>
      <c r="H192" s="700"/>
    </row>
    <row r="193" spans="1:8" s="672" customFormat="1" ht="14.25" customHeight="1" thickBot="1">
      <c r="A193" s="684" t="s">
        <v>482</v>
      </c>
      <c r="B193" s="678" t="s">
        <v>439</v>
      </c>
      <c r="C193" s="678"/>
      <c r="D193" s="678"/>
      <c r="E193" s="678"/>
      <c r="F193" s="696">
        <v>1100</v>
      </c>
      <c r="H193" s="700"/>
    </row>
    <row r="194" spans="1:8" s="672" customFormat="1" ht="14.25" customHeight="1" thickBot="1">
      <c r="A194" s="684" t="s">
        <v>482</v>
      </c>
      <c r="B194" s="678" t="s">
        <v>443</v>
      </c>
      <c r="C194" s="678"/>
      <c r="D194" s="678"/>
      <c r="E194" s="678"/>
      <c r="F194" s="696">
        <v>1080</v>
      </c>
      <c r="H194" s="700"/>
    </row>
    <row r="195" spans="1:8" s="672" customFormat="1" ht="14.25" customHeight="1" thickBot="1">
      <c r="A195" s="684" t="s">
        <v>482</v>
      </c>
      <c r="B195" s="678" t="s">
        <v>447</v>
      </c>
      <c r="C195" s="678"/>
      <c r="D195" s="678"/>
      <c r="E195" s="678"/>
      <c r="F195" s="696">
        <v>1270</v>
      </c>
      <c r="H195" s="700"/>
    </row>
    <row r="196" spans="1:8" s="672" customFormat="1" ht="14.25" customHeight="1" thickBot="1">
      <c r="A196" s="684" t="s">
        <v>482</v>
      </c>
      <c r="B196" s="678" t="s">
        <v>451</v>
      </c>
      <c r="C196" s="678"/>
      <c r="D196" s="678"/>
      <c r="E196" s="678"/>
      <c r="F196" s="696">
        <v>1150</v>
      </c>
      <c r="H196" s="700"/>
    </row>
    <row r="197" spans="1:8" s="672" customFormat="1" ht="14.25" customHeight="1" thickBot="1">
      <c r="A197" s="684" t="s">
        <v>482</v>
      </c>
      <c r="B197" s="678" t="s">
        <v>455</v>
      </c>
      <c r="C197" s="678"/>
      <c r="D197" s="678"/>
      <c r="E197" s="678"/>
      <c r="F197" s="696">
        <v>1330</v>
      </c>
      <c r="H197" s="700"/>
    </row>
    <row r="198" spans="1:8" s="672" customFormat="1" ht="14.25" customHeight="1" thickBot="1">
      <c r="A198" s="684" t="s">
        <v>482</v>
      </c>
      <c r="B198" s="678" t="s">
        <v>458</v>
      </c>
      <c r="C198" s="678"/>
      <c r="D198" s="678"/>
      <c r="E198" s="678"/>
      <c r="F198" s="696">
        <v>1170</v>
      </c>
      <c r="H198" s="700"/>
    </row>
    <row r="199" spans="1:8" s="672" customFormat="1" ht="14.25" customHeight="1" thickBot="1">
      <c r="A199" s="684" t="s">
        <v>482</v>
      </c>
      <c r="B199" s="678" t="s">
        <v>461</v>
      </c>
      <c r="C199" s="678"/>
      <c r="D199" s="678"/>
      <c r="E199" s="678"/>
      <c r="F199" s="696">
        <v>1120</v>
      </c>
      <c r="H199" s="700"/>
    </row>
    <row r="200" spans="1:8" s="672" customFormat="1" ht="14.25" customHeight="1" thickBot="1">
      <c r="A200" s="684" t="s">
        <v>482</v>
      </c>
      <c r="B200" s="678" t="s">
        <v>464</v>
      </c>
      <c r="C200" s="678"/>
      <c r="D200" s="678"/>
      <c r="E200" s="678"/>
      <c r="F200" s="696">
        <v>1120</v>
      </c>
      <c r="H200" s="700"/>
    </row>
    <row r="201" spans="1:8" s="672" customFormat="1" ht="14.25" customHeight="1" thickBot="1">
      <c r="A201" s="684" t="s">
        <v>482</v>
      </c>
      <c r="B201" s="678" t="s">
        <v>467</v>
      </c>
      <c r="C201" s="678"/>
      <c r="D201" s="678"/>
      <c r="E201" s="678"/>
      <c r="F201" s="696">
        <v>1540</v>
      </c>
      <c r="H201" s="700"/>
    </row>
    <row r="202" spans="1:8" s="672" customFormat="1" ht="14.25" customHeight="1" thickBot="1">
      <c r="A202" s="684" t="s">
        <v>482</v>
      </c>
      <c r="B202" s="678" t="s">
        <v>470</v>
      </c>
      <c r="C202" s="678"/>
      <c r="D202" s="678"/>
      <c r="E202" s="678"/>
      <c r="F202" s="696">
        <v>1310</v>
      </c>
      <c r="H202" s="700"/>
    </row>
    <row r="203" spans="1:8" s="672" customFormat="1" ht="14.25" customHeight="1" thickBot="1">
      <c r="A203" s="684" t="s">
        <v>482</v>
      </c>
      <c r="B203" s="678" t="s">
        <v>473</v>
      </c>
      <c r="C203" s="678"/>
      <c r="D203" s="678"/>
      <c r="E203" s="678"/>
      <c r="F203" s="696">
        <v>1310</v>
      </c>
      <c r="H203" s="700"/>
    </row>
    <row r="204" spans="1:8" s="672" customFormat="1" ht="14.25" customHeight="1" thickBot="1">
      <c r="A204" s="684" t="s">
        <v>482</v>
      </c>
      <c r="B204" s="678" t="s">
        <v>475</v>
      </c>
      <c r="C204" s="678"/>
      <c r="D204" s="678"/>
      <c r="E204" s="678"/>
      <c r="F204" s="696">
        <v>1080</v>
      </c>
      <c r="H204" s="700"/>
    </row>
    <row r="205" spans="1:8" s="672" customFormat="1" ht="14.25" customHeight="1" thickBot="1">
      <c r="A205" s="684" t="s">
        <v>482</v>
      </c>
      <c r="B205" s="678" t="s">
        <v>478</v>
      </c>
      <c r="C205" s="678"/>
      <c r="D205" s="678"/>
      <c r="E205" s="678"/>
      <c r="F205" s="696">
        <v>1080</v>
      </c>
      <c r="H205" s="700"/>
    </row>
    <row r="206" spans="1:8" s="672" customFormat="1" ht="14.25" customHeight="1" thickBot="1">
      <c r="A206" s="684" t="s">
        <v>484</v>
      </c>
      <c r="B206" s="685" t="s">
        <v>485</v>
      </c>
      <c r="C206" s="685">
        <v>5450</v>
      </c>
      <c r="D206" s="685">
        <v>5430</v>
      </c>
      <c r="E206" s="685">
        <v>5700</v>
      </c>
      <c r="F206" s="686">
        <v>1020</v>
      </c>
      <c r="H206" s="700"/>
    </row>
    <row r="207" spans="1:8" s="672" customFormat="1" ht="14.25" customHeight="1" thickBot="1">
      <c r="A207" s="684" t="s">
        <v>484</v>
      </c>
      <c r="B207" s="678" t="s">
        <v>142</v>
      </c>
      <c r="C207" s="678">
        <v>5860</v>
      </c>
      <c r="D207" s="678">
        <v>5820</v>
      </c>
      <c r="E207" s="678">
        <v>6050</v>
      </c>
      <c r="F207" s="696">
        <v>1080</v>
      </c>
      <c r="H207" s="700"/>
    </row>
    <row r="208" spans="1:8" s="672" customFormat="1" ht="14.25" customHeight="1" thickBot="1">
      <c r="A208" s="684" t="s">
        <v>484</v>
      </c>
      <c r="B208" s="678" t="s">
        <v>155</v>
      </c>
      <c r="C208" s="678">
        <v>4630</v>
      </c>
      <c r="D208" s="678">
        <v>4600</v>
      </c>
      <c r="E208" s="678">
        <v>4840</v>
      </c>
      <c r="F208" s="696">
        <v>900</v>
      </c>
      <c r="H208" s="700"/>
    </row>
    <row r="209" spans="1:8" s="672" customFormat="1" ht="14.25" customHeight="1" thickBot="1">
      <c r="A209" s="684" t="s">
        <v>484</v>
      </c>
      <c r="B209" s="678" t="s">
        <v>168</v>
      </c>
      <c r="C209" s="678">
        <v>5320</v>
      </c>
      <c r="D209" s="678">
        <v>5270</v>
      </c>
      <c r="E209" s="678">
        <v>5540</v>
      </c>
      <c r="F209" s="696">
        <v>980</v>
      </c>
      <c r="H209" s="700"/>
    </row>
    <row r="210" spans="1:8" s="672" customFormat="1" ht="14.25" customHeight="1" thickBot="1">
      <c r="A210" s="684" t="s">
        <v>484</v>
      </c>
      <c r="B210" s="678" t="s">
        <v>180</v>
      </c>
      <c r="C210" s="678">
        <v>5760</v>
      </c>
      <c r="D210" s="678">
        <v>5710</v>
      </c>
      <c r="E210" s="678">
        <v>6010</v>
      </c>
      <c r="F210" s="696">
        <v>870</v>
      </c>
      <c r="H210" s="700"/>
    </row>
    <row r="211" spans="1:8" s="672" customFormat="1" ht="14.25" customHeight="1" thickBot="1">
      <c r="A211" s="684" t="s">
        <v>484</v>
      </c>
      <c r="B211" s="678" t="s">
        <v>192</v>
      </c>
      <c r="C211" s="678">
        <v>4160</v>
      </c>
      <c r="D211" s="678">
        <v>4100</v>
      </c>
      <c r="E211" s="678">
        <v>4270</v>
      </c>
      <c r="F211" s="696">
        <v>790</v>
      </c>
      <c r="H211" s="700"/>
    </row>
    <row r="212" spans="1:8" s="672" customFormat="1" ht="14.25" customHeight="1" thickBot="1">
      <c r="A212" s="684" t="s">
        <v>484</v>
      </c>
      <c r="B212" s="678" t="s">
        <v>204</v>
      </c>
      <c r="C212" s="678">
        <v>4880</v>
      </c>
      <c r="D212" s="678">
        <v>4850</v>
      </c>
      <c r="E212" s="678">
        <v>5110</v>
      </c>
      <c r="F212" s="696">
        <v>940</v>
      </c>
      <c r="H212" s="700"/>
    </row>
    <row r="213" spans="1:8" s="672" customFormat="1" ht="14.25" customHeight="1" thickBot="1">
      <c r="A213" s="684" t="s">
        <v>484</v>
      </c>
      <c r="B213" s="678" t="s">
        <v>216</v>
      </c>
      <c r="C213" s="678">
        <v>4640</v>
      </c>
      <c r="D213" s="678">
        <v>4590</v>
      </c>
      <c r="E213" s="678">
        <v>4700</v>
      </c>
      <c r="F213" s="696">
        <v>1030</v>
      </c>
      <c r="H213" s="700"/>
    </row>
    <row r="214" spans="1:8" s="672" customFormat="1" ht="14.25" customHeight="1" thickBot="1">
      <c r="A214" s="684" t="s">
        <v>484</v>
      </c>
      <c r="B214" s="678" t="s">
        <v>229</v>
      </c>
      <c r="C214" s="678">
        <v>4540</v>
      </c>
      <c r="D214" s="678">
        <v>4490</v>
      </c>
      <c r="E214" s="678">
        <v>4610</v>
      </c>
      <c r="F214" s="704"/>
      <c r="H214" s="700"/>
    </row>
    <row r="215" spans="1:8" s="672" customFormat="1" ht="14.25" customHeight="1" thickBot="1">
      <c r="A215" s="684" t="s">
        <v>484</v>
      </c>
      <c r="B215" s="678" t="s">
        <v>240</v>
      </c>
      <c r="C215" s="678">
        <v>5280</v>
      </c>
      <c r="D215" s="678">
        <v>5250</v>
      </c>
      <c r="E215" s="678">
        <v>5520</v>
      </c>
      <c r="F215" s="696">
        <v>1000</v>
      </c>
      <c r="H215" s="700"/>
    </row>
    <row r="216" spans="1:8" s="672" customFormat="1" ht="14.25" customHeight="1" thickBot="1">
      <c r="A216" s="684" t="s">
        <v>484</v>
      </c>
      <c r="B216" s="678" t="s">
        <v>251</v>
      </c>
      <c r="C216" s="678">
        <v>5100</v>
      </c>
      <c r="D216" s="678">
        <v>5050</v>
      </c>
      <c r="E216" s="678">
        <v>5300</v>
      </c>
      <c r="F216" s="696">
        <v>950</v>
      </c>
      <c r="H216" s="700"/>
    </row>
    <row r="217" spans="1:8" s="672" customFormat="1" ht="14.25" customHeight="1" thickBot="1">
      <c r="A217" s="684" t="s">
        <v>484</v>
      </c>
      <c r="B217" s="678" t="s">
        <v>262</v>
      </c>
      <c r="C217" s="678">
        <v>5370</v>
      </c>
      <c r="D217" s="678">
        <v>5320</v>
      </c>
      <c r="E217" s="678">
        <v>5410</v>
      </c>
      <c r="F217" s="696">
        <v>950</v>
      </c>
      <c r="H217" s="700"/>
    </row>
    <row r="218" spans="1:8" s="672" customFormat="1" ht="14.25" customHeight="1" thickBot="1">
      <c r="A218" s="684" t="s">
        <v>484</v>
      </c>
      <c r="B218" s="678" t="s">
        <v>273</v>
      </c>
      <c r="C218" s="678">
        <v>5540</v>
      </c>
      <c r="D218" s="678">
        <v>5480</v>
      </c>
      <c r="E218" s="678">
        <v>5740</v>
      </c>
      <c r="F218" s="696">
        <v>1020</v>
      </c>
      <c r="H218" s="700"/>
    </row>
    <row r="219" spans="1:8" s="672" customFormat="1" ht="14.25" customHeight="1" thickBot="1">
      <c r="A219" s="684" t="s">
        <v>484</v>
      </c>
      <c r="B219" s="678" t="s">
        <v>284</v>
      </c>
      <c r="C219" s="678">
        <v>5140</v>
      </c>
      <c r="D219" s="678">
        <v>5100</v>
      </c>
      <c r="E219" s="678">
        <v>5350</v>
      </c>
      <c r="F219" s="696">
        <v>1120</v>
      </c>
      <c r="H219" s="700"/>
    </row>
    <row r="220" spans="1:8" s="672" customFormat="1" ht="14.25" customHeight="1" thickBot="1">
      <c r="A220" s="684" t="s">
        <v>484</v>
      </c>
      <c r="B220" s="678" t="s">
        <v>295</v>
      </c>
      <c r="C220" s="678">
        <v>5040</v>
      </c>
      <c r="D220" s="678">
        <v>5000</v>
      </c>
      <c r="E220" s="678">
        <v>5240</v>
      </c>
      <c r="F220" s="696">
        <v>980</v>
      </c>
      <c r="H220" s="700"/>
    </row>
    <row r="221" spans="1:8" s="672" customFormat="1" ht="14.25" customHeight="1" thickBot="1">
      <c r="A221" s="684" t="s">
        <v>484</v>
      </c>
      <c r="B221" s="678" t="s">
        <v>305</v>
      </c>
      <c r="C221" s="705"/>
      <c r="D221" s="705"/>
      <c r="E221" s="705"/>
      <c r="F221" s="696">
        <v>1070</v>
      </c>
      <c r="H221" s="700"/>
    </row>
    <row r="222" spans="1:8" s="672" customFormat="1" ht="14.25" customHeight="1" thickBot="1">
      <c r="A222" s="684" t="s">
        <v>484</v>
      </c>
      <c r="B222" s="678" t="s">
        <v>315</v>
      </c>
      <c r="C222" s="705"/>
      <c r="D222" s="705"/>
      <c r="E222" s="705"/>
      <c r="F222" s="696">
        <v>870</v>
      </c>
      <c r="H222" s="700"/>
    </row>
    <row r="223" spans="1:8" s="672" customFormat="1" ht="14.25" customHeight="1" thickBot="1">
      <c r="A223" s="684" t="s">
        <v>484</v>
      </c>
      <c r="B223" s="678" t="s">
        <v>325</v>
      </c>
      <c r="C223" s="705"/>
      <c r="D223" s="705"/>
      <c r="E223" s="705"/>
      <c r="F223" s="696">
        <v>940</v>
      </c>
      <c r="H223" s="700"/>
    </row>
    <row r="224" spans="1:8" s="672" customFormat="1" ht="14.25" customHeight="1" thickBot="1">
      <c r="A224" s="684" t="s">
        <v>484</v>
      </c>
      <c r="B224" s="678" t="s">
        <v>335</v>
      </c>
      <c r="C224" s="705"/>
      <c r="D224" s="705"/>
      <c r="E224" s="705"/>
      <c r="F224" s="696">
        <v>990</v>
      </c>
      <c r="H224" s="700"/>
    </row>
    <row r="225" spans="1:8" s="672" customFormat="1" ht="14.25" customHeight="1" thickBot="1">
      <c r="A225" s="684" t="s">
        <v>484</v>
      </c>
      <c r="B225" s="678" t="s">
        <v>344</v>
      </c>
      <c r="C225" s="678">
        <v>5730</v>
      </c>
      <c r="D225" s="678">
        <v>5680</v>
      </c>
      <c r="E225" s="678">
        <v>6020</v>
      </c>
      <c r="F225" s="696">
        <v>1000</v>
      </c>
      <c r="H225" s="700"/>
    </row>
    <row r="226" spans="1:8" s="672" customFormat="1" ht="14.25" customHeight="1" thickBot="1">
      <c r="A226" s="684" t="s">
        <v>484</v>
      </c>
      <c r="B226" s="678" t="s">
        <v>353</v>
      </c>
      <c r="C226" s="678">
        <v>4970</v>
      </c>
      <c r="D226" s="678">
        <v>4940</v>
      </c>
      <c r="E226" s="678">
        <v>5180</v>
      </c>
      <c r="F226" s="696">
        <v>960</v>
      </c>
      <c r="H226" s="700"/>
    </row>
    <row r="227" spans="1:8" s="672" customFormat="1" ht="14.25" customHeight="1" thickBot="1">
      <c r="A227" s="684" t="s">
        <v>484</v>
      </c>
      <c r="B227" s="678" t="s">
        <v>361</v>
      </c>
      <c r="C227" s="678">
        <v>5550</v>
      </c>
      <c r="D227" s="678">
        <v>5500</v>
      </c>
      <c r="E227" s="678">
        <v>5780</v>
      </c>
      <c r="F227" s="696">
        <v>940</v>
      </c>
      <c r="H227" s="700"/>
    </row>
    <row r="228" spans="1:8" s="672" customFormat="1" ht="14.25" customHeight="1" thickBot="1">
      <c r="A228" s="684" t="s">
        <v>484</v>
      </c>
      <c r="B228" s="678" t="s">
        <v>368</v>
      </c>
      <c r="C228" s="678">
        <v>5460</v>
      </c>
      <c r="D228" s="678">
        <v>5420</v>
      </c>
      <c r="E228" s="678">
        <v>5690</v>
      </c>
      <c r="F228" s="696">
        <v>910</v>
      </c>
      <c r="H228" s="700"/>
    </row>
    <row r="229" spans="1:8" s="672" customFormat="1" ht="14.25" customHeight="1" thickBot="1">
      <c r="A229" s="684" t="s">
        <v>484</v>
      </c>
      <c r="B229" s="678" t="s">
        <v>375</v>
      </c>
      <c r="C229" s="678">
        <v>5310</v>
      </c>
      <c r="D229" s="678">
        <v>5270</v>
      </c>
      <c r="E229" s="678">
        <v>5510</v>
      </c>
      <c r="F229" s="704"/>
      <c r="H229" s="700"/>
    </row>
    <row r="230" spans="1:8" s="672" customFormat="1" ht="14.25" customHeight="1" thickBot="1">
      <c r="A230" s="684" t="s">
        <v>484</v>
      </c>
      <c r="B230" s="678" t="s">
        <v>382</v>
      </c>
      <c r="C230" s="678">
        <v>4540</v>
      </c>
      <c r="D230" s="678">
        <v>4500</v>
      </c>
      <c r="E230" s="678">
        <v>4730</v>
      </c>
      <c r="F230" s="704"/>
      <c r="H230" s="700"/>
    </row>
    <row r="231" spans="1:8" s="672" customFormat="1" ht="14.25" customHeight="1" thickBot="1">
      <c r="A231" s="684" t="s">
        <v>484</v>
      </c>
      <c r="B231" s="678" t="s">
        <v>389</v>
      </c>
      <c r="C231" s="678">
        <v>4480</v>
      </c>
      <c r="D231" s="678">
        <v>4410</v>
      </c>
      <c r="E231" s="678">
        <v>4640</v>
      </c>
      <c r="F231" s="704"/>
      <c r="H231" s="700"/>
    </row>
    <row r="232" spans="1:8" s="672" customFormat="1" ht="14.25" customHeight="1" thickBot="1">
      <c r="A232" s="684" t="s">
        <v>484</v>
      </c>
      <c r="B232" s="678" t="s">
        <v>396</v>
      </c>
      <c r="C232" s="678">
        <v>5670</v>
      </c>
      <c r="D232" s="678">
        <v>5600</v>
      </c>
      <c r="E232" s="678">
        <v>5890</v>
      </c>
      <c r="F232" s="696">
        <v>1150</v>
      </c>
      <c r="H232" s="700"/>
    </row>
    <row r="233" spans="1:8" s="672" customFormat="1" ht="14.25" customHeight="1" thickBot="1">
      <c r="A233" s="684" t="s">
        <v>484</v>
      </c>
      <c r="B233" s="678" t="s">
        <v>403</v>
      </c>
      <c r="C233" s="678">
        <v>4590</v>
      </c>
      <c r="D233" s="678">
        <v>4500</v>
      </c>
      <c r="E233" s="678">
        <v>4600</v>
      </c>
      <c r="F233" s="704"/>
      <c r="H233" s="700"/>
    </row>
    <row r="234" spans="1:8" s="672" customFormat="1" ht="14.25" customHeight="1" thickBot="1">
      <c r="A234" s="684" t="s">
        <v>484</v>
      </c>
      <c r="B234" s="678" t="s">
        <v>779</v>
      </c>
      <c r="C234" s="678">
        <v>3990</v>
      </c>
      <c r="D234" s="678">
        <v>3950</v>
      </c>
      <c r="E234" s="678">
        <v>4180</v>
      </c>
      <c r="F234" s="704"/>
      <c r="H234" s="700"/>
    </row>
    <row r="235" spans="1:8" s="672" customFormat="1" ht="14.25" customHeight="1" thickBot="1">
      <c r="A235" s="684" t="s">
        <v>484</v>
      </c>
      <c r="B235" s="678" t="s">
        <v>412</v>
      </c>
      <c r="C235" s="678">
        <v>5590</v>
      </c>
      <c r="D235" s="678">
        <v>5540</v>
      </c>
      <c r="E235" s="678">
        <v>5810</v>
      </c>
      <c r="F235" s="696">
        <v>970</v>
      </c>
      <c r="H235" s="700"/>
    </row>
    <row r="236" spans="1:8" s="672" customFormat="1" ht="14.25" customHeight="1" thickBot="1">
      <c r="A236" s="684" t="s">
        <v>484</v>
      </c>
      <c r="B236" s="678" t="s">
        <v>417</v>
      </c>
      <c r="C236" s="678"/>
      <c r="D236" s="678"/>
      <c r="E236" s="678"/>
      <c r="F236" s="696">
        <v>1020</v>
      </c>
      <c r="H236" s="700"/>
    </row>
    <row r="237" spans="1:8" s="672" customFormat="1" ht="14.25" customHeight="1" thickBot="1">
      <c r="A237" s="684" t="s">
        <v>484</v>
      </c>
      <c r="B237" s="678" t="s">
        <v>422</v>
      </c>
      <c r="C237" s="678"/>
      <c r="D237" s="678"/>
      <c r="E237" s="678"/>
      <c r="F237" s="696">
        <v>960</v>
      </c>
      <c r="H237" s="700"/>
    </row>
    <row r="238" spans="1:8" s="672" customFormat="1" ht="14.25" customHeight="1" thickBot="1">
      <c r="A238" s="684" t="s">
        <v>484</v>
      </c>
      <c r="B238" s="678" t="s">
        <v>427</v>
      </c>
      <c r="C238" s="678"/>
      <c r="D238" s="678"/>
      <c r="E238" s="678"/>
      <c r="F238" s="696">
        <v>960</v>
      </c>
      <c r="H238" s="700"/>
    </row>
    <row r="239" spans="1:8" s="672" customFormat="1" ht="14.25" customHeight="1" thickBot="1">
      <c r="A239" s="684" t="s">
        <v>484</v>
      </c>
      <c r="B239" s="678" t="s">
        <v>432</v>
      </c>
      <c r="C239" s="678"/>
      <c r="D239" s="678"/>
      <c r="E239" s="678"/>
      <c r="F239" s="696">
        <v>960</v>
      </c>
      <c r="H239" s="700"/>
    </row>
    <row r="240" spans="1:8" s="672" customFormat="1" ht="14.25" customHeight="1" thickBot="1">
      <c r="A240" s="684" t="s">
        <v>484</v>
      </c>
      <c r="B240" s="678" t="s">
        <v>436</v>
      </c>
      <c r="C240" s="678"/>
      <c r="D240" s="678"/>
      <c r="E240" s="678"/>
      <c r="F240" s="696">
        <v>990</v>
      </c>
      <c r="H240" s="700"/>
    </row>
    <row r="241" spans="1:8" s="672" customFormat="1" ht="14.25" customHeight="1" thickBot="1">
      <c r="A241" s="684" t="s">
        <v>484</v>
      </c>
      <c r="B241" s="678" t="s">
        <v>440</v>
      </c>
      <c r="C241" s="678"/>
      <c r="D241" s="678"/>
      <c r="E241" s="678"/>
      <c r="F241" s="696">
        <v>1000</v>
      </c>
      <c r="H241" s="700"/>
    </row>
    <row r="242" spans="1:8" s="672" customFormat="1" ht="14.25" customHeight="1" thickBot="1">
      <c r="A242" s="684" t="s">
        <v>484</v>
      </c>
      <c r="B242" s="678" t="s">
        <v>444</v>
      </c>
      <c r="C242" s="678"/>
      <c r="D242" s="678"/>
      <c r="E242" s="678"/>
      <c r="F242" s="696">
        <v>980</v>
      </c>
      <c r="H242" s="700"/>
    </row>
    <row r="243" spans="1:8" s="672" customFormat="1" ht="14.25" customHeight="1" thickBot="1">
      <c r="A243" s="684" t="s">
        <v>484</v>
      </c>
      <c r="B243" s="678" t="s">
        <v>448</v>
      </c>
      <c r="C243" s="678"/>
      <c r="D243" s="678"/>
      <c r="E243" s="678"/>
      <c r="F243" s="696">
        <v>970</v>
      </c>
      <c r="H243" s="700"/>
    </row>
    <row r="244" spans="1:8" s="672" customFormat="1" ht="14.25" customHeight="1" thickBot="1">
      <c r="A244" s="684" t="s">
        <v>484</v>
      </c>
      <c r="B244" s="694" t="s">
        <v>452</v>
      </c>
      <c r="C244" s="694"/>
      <c r="D244" s="694"/>
      <c r="E244" s="694"/>
      <c r="F244" s="703">
        <v>970</v>
      </c>
      <c r="H244" s="700"/>
    </row>
    <row r="245" spans="1:8" s="672" customFormat="1" ht="14.25" customHeight="1" thickBot="1">
      <c r="A245" s="684" t="s">
        <v>486</v>
      </c>
      <c r="B245" s="685" t="s">
        <v>487</v>
      </c>
      <c r="C245" s="685">
        <v>4050</v>
      </c>
      <c r="D245" s="685">
        <v>4020</v>
      </c>
      <c r="E245" s="685">
        <v>4160</v>
      </c>
      <c r="F245" s="686">
        <v>840</v>
      </c>
      <c r="H245" s="700"/>
    </row>
    <row r="246" spans="1:8" s="672" customFormat="1" ht="14.25" customHeight="1" thickBot="1">
      <c r="A246" s="684" t="s">
        <v>486</v>
      </c>
      <c r="B246" s="678" t="s">
        <v>143</v>
      </c>
      <c r="C246" s="678">
        <v>4010</v>
      </c>
      <c r="D246" s="678">
        <v>3960</v>
      </c>
      <c r="E246" s="678">
        <v>4130</v>
      </c>
      <c r="F246" s="696">
        <v>840</v>
      </c>
      <c r="H246" s="700"/>
    </row>
    <row r="247" spans="1:8" s="672" customFormat="1" ht="14.25" customHeight="1" thickBot="1">
      <c r="A247" s="684" t="s">
        <v>486</v>
      </c>
      <c r="B247" s="678" t="s">
        <v>488</v>
      </c>
      <c r="C247" s="678">
        <v>3170</v>
      </c>
      <c r="D247" s="678">
        <v>3140</v>
      </c>
      <c r="E247" s="678">
        <v>3270</v>
      </c>
      <c r="F247" s="696">
        <v>640</v>
      </c>
      <c r="H247" s="700"/>
    </row>
    <row r="248" spans="1:8" s="672" customFormat="1" ht="14.25" customHeight="1" thickBot="1">
      <c r="A248" s="684" t="s">
        <v>486</v>
      </c>
      <c r="B248" s="678" t="s">
        <v>489</v>
      </c>
      <c r="C248" s="678">
        <v>3140</v>
      </c>
      <c r="D248" s="678">
        <v>3120</v>
      </c>
      <c r="E248" s="678">
        <v>3240</v>
      </c>
      <c r="F248" s="696">
        <v>620</v>
      </c>
      <c r="H248" s="700"/>
    </row>
    <row r="249" spans="1:8" s="672" customFormat="1" ht="14.25" customHeight="1" thickBot="1">
      <c r="A249" s="684" t="s">
        <v>486</v>
      </c>
      <c r="B249" s="678" t="s">
        <v>181</v>
      </c>
      <c r="C249" s="678">
        <v>3200</v>
      </c>
      <c r="D249" s="678">
        <v>3100</v>
      </c>
      <c r="E249" s="678">
        <v>3230</v>
      </c>
      <c r="F249" s="696">
        <v>750</v>
      </c>
      <c r="H249" s="700"/>
    </row>
    <row r="250" spans="1:8" s="672" customFormat="1" ht="14.25" customHeight="1" thickBot="1">
      <c r="A250" s="684" t="s">
        <v>486</v>
      </c>
      <c r="B250" s="678" t="s">
        <v>193</v>
      </c>
      <c r="C250" s="678">
        <v>4060</v>
      </c>
      <c r="D250" s="678">
        <v>4000</v>
      </c>
      <c r="E250" s="678">
        <v>4140</v>
      </c>
      <c r="F250" s="696">
        <v>790</v>
      </c>
      <c r="H250" s="700"/>
    </row>
    <row r="251" spans="1:8" s="672" customFormat="1" ht="14.25" customHeight="1" thickBot="1">
      <c r="A251" s="684" t="s">
        <v>486</v>
      </c>
      <c r="B251" s="678" t="s">
        <v>205</v>
      </c>
      <c r="C251" s="678">
        <v>3990</v>
      </c>
      <c r="D251" s="678">
        <v>3970</v>
      </c>
      <c r="E251" s="678">
        <v>4110</v>
      </c>
      <c r="F251" s="696">
        <v>730</v>
      </c>
      <c r="H251" s="700"/>
    </row>
    <row r="252" spans="1:8" s="672" customFormat="1" ht="14.25" customHeight="1" thickBot="1">
      <c r="A252" s="684" t="s">
        <v>486</v>
      </c>
      <c r="B252" s="678" t="s">
        <v>217</v>
      </c>
      <c r="C252" s="678">
        <v>3560</v>
      </c>
      <c r="D252" s="678">
        <v>3530</v>
      </c>
      <c r="E252" s="678">
        <v>3650</v>
      </c>
      <c r="F252" s="696">
        <v>750</v>
      </c>
      <c r="H252" s="700"/>
    </row>
    <row r="253" spans="1:8" s="672" customFormat="1" ht="14.25" customHeight="1" thickBot="1">
      <c r="A253" s="684" t="s">
        <v>486</v>
      </c>
      <c r="B253" s="678" t="s">
        <v>230</v>
      </c>
      <c r="C253" s="678">
        <v>3780</v>
      </c>
      <c r="D253" s="678">
        <v>3750</v>
      </c>
      <c r="E253" s="678">
        <v>3870</v>
      </c>
      <c r="F253" s="696">
        <v>770</v>
      </c>
      <c r="H253" s="700"/>
    </row>
    <row r="254" spans="1:8" s="672" customFormat="1" ht="14.25" customHeight="1" thickBot="1">
      <c r="A254" s="684" t="s">
        <v>486</v>
      </c>
      <c r="B254" s="678" t="s">
        <v>241</v>
      </c>
      <c r="C254" s="705"/>
      <c r="D254" s="705"/>
      <c r="E254" s="705"/>
      <c r="F254" s="696">
        <v>740</v>
      </c>
      <c r="H254" s="700"/>
    </row>
    <row r="255" spans="1:8" s="672" customFormat="1" ht="14.25" customHeight="1" thickBot="1">
      <c r="A255" s="684" t="s">
        <v>486</v>
      </c>
      <c r="B255" s="678" t="s">
        <v>252</v>
      </c>
      <c r="C255" s="705"/>
      <c r="D255" s="705"/>
      <c r="E255" s="705"/>
      <c r="F255" s="696">
        <v>760</v>
      </c>
      <c r="H255" s="700"/>
    </row>
    <row r="256" spans="1:8" s="672" customFormat="1" ht="14.25" customHeight="1" thickBot="1">
      <c r="A256" s="684" t="s">
        <v>486</v>
      </c>
      <c r="B256" s="678" t="s">
        <v>263</v>
      </c>
      <c r="C256" s="678">
        <v>3760</v>
      </c>
      <c r="D256" s="678">
        <v>3730</v>
      </c>
      <c r="E256" s="678">
        <v>3870</v>
      </c>
      <c r="F256" s="696">
        <v>830</v>
      </c>
      <c r="H256" s="700"/>
    </row>
    <row r="257" spans="1:8" s="672" customFormat="1" ht="14.25" customHeight="1" thickBot="1">
      <c r="A257" s="684" t="s">
        <v>486</v>
      </c>
      <c r="B257" s="678" t="s">
        <v>274</v>
      </c>
      <c r="C257" s="678">
        <v>3570</v>
      </c>
      <c r="D257" s="678">
        <v>3540</v>
      </c>
      <c r="E257" s="678">
        <v>3650</v>
      </c>
      <c r="F257" s="696">
        <v>790</v>
      </c>
      <c r="H257" s="700"/>
    </row>
    <row r="258" spans="1:8" s="672" customFormat="1" ht="14.25" customHeight="1" thickBot="1">
      <c r="A258" s="684" t="s">
        <v>486</v>
      </c>
      <c r="B258" s="678" t="s">
        <v>285</v>
      </c>
      <c r="C258" s="678">
        <v>3410</v>
      </c>
      <c r="D258" s="678">
        <v>3380</v>
      </c>
      <c r="E258" s="678">
        <v>3500</v>
      </c>
      <c r="F258" s="696">
        <v>830</v>
      </c>
      <c r="H258" s="700"/>
    </row>
    <row r="259" spans="1:8" s="672" customFormat="1" ht="14.25" customHeight="1" thickBot="1">
      <c r="A259" s="684" t="s">
        <v>486</v>
      </c>
      <c r="B259" s="678" t="s">
        <v>296</v>
      </c>
      <c r="C259" s="678">
        <v>3870</v>
      </c>
      <c r="D259" s="678">
        <v>3840</v>
      </c>
      <c r="E259" s="678">
        <v>3970</v>
      </c>
      <c r="F259" s="696">
        <v>830</v>
      </c>
      <c r="H259" s="700"/>
    </row>
    <row r="260" spans="1:8" s="672" customFormat="1" ht="14.25" customHeight="1" thickBot="1">
      <c r="A260" s="684" t="s">
        <v>486</v>
      </c>
      <c r="B260" s="678" t="s">
        <v>306</v>
      </c>
      <c r="C260" s="678">
        <v>3700</v>
      </c>
      <c r="D260" s="678">
        <v>3660</v>
      </c>
      <c r="E260" s="678">
        <v>3810</v>
      </c>
      <c r="F260" s="696">
        <v>790</v>
      </c>
      <c r="H260" s="700"/>
    </row>
    <row r="261" spans="1:8" s="672" customFormat="1" ht="14.25" customHeight="1" thickBot="1">
      <c r="A261" s="684" t="s">
        <v>486</v>
      </c>
      <c r="B261" s="678" t="s">
        <v>316</v>
      </c>
      <c r="C261" s="678">
        <v>3470</v>
      </c>
      <c r="D261" s="678">
        <v>3430</v>
      </c>
      <c r="E261" s="678">
        <v>3640</v>
      </c>
      <c r="F261" s="696">
        <v>760</v>
      </c>
      <c r="H261" s="700"/>
    </row>
    <row r="262" spans="1:8" s="672" customFormat="1" ht="14.25" customHeight="1" thickBot="1">
      <c r="A262" s="684" t="s">
        <v>486</v>
      </c>
      <c r="B262" s="678" t="s">
        <v>326</v>
      </c>
      <c r="C262" s="678">
        <v>3510</v>
      </c>
      <c r="D262" s="678">
        <v>3470</v>
      </c>
      <c r="E262" s="678">
        <v>3680</v>
      </c>
      <c r="F262" s="704"/>
      <c r="H262" s="700"/>
    </row>
    <row r="263" spans="1:8" s="672" customFormat="1" ht="14.25" customHeight="1" thickBot="1">
      <c r="A263" s="684" t="s">
        <v>486</v>
      </c>
      <c r="B263" s="678" t="s">
        <v>336</v>
      </c>
      <c r="C263" s="678">
        <v>3960</v>
      </c>
      <c r="D263" s="678">
        <v>3930</v>
      </c>
      <c r="E263" s="678">
        <v>4070</v>
      </c>
      <c r="F263" s="696">
        <v>830</v>
      </c>
      <c r="H263" s="700"/>
    </row>
    <row r="264" spans="1:8" s="672" customFormat="1" ht="14.25" customHeight="1" thickBot="1">
      <c r="A264" s="684" t="s">
        <v>486</v>
      </c>
      <c r="B264" s="678" t="s">
        <v>345</v>
      </c>
      <c r="C264" s="678">
        <v>4010</v>
      </c>
      <c r="D264" s="678">
        <v>3980</v>
      </c>
      <c r="E264" s="678">
        <v>4150</v>
      </c>
      <c r="F264" s="696">
        <v>760</v>
      </c>
      <c r="H264" s="700"/>
    </row>
    <row r="265" spans="1:8" s="672" customFormat="1" ht="14.25" customHeight="1" thickBot="1">
      <c r="A265" s="684" t="s">
        <v>486</v>
      </c>
      <c r="B265" s="678" t="s">
        <v>354</v>
      </c>
      <c r="C265" s="678">
        <v>3910</v>
      </c>
      <c r="D265" s="678">
        <v>3890</v>
      </c>
      <c r="E265" s="678">
        <v>4040</v>
      </c>
      <c r="F265" s="696">
        <v>780</v>
      </c>
      <c r="H265" s="700"/>
    </row>
    <row r="266" spans="1:8" s="672" customFormat="1" ht="14.25" customHeight="1" thickBot="1">
      <c r="A266" s="684" t="s">
        <v>486</v>
      </c>
      <c r="B266" s="678" t="s">
        <v>362</v>
      </c>
      <c r="C266" s="678">
        <v>3930</v>
      </c>
      <c r="D266" s="678">
        <v>3900</v>
      </c>
      <c r="E266" s="678">
        <v>4080</v>
      </c>
      <c r="F266" s="696">
        <v>770</v>
      </c>
      <c r="H266" s="700"/>
    </row>
    <row r="267" spans="1:8" s="672" customFormat="1" ht="14.25" customHeight="1" thickBot="1">
      <c r="A267" s="684" t="s">
        <v>486</v>
      </c>
      <c r="B267" s="678" t="s">
        <v>369</v>
      </c>
      <c r="C267" s="678">
        <v>3800</v>
      </c>
      <c r="D267" s="678">
        <v>3780</v>
      </c>
      <c r="E267" s="678">
        <v>3930</v>
      </c>
      <c r="F267" s="704"/>
      <c r="H267" s="700"/>
    </row>
    <row r="268" spans="1:8" s="672" customFormat="1" ht="14.25" customHeight="1" thickBot="1">
      <c r="A268" s="684" t="s">
        <v>486</v>
      </c>
      <c r="B268" s="678" t="s">
        <v>376</v>
      </c>
      <c r="C268" s="678">
        <v>3460</v>
      </c>
      <c r="D268" s="678">
        <v>3430</v>
      </c>
      <c r="E268" s="678">
        <v>3560</v>
      </c>
      <c r="F268" s="696">
        <v>840</v>
      </c>
      <c r="H268" s="700"/>
    </row>
    <row r="269" spans="1:8" s="672" customFormat="1" ht="14.25" customHeight="1" thickBot="1">
      <c r="A269" s="684" t="s">
        <v>486</v>
      </c>
      <c r="B269" s="678" t="s">
        <v>383</v>
      </c>
      <c r="C269" s="678">
        <v>3210</v>
      </c>
      <c r="D269" s="678">
        <v>3190</v>
      </c>
      <c r="E269" s="678">
        <v>3310</v>
      </c>
      <c r="F269" s="696">
        <v>730</v>
      </c>
      <c r="H269" s="700"/>
    </row>
    <row r="270" spans="1:8" s="672" customFormat="1" ht="14.25" customHeight="1" thickBot="1">
      <c r="A270" s="684" t="s">
        <v>486</v>
      </c>
      <c r="B270" s="678" t="s">
        <v>390</v>
      </c>
      <c r="C270" s="678">
        <v>3240</v>
      </c>
      <c r="D270" s="678">
        <v>3210</v>
      </c>
      <c r="E270" s="678">
        <v>3390</v>
      </c>
      <c r="F270" s="696">
        <v>820</v>
      </c>
      <c r="H270" s="700"/>
    </row>
    <row r="271" spans="1:8" s="672" customFormat="1" ht="14.25" customHeight="1" thickBot="1">
      <c r="A271" s="684" t="s">
        <v>486</v>
      </c>
      <c r="B271" s="678" t="s">
        <v>397</v>
      </c>
      <c r="C271" s="678">
        <v>3300</v>
      </c>
      <c r="D271" s="678">
        <v>3270</v>
      </c>
      <c r="E271" s="678">
        <v>3380</v>
      </c>
      <c r="F271" s="696">
        <v>750</v>
      </c>
      <c r="H271" s="700"/>
    </row>
    <row r="272" spans="1:8" s="672" customFormat="1" ht="14.25" customHeight="1" thickBot="1">
      <c r="A272" s="684" t="s">
        <v>486</v>
      </c>
      <c r="B272" s="678" t="s">
        <v>404</v>
      </c>
      <c r="C272" s="705"/>
      <c r="D272" s="705"/>
      <c r="E272" s="705"/>
      <c r="F272" s="696">
        <v>740</v>
      </c>
      <c r="H272" s="700"/>
    </row>
    <row r="273" spans="1:8" s="672" customFormat="1" ht="14.25" customHeight="1" thickBot="1">
      <c r="A273" s="684" t="s">
        <v>486</v>
      </c>
      <c r="B273" s="678" t="s">
        <v>408</v>
      </c>
      <c r="C273" s="678">
        <v>3130</v>
      </c>
      <c r="D273" s="678">
        <v>3100</v>
      </c>
      <c r="E273" s="678">
        <v>3230</v>
      </c>
      <c r="F273" s="696">
        <v>700</v>
      </c>
      <c r="H273" s="700"/>
    </row>
    <row r="274" spans="1:8" s="672" customFormat="1" ht="14.25" customHeight="1" thickBot="1">
      <c r="A274" s="684" t="s">
        <v>486</v>
      </c>
      <c r="B274" s="678" t="s">
        <v>413</v>
      </c>
      <c r="C274" s="678">
        <v>3460</v>
      </c>
      <c r="D274" s="678">
        <v>3430</v>
      </c>
      <c r="E274" s="678">
        <v>3560</v>
      </c>
      <c r="F274" s="696">
        <v>690</v>
      </c>
      <c r="H274" s="700"/>
    </row>
    <row r="275" spans="1:8" s="672" customFormat="1" ht="14.25" customHeight="1" thickBot="1">
      <c r="A275" s="684" t="s">
        <v>486</v>
      </c>
      <c r="B275" s="678" t="s">
        <v>418</v>
      </c>
      <c r="C275" s="678">
        <v>4040</v>
      </c>
      <c r="D275" s="678">
        <v>4020</v>
      </c>
      <c r="E275" s="678">
        <v>4160</v>
      </c>
      <c r="F275" s="696">
        <v>820</v>
      </c>
      <c r="H275" s="700"/>
    </row>
    <row r="276" spans="1:8" s="672" customFormat="1" ht="14.25" customHeight="1" thickBot="1">
      <c r="A276" s="684" t="s">
        <v>486</v>
      </c>
      <c r="B276" s="678" t="s">
        <v>423</v>
      </c>
      <c r="C276" s="678">
        <v>3270</v>
      </c>
      <c r="D276" s="678">
        <v>3240</v>
      </c>
      <c r="E276" s="678">
        <v>3350</v>
      </c>
      <c r="F276" s="696">
        <v>680</v>
      </c>
      <c r="H276" s="700"/>
    </row>
    <row r="277" spans="1:8" s="672" customFormat="1" ht="14.25" customHeight="1" thickBot="1">
      <c r="A277" s="684" t="s">
        <v>486</v>
      </c>
      <c r="B277" s="678" t="s">
        <v>428</v>
      </c>
      <c r="C277" s="678">
        <v>2930</v>
      </c>
      <c r="D277" s="678">
        <v>2900</v>
      </c>
      <c r="E277" s="678">
        <v>3000</v>
      </c>
      <c r="F277" s="696">
        <v>640</v>
      </c>
      <c r="H277" s="700"/>
    </row>
    <row r="278" spans="1:8" s="672" customFormat="1" ht="14.25" customHeight="1" thickBot="1">
      <c r="A278" s="684" t="s">
        <v>486</v>
      </c>
      <c r="B278" s="678" t="s">
        <v>433</v>
      </c>
      <c r="C278" s="678">
        <v>4080</v>
      </c>
      <c r="D278" s="678">
        <v>4030</v>
      </c>
      <c r="E278" s="678">
        <v>4140</v>
      </c>
      <c r="F278" s="696">
        <v>850</v>
      </c>
      <c r="H278" s="700"/>
    </row>
    <row r="279" spans="1:8" s="672" customFormat="1" ht="14.25" customHeight="1" thickBot="1">
      <c r="A279" s="684" t="s">
        <v>486</v>
      </c>
      <c r="B279" s="678" t="s">
        <v>437</v>
      </c>
      <c r="C279" s="678"/>
      <c r="D279" s="678"/>
      <c r="E279" s="678"/>
      <c r="F279" s="696">
        <v>760</v>
      </c>
      <c r="H279" s="700"/>
    </row>
    <row r="280" spans="1:8" s="672" customFormat="1" ht="14.25" customHeight="1" thickBot="1">
      <c r="A280" s="684" t="s">
        <v>486</v>
      </c>
      <c r="B280" s="678" t="s">
        <v>441</v>
      </c>
      <c r="C280" s="678"/>
      <c r="D280" s="678"/>
      <c r="E280" s="678"/>
      <c r="F280" s="696">
        <v>760</v>
      </c>
      <c r="H280" s="700"/>
    </row>
    <row r="281" spans="1:8" s="672" customFormat="1" ht="14.25" customHeight="1" thickBot="1">
      <c r="A281" s="684" t="s">
        <v>486</v>
      </c>
      <c r="B281" s="678" t="s">
        <v>445</v>
      </c>
      <c r="C281" s="678"/>
      <c r="D281" s="678"/>
      <c r="E281" s="678"/>
      <c r="F281" s="696">
        <v>780</v>
      </c>
      <c r="H281" s="700"/>
    </row>
    <row r="282" spans="1:8" s="672" customFormat="1" ht="14.25" customHeight="1" thickBot="1">
      <c r="A282" s="684" t="s">
        <v>486</v>
      </c>
      <c r="B282" s="678" t="s">
        <v>449</v>
      </c>
      <c r="C282" s="678"/>
      <c r="D282" s="678"/>
      <c r="E282" s="678"/>
      <c r="F282" s="696">
        <v>730</v>
      </c>
      <c r="H282" s="700"/>
    </row>
    <row r="283" spans="1:8" s="672" customFormat="1" ht="14.25" customHeight="1" thickBot="1">
      <c r="A283" s="684" t="s">
        <v>486</v>
      </c>
      <c r="B283" s="678" t="s">
        <v>453</v>
      </c>
      <c r="C283" s="678"/>
      <c r="D283" s="678"/>
      <c r="E283" s="678"/>
      <c r="F283" s="696">
        <v>770</v>
      </c>
      <c r="H283" s="700"/>
    </row>
    <row r="284" spans="1:8" s="672" customFormat="1" ht="14.25" customHeight="1" thickBot="1">
      <c r="A284" s="684" t="s">
        <v>486</v>
      </c>
      <c r="B284" s="678" t="s">
        <v>456</v>
      </c>
      <c r="C284" s="678"/>
      <c r="D284" s="678"/>
      <c r="E284" s="678"/>
      <c r="F284" s="696">
        <v>640</v>
      </c>
      <c r="H284" s="700"/>
    </row>
    <row r="285" spans="1:8" s="672" customFormat="1" ht="14.25" customHeight="1" thickBot="1">
      <c r="A285" s="684" t="s">
        <v>486</v>
      </c>
      <c r="B285" s="678" t="s">
        <v>459</v>
      </c>
      <c r="C285" s="678"/>
      <c r="D285" s="678"/>
      <c r="E285" s="678"/>
      <c r="F285" s="696">
        <v>640</v>
      </c>
      <c r="H285" s="700"/>
    </row>
    <row r="286" spans="1:8" s="672" customFormat="1" ht="14.25" customHeight="1" thickBot="1">
      <c r="A286" s="684" t="s">
        <v>486</v>
      </c>
      <c r="B286" s="678" t="s">
        <v>462</v>
      </c>
      <c r="C286" s="678"/>
      <c r="D286" s="678"/>
      <c r="E286" s="678"/>
      <c r="F286" s="696">
        <v>850</v>
      </c>
      <c r="H286" s="700"/>
    </row>
    <row r="287" spans="1:8" s="672" customFormat="1" ht="14.25" customHeight="1" thickBot="1">
      <c r="A287" s="684" t="s">
        <v>486</v>
      </c>
      <c r="B287" s="678" t="s">
        <v>465</v>
      </c>
      <c r="C287" s="678"/>
      <c r="D287" s="678"/>
      <c r="E287" s="678"/>
      <c r="F287" s="696">
        <v>760</v>
      </c>
      <c r="H287" s="700"/>
    </row>
    <row r="288" spans="1:8" s="672" customFormat="1" ht="14.25" customHeight="1" thickBot="1">
      <c r="A288" s="684" t="s">
        <v>486</v>
      </c>
      <c r="B288" s="678" t="s">
        <v>468</v>
      </c>
      <c r="C288" s="678"/>
      <c r="D288" s="678"/>
      <c r="E288" s="678"/>
      <c r="F288" s="696">
        <v>830</v>
      </c>
      <c r="H288" s="700"/>
    </row>
    <row r="289" spans="1:8" s="672" customFormat="1" ht="14.25" customHeight="1" thickBot="1">
      <c r="A289" s="684" t="s">
        <v>486</v>
      </c>
      <c r="B289" s="694" t="s">
        <v>471</v>
      </c>
      <c r="C289" s="694"/>
      <c r="D289" s="694"/>
      <c r="E289" s="694"/>
      <c r="F289" s="703">
        <v>680</v>
      </c>
      <c r="H289" s="700"/>
    </row>
    <row r="290" spans="1:8" s="672" customFormat="1" ht="14.25" customHeight="1" thickBot="1">
      <c r="A290" s="684" t="s">
        <v>490</v>
      </c>
      <c r="B290" s="685" t="s">
        <v>491</v>
      </c>
      <c r="C290" s="685">
        <v>2770</v>
      </c>
      <c r="D290" s="685">
        <v>2740</v>
      </c>
      <c r="E290" s="685">
        <v>2720</v>
      </c>
      <c r="F290" s="706"/>
      <c r="H290" s="700"/>
    </row>
    <row r="291" spans="1:8" s="672" customFormat="1" ht="14.25" customHeight="1" thickBot="1">
      <c r="A291" s="684" t="s">
        <v>490</v>
      </c>
      <c r="B291" s="678" t="s">
        <v>144</v>
      </c>
      <c r="C291" s="678">
        <v>2670</v>
      </c>
      <c r="D291" s="678">
        <v>2640</v>
      </c>
      <c r="E291" s="678">
        <v>2620</v>
      </c>
      <c r="F291" s="704"/>
      <c r="H291" s="700"/>
    </row>
    <row r="292" spans="1:8" s="672" customFormat="1" ht="14.25" customHeight="1" thickBot="1">
      <c r="A292" s="684" t="s">
        <v>490</v>
      </c>
      <c r="B292" s="678" t="s">
        <v>492</v>
      </c>
      <c r="C292" s="678">
        <v>2180</v>
      </c>
      <c r="D292" s="678">
        <v>2140</v>
      </c>
      <c r="E292" s="678">
        <v>2120</v>
      </c>
      <c r="F292" s="696">
        <v>490</v>
      </c>
      <c r="H292" s="700"/>
    </row>
    <row r="293" spans="1:8" s="672" customFormat="1" ht="14.25" customHeight="1" thickBot="1">
      <c r="A293" s="684" t="s">
        <v>490</v>
      </c>
      <c r="B293" s="678" t="s">
        <v>493</v>
      </c>
      <c r="C293" s="678"/>
      <c r="D293" s="678"/>
      <c r="E293" s="678"/>
      <c r="F293" s="696">
        <v>470</v>
      </c>
      <c r="H293" s="700"/>
    </row>
    <row r="294" spans="1:8" s="672" customFormat="1" ht="14.25" customHeight="1" thickBot="1">
      <c r="A294" s="684" t="s">
        <v>490</v>
      </c>
      <c r="B294" s="678" t="s">
        <v>494</v>
      </c>
      <c r="C294" s="678">
        <v>2730</v>
      </c>
      <c r="D294" s="678">
        <v>2700</v>
      </c>
      <c r="E294" s="678">
        <v>2680</v>
      </c>
      <c r="F294" s="696">
        <v>490</v>
      </c>
      <c r="H294" s="700"/>
    </row>
    <row r="295" spans="1:8" s="672" customFormat="1" ht="14.25" customHeight="1" thickBot="1">
      <c r="A295" s="684" t="s">
        <v>490</v>
      </c>
      <c r="B295" s="678" t="s">
        <v>182</v>
      </c>
      <c r="C295" s="678">
        <v>2380</v>
      </c>
      <c r="D295" s="678">
        <v>2350</v>
      </c>
      <c r="E295" s="678">
        <v>2330</v>
      </c>
      <c r="F295" s="696">
        <v>530</v>
      </c>
      <c r="H295" s="700"/>
    </row>
    <row r="296" spans="1:8" s="672" customFormat="1" ht="14.25" customHeight="1" thickBot="1">
      <c r="A296" s="684" t="s">
        <v>490</v>
      </c>
      <c r="B296" s="678" t="s">
        <v>194</v>
      </c>
      <c r="C296" s="678">
        <v>2650</v>
      </c>
      <c r="D296" s="678">
        <v>2620</v>
      </c>
      <c r="E296" s="678">
        <v>2590</v>
      </c>
      <c r="F296" s="696">
        <v>590</v>
      </c>
      <c r="H296" s="700"/>
    </row>
    <row r="297" spans="1:8" s="672" customFormat="1" ht="14.25" customHeight="1" thickBot="1">
      <c r="A297" s="684" t="s">
        <v>490</v>
      </c>
      <c r="B297" s="678" t="s">
        <v>206</v>
      </c>
      <c r="C297" s="678">
        <v>2700</v>
      </c>
      <c r="D297" s="678">
        <v>2670</v>
      </c>
      <c r="E297" s="678">
        <v>2650</v>
      </c>
      <c r="F297" s="696">
        <v>630</v>
      </c>
      <c r="H297" s="700"/>
    </row>
    <row r="298" spans="1:8" s="672" customFormat="1" ht="14.25" customHeight="1" thickBot="1">
      <c r="A298" s="684" t="s">
        <v>490</v>
      </c>
      <c r="B298" s="678" t="s">
        <v>218</v>
      </c>
      <c r="C298" s="678">
        <v>2650</v>
      </c>
      <c r="D298" s="678">
        <v>2620</v>
      </c>
      <c r="E298" s="678">
        <v>2590</v>
      </c>
      <c r="F298" s="696">
        <v>640</v>
      </c>
      <c r="H298" s="700"/>
    </row>
    <row r="299" spans="1:8" s="672" customFormat="1" ht="14.25" customHeight="1" thickBot="1">
      <c r="A299" s="684" t="s">
        <v>490</v>
      </c>
      <c r="B299" s="678" t="s">
        <v>231</v>
      </c>
      <c r="C299" s="678">
        <v>2500</v>
      </c>
      <c r="D299" s="678">
        <v>2480</v>
      </c>
      <c r="E299" s="678">
        <v>2460</v>
      </c>
      <c r="F299" s="704"/>
      <c r="H299" s="700"/>
    </row>
    <row r="300" spans="1:8" s="672" customFormat="1" ht="14.25" customHeight="1" thickBot="1">
      <c r="A300" s="684" t="s">
        <v>490</v>
      </c>
      <c r="B300" s="678" t="s">
        <v>242</v>
      </c>
      <c r="C300" s="678">
        <v>2760</v>
      </c>
      <c r="D300" s="678">
        <v>2730</v>
      </c>
      <c r="E300" s="678">
        <v>2700</v>
      </c>
      <c r="F300" s="696">
        <v>630</v>
      </c>
      <c r="H300" s="700"/>
    </row>
    <row r="301" spans="1:8" s="672" customFormat="1" ht="14.25" customHeight="1" thickBot="1">
      <c r="A301" s="684" t="s">
        <v>490</v>
      </c>
      <c r="B301" s="678" t="s">
        <v>253</v>
      </c>
      <c r="C301" s="678">
        <v>2510</v>
      </c>
      <c r="D301" s="678">
        <v>2480</v>
      </c>
      <c r="E301" s="678">
        <v>2460</v>
      </c>
      <c r="F301" s="704"/>
      <c r="H301" s="700"/>
    </row>
    <row r="302" spans="1:8" s="672" customFormat="1" ht="14.25" customHeight="1" thickBot="1">
      <c r="A302" s="684" t="s">
        <v>490</v>
      </c>
      <c r="B302" s="678" t="s">
        <v>264</v>
      </c>
      <c r="C302" s="678">
        <v>2480</v>
      </c>
      <c r="D302" s="678">
        <v>2450</v>
      </c>
      <c r="E302" s="678">
        <v>2420</v>
      </c>
      <c r="F302" s="696">
        <v>600</v>
      </c>
      <c r="H302" s="700"/>
    </row>
    <row r="303" spans="1:8" s="672" customFormat="1" ht="14.25" customHeight="1" thickBot="1">
      <c r="A303" s="684" t="s">
        <v>490</v>
      </c>
      <c r="B303" s="678" t="s">
        <v>275</v>
      </c>
      <c r="C303" s="678">
        <v>2270</v>
      </c>
      <c r="D303" s="678">
        <v>2240</v>
      </c>
      <c r="E303" s="678">
        <v>2210</v>
      </c>
      <c r="F303" s="696">
        <v>540</v>
      </c>
      <c r="H303" s="700"/>
    </row>
    <row r="304" spans="1:8" s="672" customFormat="1" ht="14.25" customHeight="1" thickBot="1">
      <c r="A304" s="684" t="s">
        <v>490</v>
      </c>
      <c r="B304" s="678" t="s">
        <v>286</v>
      </c>
      <c r="C304" s="678">
        <v>2310</v>
      </c>
      <c r="D304" s="678">
        <v>2290</v>
      </c>
      <c r="E304" s="678">
        <v>2270</v>
      </c>
      <c r="F304" s="704"/>
      <c r="H304" s="700"/>
    </row>
    <row r="305" spans="1:8" s="672" customFormat="1" ht="14.25" customHeight="1" thickBot="1">
      <c r="A305" s="684" t="s">
        <v>490</v>
      </c>
      <c r="B305" s="678" t="s">
        <v>297</v>
      </c>
      <c r="C305" s="678">
        <v>2490</v>
      </c>
      <c r="D305" s="678">
        <v>2470</v>
      </c>
      <c r="E305" s="678">
        <v>2440</v>
      </c>
      <c r="F305" s="696">
        <v>560</v>
      </c>
      <c r="H305" s="700"/>
    </row>
    <row r="306" spans="1:8" s="672" customFormat="1" ht="14.25" customHeight="1" thickBot="1">
      <c r="A306" s="684" t="s">
        <v>490</v>
      </c>
      <c r="B306" s="678" t="s">
        <v>307</v>
      </c>
      <c r="C306" s="678">
        <v>2420</v>
      </c>
      <c r="D306" s="678">
        <v>2400</v>
      </c>
      <c r="E306" s="678">
        <v>2380</v>
      </c>
      <c r="F306" s="704"/>
      <c r="H306" s="700"/>
    </row>
    <row r="307" spans="1:8" s="672" customFormat="1" ht="14.25" customHeight="1" thickBot="1">
      <c r="A307" s="684" t="s">
        <v>490</v>
      </c>
      <c r="B307" s="678" t="s">
        <v>317</v>
      </c>
      <c r="C307" s="678">
        <v>2770</v>
      </c>
      <c r="D307" s="678">
        <v>2740</v>
      </c>
      <c r="E307" s="678">
        <v>2710</v>
      </c>
      <c r="F307" s="696">
        <v>650</v>
      </c>
      <c r="H307" s="700"/>
    </row>
    <row r="308" spans="1:8" s="672" customFormat="1" ht="14.25" customHeight="1" thickBot="1">
      <c r="A308" s="684" t="s">
        <v>490</v>
      </c>
      <c r="B308" s="678" t="s">
        <v>327</v>
      </c>
      <c r="C308" s="678">
        <v>2610</v>
      </c>
      <c r="D308" s="678">
        <v>2580</v>
      </c>
      <c r="E308" s="678">
        <v>2550</v>
      </c>
      <c r="F308" s="696">
        <v>580</v>
      </c>
      <c r="H308" s="700"/>
    </row>
    <row r="309" spans="1:8" s="672" customFormat="1" ht="14.25" customHeight="1" thickBot="1">
      <c r="A309" s="684" t="s">
        <v>490</v>
      </c>
      <c r="B309" s="678" t="s">
        <v>337</v>
      </c>
      <c r="C309" s="678">
        <v>2690</v>
      </c>
      <c r="D309" s="678">
        <v>2670</v>
      </c>
      <c r="E309" s="678">
        <v>2650</v>
      </c>
      <c r="F309" s="704"/>
      <c r="H309" s="700"/>
    </row>
    <row r="310" spans="1:8" s="672" customFormat="1" ht="14.25" customHeight="1" thickBot="1">
      <c r="A310" s="684" t="s">
        <v>490</v>
      </c>
      <c r="B310" s="678" t="s">
        <v>346</v>
      </c>
      <c r="C310" s="678">
        <v>2360</v>
      </c>
      <c r="D310" s="678">
        <v>2330</v>
      </c>
      <c r="E310" s="678">
        <v>2310</v>
      </c>
      <c r="F310" s="696">
        <v>560</v>
      </c>
      <c r="H310" s="700"/>
    </row>
    <row r="311" spans="1:8" s="672" customFormat="1" ht="14.25" customHeight="1" thickBot="1">
      <c r="A311" s="684" t="s">
        <v>490</v>
      </c>
      <c r="B311" s="678" t="s">
        <v>355</v>
      </c>
      <c r="C311" s="678">
        <v>1970</v>
      </c>
      <c r="D311" s="678">
        <v>1950</v>
      </c>
      <c r="E311" s="678">
        <v>1920</v>
      </c>
      <c r="F311" s="696">
        <v>470</v>
      </c>
      <c r="H311" s="700"/>
    </row>
    <row r="312" spans="1:8" s="672" customFormat="1" ht="14.25" customHeight="1" thickBot="1">
      <c r="A312" s="684" t="s">
        <v>490</v>
      </c>
      <c r="B312" s="678" t="s">
        <v>363</v>
      </c>
      <c r="C312" s="678">
        <v>2230</v>
      </c>
      <c r="D312" s="678">
        <v>2200</v>
      </c>
      <c r="E312" s="678">
        <v>2170</v>
      </c>
      <c r="F312" s="696">
        <v>460</v>
      </c>
      <c r="H312" s="700"/>
    </row>
    <row r="313" spans="1:8" s="672" customFormat="1" ht="14.25" customHeight="1" thickBot="1">
      <c r="A313" s="684" t="s">
        <v>490</v>
      </c>
      <c r="B313" s="678" t="s">
        <v>370</v>
      </c>
      <c r="C313" s="678">
        <v>2770</v>
      </c>
      <c r="D313" s="678">
        <v>2740</v>
      </c>
      <c r="E313" s="678">
        <v>2710</v>
      </c>
      <c r="F313" s="696">
        <v>610</v>
      </c>
      <c r="H313" s="700"/>
    </row>
    <row r="314" spans="1:8" s="672" customFormat="1" ht="14.25" customHeight="1" thickBot="1">
      <c r="A314" s="684" t="s">
        <v>490</v>
      </c>
      <c r="B314" s="678" t="s">
        <v>377</v>
      </c>
      <c r="C314" s="678"/>
      <c r="D314" s="678"/>
      <c r="E314" s="678"/>
      <c r="F314" s="696">
        <v>490</v>
      </c>
      <c r="H314" s="700"/>
    </row>
    <row r="315" spans="1:8" s="672" customFormat="1" ht="14.25" customHeight="1" thickBot="1">
      <c r="A315" s="684" t="s">
        <v>490</v>
      </c>
      <c r="B315" s="678" t="s">
        <v>384</v>
      </c>
      <c r="C315" s="678"/>
      <c r="D315" s="678"/>
      <c r="E315" s="678"/>
      <c r="F315" s="696">
        <v>520</v>
      </c>
      <c r="H315" s="700"/>
    </row>
    <row r="316" spans="1:8" s="672" customFormat="1" ht="14.25" customHeight="1" thickBot="1">
      <c r="A316" s="684" t="s">
        <v>490</v>
      </c>
      <c r="B316" s="694" t="s">
        <v>391</v>
      </c>
      <c r="C316" s="694"/>
      <c r="D316" s="694"/>
      <c r="E316" s="694"/>
      <c r="F316" s="703">
        <v>460</v>
      </c>
      <c r="H316" s="700"/>
    </row>
    <row r="317" spans="1:8" s="672" customFormat="1" ht="14.25" customHeight="1" thickBot="1">
      <c r="A317" s="684" t="s">
        <v>277</v>
      </c>
      <c r="B317" s="685" t="s">
        <v>495</v>
      </c>
      <c r="C317" s="685">
        <v>1200</v>
      </c>
      <c r="D317" s="685">
        <v>1180</v>
      </c>
      <c r="E317" s="685">
        <v>1160</v>
      </c>
      <c r="F317" s="686">
        <v>370</v>
      </c>
      <c r="H317" s="644"/>
    </row>
    <row r="318" spans="1:8" s="672" customFormat="1" ht="14.25" customHeight="1" thickBot="1">
      <c r="A318" s="684" t="s">
        <v>277</v>
      </c>
      <c r="B318" s="678" t="s">
        <v>496</v>
      </c>
      <c r="C318" s="678">
        <v>1090</v>
      </c>
      <c r="D318" s="678">
        <v>1060</v>
      </c>
      <c r="E318" s="678">
        <v>1040</v>
      </c>
      <c r="F318" s="704"/>
      <c r="H318" s="644"/>
    </row>
    <row r="319" spans="1:8" s="672" customFormat="1" ht="14.25" customHeight="1" thickBot="1">
      <c r="A319" s="684" t="s">
        <v>277</v>
      </c>
      <c r="B319" s="678" t="s">
        <v>497</v>
      </c>
      <c r="C319" s="678">
        <v>1520</v>
      </c>
      <c r="D319" s="678">
        <v>1470</v>
      </c>
      <c r="E319" s="678">
        <v>1440</v>
      </c>
      <c r="F319" s="696">
        <v>370</v>
      </c>
      <c r="H319" s="644"/>
    </row>
    <row r="320" spans="1:8" s="672" customFormat="1" ht="14.25" customHeight="1" thickBot="1">
      <c r="A320" s="684" t="s">
        <v>277</v>
      </c>
      <c r="B320" s="678" t="s">
        <v>171</v>
      </c>
      <c r="C320" s="678">
        <v>1360</v>
      </c>
      <c r="D320" s="678">
        <v>1300</v>
      </c>
      <c r="E320" s="678">
        <v>1270</v>
      </c>
      <c r="F320" s="704"/>
      <c r="H320" s="644"/>
    </row>
    <row r="321" spans="1:8" s="672" customFormat="1" ht="14.25" customHeight="1" thickBot="1">
      <c r="A321" s="684" t="s">
        <v>277</v>
      </c>
      <c r="B321" s="678" t="s">
        <v>183</v>
      </c>
      <c r="C321" s="678">
        <v>1750</v>
      </c>
      <c r="D321" s="678">
        <v>1690</v>
      </c>
      <c r="E321" s="678">
        <v>1660</v>
      </c>
      <c r="F321" s="704"/>
      <c r="H321" s="644"/>
    </row>
    <row r="322" spans="1:8" s="672" customFormat="1" ht="14.25" customHeight="1" thickBot="1">
      <c r="A322" s="684" t="s">
        <v>277</v>
      </c>
      <c r="B322" s="678" t="s">
        <v>195</v>
      </c>
      <c r="C322" s="678">
        <v>1650</v>
      </c>
      <c r="D322" s="678">
        <v>1610</v>
      </c>
      <c r="E322" s="678">
        <v>1580</v>
      </c>
      <c r="F322" s="696">
        <v>500</v>
      </c>
      <c r="H322" s="644"/>
    </row>
    <row r="323" spans="1:8" s="672" customFormat="1" ht="14.25" customHeight="1" thickBot="1">
      <c r="A323" s="684" t="s">
        <v>277</v>
      </c>
      <c r="B323" s="678" t="s">
        <v>207</v>
      </c>
      <c r="C323" s="678">
        <v>1780</v>
      </c>
      <c r="D323" s="678">
        <v>1740</v>
      </c>
      <c r="E323" s="678">
        <v>1720</v>
      </c>
      <c r="F323" s="704"/>
      <c r="H323" s="644"/>
    </row>
    <row r="324" spans="1:8" s="672" customFormat="1" ht="14.25" customHeight="1" thickBot="1">
      <c r="A324" s="684" t="s">
        <v>277</v>
      </c>
      <c r="B324" s="678" t="s">
        <v>219</v>
      </c>
      <c r="C324" s="678">
        <v>1650</v>
      </c>
      <c r="D324" s="678">
        <v>1610</v>
      </c>
      <c r="E324" s="678">
        <v>1580</v>
      </c>
      <c r="F324" s="704"/>
      <c r="H324" s="644"/>
    </row>
    <row r="325" spans="1:8" s="672" customFormat="1" ht="14.25" customHeight="1" thickBot="1">
      <c r="A325" s="684" t="s">
        <v>277</v>
      </c>
      <c r="B325" s="678" t="s">
        <v>232</v>
      </c>
      <c r="C325" s="678">
        <v>1330</v>
      </c>
      <c r="D325" s="678">
        <v>1270</v>
      </c>
      <c r="E325" s="678">
        <v>1240</v>
      </c>
      <c r="F325" s="696">
        <v>430</v>
      </c>
      <c r="H325" s="644"/>
    </row>
    <row r="326" spans="1:8" s="672" customFormat="1" ht="14.25" customHeight="1" thickBot="1">
      <c r="A326" s="684" t="s">
        <v>277</v>
      </c>
      <c r="B326" s="678" t="s">
        <v>243</v>
      </c>
      <c r="C326" s="678">
        <v>1470</v>
      </c>
      <c r="D326" s="678">
        <v>1430</v>
      </c>
      <c r="E326" s="678">
        <v>1400</v>
      </c>
      <c r="F326" s="704"/>
      <c r="H326" s="644"/>
    </row>
    <row r="327" spans="1:8" s="672" customFormat="1" ht="14.25" customHeight="1" thickBot="1">
      <c r="A327" s="684" t="s">
        <v>277</v>
      </c>
      <c r="B327" s="678" t="s">
        <v>254</v>
      </c>
      <c r="C327" s="678">
        <v>1420</v>
      </c>
      <c r="D327" s="678">
        <v>1380</v>
      </c>
      <c r="E327" s="678">
        <v>1360</v>
      </c>
      <c r="F327" s="696">
        <v>420</v>
      </c>
      <c r="H327" s="644"/>
    </row>
    <row r="328" spans="1:8" s="672" customFormat="1" ht="14.25" customHeight="1" thickBot="1">
      <c r="A328" s="684" t="s">
        <v>277</v>
      </c>
      <c r="B328" s="678" t="s">
        <v>265</v>
      </c>
      <c r="C328" s="678">
        <v>1400</v>
      </c>
      <c r="D328" s="678">
        <v>1360</v>
      </c>
      <c r="E328" s="678">
        <v>1330</v>
      </c>
      <c r="F328" s="696">
        <v>460</v>
      </c>
      <c r="H328" s="644"/>
    </row>
    <row r="329" spans="1:8" s="672" customFormat="1" ht="14.25" customHeight="1" thickBot="1">
      <c r="A329" s="684" t="s">
        <v>277</v>
      </c>
      <c r="B329" s="678" t="s">
        <v>276</v>
      </c>
      <c r="C329" s="678">
        <v>1640</v>
      </c>
      <c r="D329" s="678">
        <v>1610</v>
      </c>
      <c r="E329" s="678">
        <v>1580</v>
      </c>
      <c r="F329" s="696">
        <v>410</v>
      </c>
      <c r="H329" s="644"/>
    </row>
    <row r="330" spans="1:8" s="672" customFormat="1" ht="14.25" customHeight="1" thickBot="1">
      <c r="A330" s="684" t="s">
        <v>277</v>
      </c>
      <c r="B330" s="678" t="s">
        <v>287</v>
      </c>
      <c r="C330" s="678">
        <v>1260</v>
      </c>
      <c r="D330" s="678">
        <v>1220</v>
      </c>
      <c r="E330" s="678">
        <v>1200</v>
      </c>
      <c r="F330" s="704"/>
      <c r="H330" s="644"/>
    </row>
    <row r="331" spans="1:8" s="672" customFormat="1" ht="14.25" customHeight="1" thickBot="1">
      <c r="A331" s="684" t="s">
        <v>277</v>
      </c>
      <c r="B331" s="678" t="s">
        <v>298</v>
      </c>
      <c r="C331" s="678">
        <v>1620</v>
      </c>
      <c r="D331" s="678">
        <v>1560</v>
      </c>
      <c r="E331" s="678">
        <v>1530</v>
      </c>
      <c r="F331" s="696">
        <v>490</v>
      </c>
      <c r="H331" s="644"/>
    </row>
    <row r="332" spans="1:8" s="672" customFormat="1" ht="14.25" customHeight="1" thickBot="1">
      <c r="A332" s="684" t="s">
        <v>277</v>
      </c>
      <c r="B332" s="678" t="s">
        <v>308</v>
      </c>
      <c r="C332" s="678">
        <v>1520</v>
      </c>
      <c r="D332" s="678">
        <v>1470</v>
      </c>
      <c r="E332" s="678">
        <v>1440</v>
      </c>
      <c r="F332" s="696">
        <v>440</v>
      </c>
      <c r="H332" s="644"/>
    </row>
    <row r="333" spans="1:8" s="672" customFormat="1" ht="14.25" customHeight="1" thickBot="1">
      <c r="A333" s="684" t="s">
        <v>277</v>
      </c>
      <c r="B333" s="678" t="s">
        <v>318</v>
      </c>
      <c r="C333" s="678">
        <v>1370</v>
      </c>
      <c r="D333" s="678">
        <v>1320</v>
      </c>
      <c r="E333" s="678">
        <v>1300</v>
      </c>
      <c r="F333" s="696">
        <v>460</v>
      </c>
      <c r="H333" s="644"/>
    </row>
    <row r="334" spans="1:8" s="672" customFormat="1" ht="14.25" customHeight="1" thickBot="1">
      <c r="A334" s="684" t="s">
        <v>277</v>
      </c>
      <c r="B334" s="678" t="s">
        <v>328</v>
      </c>
      <c r="C334" s="678">
        <v>1410</v>
      </c>
      <c r="D334" s="678">
        <v>1340</v>
      </c>
      <c r="E334" s="678">
        <v>1310</v>
      </c>
      <c r="F334" s="696">
        <v>410</v>
      </c>
      <c r="H334" s="644"/>
    </row>
    <row r="335" spans="1:8" s="672" customFormat="1" ht="14.25" customHeight="1" thickBot="1">
      <c r="A335" s="684" t="s">
        <v>277</v>
      </c>
      <c r="B335" s="678" t="s">
        <v>338</v>
      </c>
      <c r="C335" s="678">
        <v>1260</v>
      </c>
      <c r="D335" s="678">
        <v>1220</v>
      </c>
      <c r="E335" s="678">
        <v>1200</v>
      </c>
      <c r="F335" s="704"/>
      <c r="H335" s="644"/>
    </row>
    <row r="336" spans="1:8" s="672" customFormat="1" ht="14.25" customHeight="1" thickBot="1">
      <c r="A336" s="684" t="s">
        <v>277</v>
      </c>
      <c r="B336" s="678" t="s">
        <v>347</v>
      </c>
      <c r="C336" s="678">
        <v>1160</v>
      </c>
      <c r="D336" s="678">
        <v>1140</v>
      </c>
      <c r="E336" s="678">
        <v>1120</v>
      </c>
      <c r="F336" s="696">
        <v>430</v>
      </c>
      <c r="H336" s="644"/>
    </row>
    <row r="337" spans="1:8" s="672" customFormat="1" ht="14.25" customHeight="1" thickBot="1">
      <c r="A337" s="684" t="s">
        <v>277</v>
      </c>
      <c r="B337" s="694" t="s">
        <v>356</v>
      </c>
      <c r="C337" s="694"/>
      <c r="D337" s="694"/>
      <c r="E337" s="694"/>
      <c r="F337" s="703">
        <v>380</v>
      </c>
      <c r="H337" s="644"/>
    </row>
    <row r="338" spans="1:8" s="672" customFormat="1" ht="14.25" customHeight="1" thickBot="1">
      <c r="A338" s="684" t="s">
        <v>288</v>
      </c>
      <c r="B338" s="685" t="s">
        <v>498</v>
      </c>
      <c r="C338" s="685">
        <v>880</v>
      </c>
      <c r="D338" s="685">
        <v>850</v>
      </c>
      <c r="E338" s="685">
        <v>830</v>
      </c>
      <c r="F338" s="706"/>
      <c r="H338" s="644"/>
    </row>
    <row r="339" spans="1:8" s="672" customFormat="1" ht="14.25" customHeight="1" thickBot="1">
      <c r="A339" s="684" t="s">
        <v>288</v>
      </c>
      <c r="B339" s="678" t="s">
        <v>499</v>
      </c>
      <c r="C339" s="678">
        <v>830</v>
      </c>
      <c r="D339" s="678">
        <v>800</v>
      </c>
      <c r="E339" s="678">
        <v>780</v>
      </c>
      <c r="F339" s="704"/>
      <c r="H339" s="644"/>
    </row>
    <row r="340" spans="1:8" s="672" customFormat="1" ht="14.25" customHeight="1" thickBot="1">
      <c r="A340" s="684" t="s">
        <v>288</v>
      </c>
      <c r="B340" s="678" t="s">
        <v>500</v>
      </c>
      <c r="C340" s="678">
        <v>980</v>
      </c>
      <c r="D340" s="678">
        <v>950</v>
      </c>
      <c r="E340" s="678">
        <v>920</v>
      </c>
      <c r="F340" s="704"/>
      <c r="H340" s="644"/>
    </row>
    <row r="341" spans="1:8" s="672" customFormat="1" ht="14.25" customHeight="1" thickBot="1">
      <c r="A341" s="684" t="s">
        <v>288</v>
      </c>
      <c r="B341" s="678" t="s">
        <v>501</v>
      </c>
      <c r="C341" s="678">
        <v>760</v>
      </c>
      <c r="D341" s="678">
        <v>720</v>
      </c>
      <c r="E341" s="678">
        <v>690</v>
      </c>
      <c r="F341" s="696">
        <v>350</v>
      </c>
      <c r="H341" s="644"/>
    </row>
    <row r="342" spans="1:8" s="672" customFormat="1" ht="14.25" customHeight="1" thickBot="1">
      <c r="A342" s="684" t="s">
        <v>288</v>
      </c>
      <c r="B342" s="678" t="s">
        <v>184</v>
      </c>
      <c r="C342" s="678">
        <v>910</v>
      </c>
      <c r="D342" s="678">
        <v>870</v>
      </c>
      <c r="E342" s="678">
        <v>850</v>
      </c>
      <c r="F342" s="696">
        <v>370</v>
      </c>
      <c r="H342" s="644"/>
    </row>
    <row r="343" spans="1:8" s="672" customFormat="1" ht="14.25" customHeight="1" thickBot="1">
      <c r="A343" s="684" t="s">
        <v>288</v>
      </c>
      <c r="B343" s="678" t="s">
        <v>196</v>
      </c>
      <c r="C343" s="678">
        <v>800</v>
      </c>
      <c r="D343" s="678">
        <v>760</v>
      </c>
      <c r="E343" s="678">
        <v>730</v>
      </c>
      <c r="F343" s="696">
        <v>340</v>
      </c>
      <c r="H343" s="644"/>
    </row>
    <row r="344" spans="1:8" s="672" customFormat="1" ht="14.25" customHeight="1" thickBot="1">
      <c r="A344" s="684" t="s">
        <v>288</v>
      </c>
      <c r="B344" s="694" t="s">
        <v>208</v>
      </c>
      <c r="C344" s="694">
        <v>720</v>
      </c>
      <c r="D344" s="694">
        <v>690</v>
      </c>
      <c r="E344" s="694">
        <v>660</v>
      </c>
      <c r="F344" s="703">
        <v>300</v>
      </c>
      <c r="H344" s="64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040"/>
  </cols>
  <sheetData>
    <row r="1" spans="1:13" ht="19.5" customHeight="1" thickBot="1">
      <c r="A1" s="3046" t="s">
        <v>502</v>
      </c>
      <c r="B1" s="3047" t="s">
        <v>106</v>
      </c>
      <c r="C1" s="3047" t="s">
        <v>107</v>
      </c>
      <c r="D1" s="3047" t="s">
        <v>108</v>
      </c>
      <c r="E1" s="3047" t="s">
        <v>109</v>
      </c>
      <c r="F1" s="3047" t="s">
        <v>110</v>
      </c>
      <c r="G1" s="3047" t="s">
        <v>111</v>
      </c>
      <c r="H1" s="3047" t="s">
        <v>112</v>
      </c>
      <c r="I1" s="3047" t="s">
        <v>113</v>
      </c>
      <c r="J1" s="3047" t="s">
        <v>114</v>
      </c>
      <c r="K1" s="3047" t="s">
        <v>115</v>
      </c>
      <c r="L1" s="3047" t="s">
        <v>116</v>
      </c>
      <c r="M1" s="3048" t="s">
        <v>117</v>
      </c>
    </row>
    <row r="2" spans="1:13" ht="19.5" customHeight="1">
      <c r="A2" s="3000" t="s">
        <v>2803</v>
      </c>
      <c r="B2" s="3001">
        <v>3.5</v>
      </c>
      <c r="C2" s="3001">
        <v>3.5</v>
      </c>
      <c r="D2" s="3002">
        <v>2.5</v>
      </c>
      <c r="E2" s="3002">
        <v>2.5</v>
      </c>
      <c r="F2" s="3002">
        <v>2.5</v>
      </c>
      <c r="G2" s="3002">
        <v>2.5</v>
      </c>
      <c r="H2" s="3002">
        <v>2.5</v>
      </c>
      <c r="I2" s="3001">
        <v>2</v>
      </c>
      <c r="J2" s="3001">
        <v>2</v>
      </c>
      <c r="K2" s="3001">
        <v>2</v>
      </c>
      <c r="L2" s="3001">
        <v>2</v>
      </c>
      <c r="M2" s="3003">
        <v>2</v>
      </c>
    </row>
    <row r="3" spans="1:13" ht="19.5" customHeight="1">
      <c r="A3" s="3004" t="s">
        <v>2804</v>
      </c>
      <c r="B3" s="3005">
        <v>3.5</v>
      </c>
      <c r="C3" s="3005">
        <v>3.5</v>
      </c>
      <c r="D3" s="3006">
        <v>2.5</v>
      </c>
      <c r="E3" s="3006">
        <v>2.5</v>
      </c>
      <c r="F3" s="3006">
        <v>2.5</v>
      </c>
      <c r="G3" s="3006">
        <v>2.5</v>
      </c>
      <c r="H3" s="3006">
        <v>2.5</v>
      </c>
      <c r="I3" s="3005">
        <v>2</v>
      </c>
      <c r="J3" s="3005">
        <v>2</v>
      </c>
      <c r="K3" s="3005">
        <v>2</v>
      </c>
      <c r="L3" s="3005">
        <v>2</v>
      </c>
      <c r="M3" s="3007">
        <v>2</v>
      </c>
    </row>
    <row r="4" spans="1:13" ht="19.5" customHeight="1">
      <c r="A4" s="3004" t="s">
        <v>2805</v>
      </c>
      <c r="B4" s="3006">
        <v>2.5</v>
      </c>
      <c r="C4" s="3006">
        <v>2.5</v>
      </c>
      <c r="D4" s="3006">
        <v>2.5</v>
      </c>
      <c r="E4" s="3006">
        <v>2.5</v>
      </c>
      <c r="F4" s="3006">
        <v>2.5</v>
      </c>
      <c r="G4" s="3006">
        <v>2.5</v>
      </c>
      <c r="H4" s="3006">
        <v>2.5</v>
      </c>
      <c r="I4" s="3005">
        <v>1.5</v>
      </c>
      <c r="J4" s="3005">
        <v>1.5</v>
      </c>
      <c r="K4" s="3005">
        <v>1.5</v>
      </c>
      <c r="L4" s="3005">
        <v>1.5</v>
      </c>
      <c r="M4" s="3007">
        <v>1.5</v>
      </c>
    </row>
    <row r="5" spans="1:13" ht="19.5" customHeight="1">
      <c r="A5" s="3008" t="s">
        <v>2806</v>
      </c>
      <c r="B5" s="3005">
        <v>1.5</v>
      </c>
      <c r="C5" s="3005">
        <v>1.5</v>
      </c>
      <c r="D5" s="3005">
        <v>1.5</v>
      </c>
      <c r="E5" s="3005">
        <v>1.5</v>
      </c>
      <c r="F5" s="3005">
        <v>1.5</v>
      </c>
      <c r="G5" s="3005">
        <v>1.2</v>
      </c>
      <c r="H5" s="3005">
        <v>1.2</v>
      </c>
      <c r="I5" s="3005">
        <v>1</v>
      </c>
      <c r="J5" s="3005">
        <v>1</v>
      </c>
      <c r="K5" s="3005">
        <v>1</v>
      </c>
      <c r="L5" s="3005">
        <v>1</v>
      </c>
      <c r="M5" s="3007">
        <v>1</v>
      </c>
    </row>
    <row r="6" spans="1:13" ht="19.5" customHeight="1">
      <c r="A6" s="3009" t="s">
        <v>2807</v>
      </c>
      <c r="B6" s="3010">
        <v>2.5</v>
      </c>
      <c r="C6" s="3010">
        <v>2.5</v>
      </c>
      <c r="D6" s="3010">
        <v>2</v>
      </c>
      <c r="E6" s="3010">
        <v>2</v>
      </c>
      <c r="F6" s="3010">
        <v>2</v>
      </c>
      <c r="G6" s="3010">
        <v>2</v>
      </c>
      <c r="H6" s="3010">
        <v>2</v>
      </c>
      <c r="I6" s="3011">
        <v>1.5</v>
      </c>
      <c r="J6" s="3011">
        <v>1.5</v>
      </c>
      <c r="K6" s="3011">
        <v>1.5</v>
      </c>
      <c r="L6" s="3011">
        <v>1.5</v>
      </c>
      <c r="M6" s="3012">
        <v>1.5</v>
      </c>
    </row>
    <row r="7" spans="1:13" ht="19.5" customHeight="1" thickBot="1">
      <c r="A7" s="3013" t="s">
        <v>2808</v>
      </c>
      <c r="B7" s="3014">
        <v>2.5</v>
      </c>
      <c r="C7" s="3014">
        <v>2.5</v>
      </c>
      <c r="D7" s="3014">
        <v>2</v>
      </c>
      <c r="E7" s="3014">
        <v>2</v>
      </c>
      <c r="F7" s="3014">
        <v>2</v>
      </c>
      <c r="G7" s="3014">
        <v>2</v>
      </c>
      <c r="H7" s="3014">
        <v>2</v>
      </c>
      <c r="I7" s="3015">
        <v>1.5</v>
      </c>
      <c r="J7" s="3015">
        <v>1.5</v>
      </c>
      <c r="K7" s="3015">
        <v>1.5</v>
      </c>
      <c r="L7" s="3015">
        <v>1.5</v>
      </c>
      <c r="M7" s="3016">
        <v>1.5</v>
      </c>
    </row>
    <row r="8" spans="1:13" ht="19.5" customHeight="1">
      <c r="A8" s="3039" t="s">
        <v>503</v>
      </c>
      <c r="B8" s="3017">
        <v>80</v>
      </c>
      <c r="C8" s="3017">
        <v>80</v>
      </c>
      <c r="D8" s="3017">
        <v>70</v>
      </c>
      <c r="E8" s="3017">
        <v>70</v>
      </c>
      <c r="F8" s="3017">
        <v>70</v>
      </c>
      <c r="G8" s="3017">
        <v>70</v>
      </c>
      <c r="H8" s="3017">
        <v>70</v>
      </c>
      <c r="I8" s="3017">
        <v>60</v>
      </c>
      <c r="J8" s="3017">
        <v>60</v>
      </c>
      <c r="K8" s="3017">
        <v>60</v>
      </c>
      <c r="L8" s="3017">
        <v>60</v>
      </c>
      <c r="M8" s="3018">
        <v>60</v>
      </c>
    </row>
    <row r="9" spans="1:13" ht="19.5" customHeight="1">
      <c r="A9" s="3041" t="s">
        <v>504</v>
      </c>
      <c r="B9" s="3019">
        <v>70</v>
      </c>
      <c r="C9" s="3019">
        <v>70</v>
      </c>
      <c r="D9" s="3019">
        <v>60</v>
      </c>
      <c r="E9" s="3019">
        <v>60</v>
      </c>
      <c r="F9" s="3019">
        <v>60</v>
      </c>
      <c r="G9" s="3019">
        <v>60</v>
      </c>
      <c r="H9" s="3019">
        <v>60</v>
      </c>
      <c r="I9" s="3019">
        <v>50</v>
      </c>
      <c r="J9" s="3019">
        <v>50</v>
      </c>
      <c r="K9" s="3019">
        <v>50</v>
      </c>
      <c r="L9" s="3019">
        <v>50</v>
      </c>
      <c r="M9" s="3020">
        <v>50</v>
      </c>
    </row>
    <row r="10" spans="1:13" ht="19.5" customHeight="1">
      <c r="A10" s="3041" t="s">
        <v>505</v>
      </c>
      <c r="B10" s="3019">
        <v>20</v>
      </c>
      <c r="C10" s="3019">
        <v>20</v>
      </c>
      <c r="D10" s="3019">
        <v>15</v>
      </c>
      <c r="E10" s="3019">
        <v>15</v>
      </c>
      <c r="F10" s="3019">
        <v>15</v>
      </c>
      <c r="G10" s="3019">
        <v>15</v>
      </c>
      <c r="H10" s="3019">
        <v>15</v>
      </c>
      <c r="I10" s="3019">
        <v>10</v>
      </c>
      <c r="J10" s="3019">
        <v>10</v>
      </c>
      <c r="K10" s="3019">
        <v>10</v>
      </c>
      <c r="L10" s="3019">
        <v>10</v>
      </c>
      <c r="M10" s="3020">
        <v>10</v>
      </c>
    </row>
    <row r="11" spans="1:13" ht="19.5" customHeight="1">
      <c r="A11" s="3041" t="s">
        <v>506</v>
      </c>
      <c r="B11" s="3019">
        <v>30</v>
      </c>
      <c r="C11" s="3019">
        <v>30</v>
      </c>
      <c r="D11" s="3019">
        <v>25</v>
      </c>
      <c r="E11" s="3019">
        <v>25</v>
      </c>
      <c r="F11" s="3019">
        <v>25</v>
      </c>
      <c r="G11" s="3019">
        <v>25</v>
      </c>
      <c r="H11" s="3019">
        <v>25</v>
      </c>
      <c r="I11" s="3019">
        <v>20</v>
      </c>
      <c r="J11" s="3019">
        <v>20</v>
      </c>
      <c r="K11" s="3019">
        <v>20</v>
      </c>
      <c r="L11" s="3019">
        <v>20</v>
      </c>
      <c r="M11" s="3020">
        <v>20</v>
      </c>
    </row>
    <row r="12" spans="1:13" ht="19.5" customHeight="1">
      <c r="A12" s="3041" t="s">
        <v>507</v>
      </c>
      <c r="B12" s="3019">
        <v>45</v>
      </c>
      <c r="C12" s="3019">
        <v>45</v>
      </c>
      <c r="D12" s="3019">
        <v>40</v>
      </c>
      <c r="E12" s="3019">
        <v>40</v>
      </c>
      <c r="F12" s="3019">
        <v>40</v>
      </c>
      <c r="G12" s="3019">
        <v>40</v>
      </c>
      <c r="H12" s="3019">
        <v>40</v>
      </c>
      <c r="I12" s="3019">
        <v>35</v>
      </c>
      <c r="J12" s="3019">
        <v>35</v>
      </c>
      <c r="K12" s="3019">
        <v>35</v>
      </c>
      <c r="L12" s="3019">
        <v>35</v>
      </c>
      <c r="M12" s="3020">
        <v>35</v>
      </c>
    </row>
    <row r="13" spans="1:13" ht="19.5" customHeight="1">
      <c r="A13" s="3041" t="s">
        <v>508</v>
      </c>
      <c r="B13" s="3019">
        <v>60</v>
      </c>
      <c r="C13" s="3019">
        <v>60</v>
      </c>
      <c r="D13" s="3019">
        <v>50</v>
      </c>
      <c r="E13" s="3019">
        <v>50</v>
      </c>
      <c r="F13" s="3019">
        <v>50</v>
      </c>
      <c r="G13" s="3019">
        <v>50</v>
      </c>
      <c r="H13" s="3019">
        <v>50</v>
      </c>
      <c r="I13" s="3019">
        <v>40</v>
      </c>
      <c r="J13" s="3019">
        <v>40</v>
      </c>
      <c r="K13" s="3019">
        <v>40</v>
      </c>
      <c r="L13" s="3019">
        <v>40</v>
      </c>
      <c r="M13" s="3020">
        <v>40</v>
      </c>
    </row>
    <row r="14" spans="1:13" ht="19.5" customHeight="1">
      <c r="A14" s="3041" t="s">
        <v>509</v>
      </c>
      <c r="B14" s="3019">
        <v>50</v>
      </c>
      <c r="C14" s="3019">
        <v>50</v>
      </c>
      <c r="D14" s="3019">
        <v>40</v>
      </c>
      <c r="E14" s="3019">
        <v>40</v>
      </c>
      <c r="F14" s="3019">
        <v>40</v>
      </c>
      <c r="G14" s="3019">
        <v>40</v>
      </c>
      <c r="H14" s="3019">
        <v>40</v>
      </c>
      <c r="I14" s="3019">
        <v>30</v>
      </c>
      <c r="J14" s="3019">
        <v>30</v>
      </c>
      <c r="K14" s="3019">
        <v>30</v>
      </c>
      <c r="L14" s="3019">
        <v>30</v>
      </c>
      <c r="M14" s="3020">
        <v>30</v>
      </c>
    </row>
    <row r="15" spans="1:13" ht="19.5" customHeight="1">
      <c r="A15" s="3042" t="s">
        <v>510</v>
      </c>
      <c r="B15" s="3021">
        <v>20</v>
      </c>
      <c r="C15" s="3021">
        <v>20</v>
      </c>
      <c r="D15" s="3021">
        <v>15</v>
      </c>
      <c r="E15" s="3021">
        <v>15</v>
      </c>
      <c r="F15" s="3021">
        <v>15</v>
      </c>
      <c r="G15" s="3021">
        <v>15</v>
      </c>
      <c r="H15" s="3021">
        <v>15</v>
      </c>
      <c r="I15" s="3021">
        <v>10</v>
      </c>
      <c r="J15" s="3021">
        <v>10</v>
      </c>
      <c r="K15" s="3021">
        <v>10</v>
      </c>
      <c r="L15" s="3021">
        <v>10</v>
      </c>
      <c r="M15" s="3022">
        <v>10</v>
      </c>
    </row>
    <row r="16" spans="1:13" ht="19.5" customHeight="1">
      <c r="A16" s="3019" t="s">
        <v>511</v>
      </c>
      <c r="B16" s="3043">
        <v>0</v>
      </c>
      <c r="C16" s="3043">
        <v>0</v>
      </c>
      <c r="D16" s="3043">
        <v>0</v>
      </c>
      <c r="E16" s="3043">
        <v>0</v>
      </c>
      <c r="F16" s="3043">
        <v>0</v>
      </c>
      <c r="G16" s="3043">
        <v>0</v>
      </c>
      <c r="H16" s="3043">
        <v>0</v>
      </c>
      <c r="I16" s="3043">
        <v>0</v>
      </c>
      <c r="J16" s="3043">
        <v>0</v>
      </c>
      <c r="K16" s="3043">
        <v>0</v>
      </c>
      <c r="L16" s="3043">
        <v>0</v>
      </c>
      <c r="M16" s="3043">
        <v>0</v>
      </c>
    </row>
    <row r="17" spans="1:13" ht="19.5" customHeight="1">
      <c r="A17" s="3019" t="s">
        <v>2478</v>
      </c>
      <c r="B17" s="3043">
        <f>SUM(B8:B15)</f>
        <v>375</v>
      </c>
      <c r="C17" s="3043">
        <f t="shared" ref="C17:H17" si="0">SUM(C8:C15)</f>
        <v>375</v>
      </c>
      <c r="D17" s="3043">
        <f t="shared" si="0"/>
        <v>315</v>
      </c>
      <c r="E17" s="3043">
        <f t="shared" si="0"/>
        <v>315</v>
      </c>
      <c r="F17" s="3043">
        <f t="shared" si="0"/>
        <v>315</v>
      </c>
      <c r="G17" s="3043">
        <f t="shared" si="0"/>
        <v>315</v>
      </c>
      <c r="H17" s="3043">
        <f t="shared" si="0"/>
        <v>315</v>
      </c>
      <c r="I17" s="3043">
        <f>SUM(I8:I12,I15)</f>
        <v>185</v>
      </c>
      <c r="J17" s="3043">
        <f t="shared" ref="J17:M17" si="1">SUM(J8:J12,J15)</f>
        <v>185</v>
      </c>
      <c r="K17" s="3043">
        <f t="shared" si="1"/>
        <v>185</v>
      </c>
      <c r="L17" s="3043">
        <f t="shared" si="1"/>
        <v>185</v>
      </c>
      <c r="M17" s="3043">
        <f t="shared" si="1"/>
        <v>185</v>
      </c>
    </row>
    <row r="18" spans="1:13" ht="19.5" customHeight="1">
      <c r="A18" s="3049" t="s">
        <v>512</v>
      </c>
      <c r="B18" s="3049"/>
      <c r="C18" s="3050"/>
      <c r="D18" s="3050"/>
      <c r="E18" s="3049"/>
      <c r="F18" s="3050"/>
      <c r="G18" s="3050"/>
    </row>
    <row r="19" spans="1:13" ht="19.5" customHeight="1" thickBot="1">
      <c r="A19" s="3021" t="s">
        <v>2809</v>
      </c>
      <c r="B19" s="3024" t="s">
        <v>2810</v>
      </c>
      <c r="C19" s="3051" t="s">
        <v>561</v>
      </c>
      <c r="D19" s="3023"/>
      <c r="E19" s="3019" t="s">
        <v>3027</v>
      </c>
      <c r="F19" s="3052"/>
      <c r="G19" s="3052"/>
    </row>
    <row r="20" spans="1:13" ht="19.5" customHeight="1">
      <c r="A20" s="3443" t="s">
        <v>2803</v>
      </c>
      <c r="B20" s="3446" t="s">
        <v>2811</v>
      </c>
      <c r="C20" s="3025" t="s">
        <v>2812</v>
      </c>
      <c r="D20" s="3026"/>
      <c r="E20" s="3027">
        <v>1</v>
      </c>
      <c r="F20" s="3028" t="s">
        <v>2813</v>
      </c>
      <c r="G20" s="3028"/>
    </row>
    <row r="21" spans="1:13" ht="19.5" customHeight="1">
      <c r="A21" s="3444"/>
      <c r="B21" s="3441"/>
      <c r="C21" s="708" t="s">
        <v>2814</v>
      </c>
      <c r="D21" s="709"/>
      <c r="E21" s="3029">
        <v>1</v>
      </c>
      <c r="F21" s="3028" t="s">
        <v>2815</v>
      </c>
      <c r="G21" s="3028"/>
    </row>
    <row r="22" spans="1:13" ht="19.5" customHeight="1">
      <c r="A22" s="3444"/>
      <c r="B22" s="3441"/>
      <c r="C22" s="708" t="s">
        <v>2816</v>
      </c>
      <c r="D22" s="709"/>
      <c r="E22" s="3029">
        <v>0.9</v>
      </c>
      <c r="F22" s="3028" t="s">
        <v>2817</v>
      </c>
      <c r="G22" s="3028"/>
    </row>
    <row r="23" spans="1:13" ht="19.5" customHeight="1">
      <c r="A23" s="3444"/>
      <c r="B23" s="3441"/>
      <c r="C23" s="708" t="s">
        <v>2818</v>
      </c>
      <c r="D23" s="709"/>
      <c r="E23" s="3029">
        <v>0.9</v>
      </c>
      <c r="F23" s="3028" t="s">
        <v>2819</v>
      </c>
      <c r="G23" s="3028"/>
    </row>
    <row r="24" spans="1:13" ht="19.5" customHeight="1">
      <c r="A24" s="3444"/>
      <c r="B24" s="3441"/>
      <c r="C24" s="708" t="s">
        <v>2820</v>
      </c>
      <c r="D24" s="709"/>
      <c r="E24" s="3029">
        <v>0.8</v>
      </c>
      <c r="F24" s="3028" t="s">
        <v>2821</v>
      </c>
      <c r="G24" s="3028"/>
    </row>
    <row r="25" spans="1:13" ht="19.5" customHeight="1" thickBot="1">
      <c r="A25" s="3445"/>
      <c r="B25" s="3447"/>
      <c r="C25" s="3030" t="s">
        <v>2822</v>
      </c>
      <c r="D25" s="3031"/>
      <c r="E25" s="3032">
        <v>0.8</v>
      </c>
      <c r="F25" s="3028" t="s">
        <v>2823</v>
      </c>
      <c r="G25" s="3028"/>
    </row>
    <row r="26" spans="1:13" ht="19.5" customHeight="1" thickBot="1">
      <c r="A26" s="3033" t="s">
        <v>2804</v>
      </c>
      <c r="B26" s="3034" t="s">
        <v>2811</v>
      </c>
      <c r="C26" s="3035" t="s">
        <v>2824</v>
      </c>
      <c r="D26" s="3036"/>
      <c r="E26" s="3037">
        <v>1</v>
      </c>
      <c r="F26" s="3028" t="s">
        <v>2865</v>
      </c>
      <c r="G26" s="3028"/>
    </row>
    <row r="27" spans="1:13" ht="19.5" customHeight="1">
      <c r="A27" s="3448" t="s">
        <v>2808</v>
      </c>
      <c r="B27" s="3446" t="s">
        <v>2808</v>
      </c>
      <c r="C27" s="3025" t="s">
        <v>2825</v>
      </c>
      <c r="D27" s="3026"/>
      <c r="E27" s="3027">
        <v>1</v>
      </c>
      <c r="F27" s="3028" t="s">
        <v>2866</v>
      </c>
      <c r="G27" s="3028"/>
    </row>
    <row r="28" spans="1:13" ht="19.5" customHeight="1">
      <c r="A28" s="3449"/>
      <c r="B28" s="3441"/>
      <c r="C28" s="708" t="s">
        <v>2826</v>
      </c>
      <c r="D28" s="709"/>
      <c r="E28" s="3029">
        <v>1</v>
      </c>
      <c r="F28" s="3028" t="s">
        <v>2867</v>
      </c>
      <c r="G28" s="3028"/>
    </row>
    <row r="29" spans="1:13" ht="19.5" customHeight="1">
      <c r="A29" s="3449"/>
      <c r="B29" s="3441"/>
      <c r="C29" s="708" t="s">
        <v>2827</v>
      </c>
      <c r="D29" s="709"/>
      <c r="E29" s="3029">
        <v>0.8</v>
      </c>
      <c r="F29" s="3028" t="s">
        <v>2868</v>
      </c>
      <c r="G29" s="3028"/>
    </row>
    <row r="30" spans="1:13" ht="19.5" customHeight="1">
      <c r="A30" s="3449"/>
      <c r="B30" s="3441"/>
      <c r="C30" s="708" t="s">
        <v>2828</v>
      </c>
      <c r="D30" s="709"/>
      <c r="E30" s="3029">
        <v>0.8</v>
      </c>
      <c r="F30" s="3028" t="s">
        <v>2869</v>
      </c>
      <c r="G30" s="3028"/>
    </row>
    <row r="31" spans="1:13" ht="19.5" customHeight="1">
      <c r="A31" s="3449"/>
      <c r="B31" s="3441"/>
      <c r="C31" s="708" t="s">
        <v>2829</v>
      </c>
      <c r="D31" s="709"/>
      <c r="E31" s="3029">
        <v>0.8</v>
      </c>
      <c r="F31" s="3028" t="s">
        <v>2870</v>
      </c>
      <c r="G31" s="3028"/>
    </row>
    <row r="32" spans="1:13" ht="19.5" customHeight="1">
      <c r="A32" s="3449"/>
      <c r="B32" s="3441"/>
      <c r="C32" s="708" t="s">
        <v>2830</v>
      </c>
      <c r="D32" s="709"/>
      <c r="E32" s="3029">
        <v>0.7</v>
      </c>
      <c r="F32" s="3028" t="s">
        <v>2871</v>
      </c>
      <c r="G32" s="3028"/>
    </row>
    <row r="33" spans="1:7" ht="19.5" customHeight="1">
      <c r="A33" s="3449"/>
      <c r="B33" s="3441"/>
      <c r="C33" s="708" t="s">
        <v>2831</v>
      </c>
      <c r="D33" s="709"/>
      <c r="E33" s="3029">
        <v>0.8</v>
      </c>
      <c r="F33" s="3028" t="s">
        <v>2872</v>
      </c>
      <c r="G33" s="3028"/>
    </row>
    <row r="34" spans="1:7" ht="19.5" customHeight="1">
      <c r="A34" s="3449"/>
      <c r="B34" s="3441"/>
      <c r="C34" s="708" t="s">
        <v>2832</v>
      </c>
      <c r="D34" s="709"/>
      <c r="E34" s="3029">
        <v>0.6</v>
      </c>
      <c r="F34" s="3028" t="s">
        <v>2873</v>
      </c>
      <c r="G34" s="3028"/>
    </row>
    <row r="35" spans="1:7" ht="19.5" customHeight="1">
      <c r="A35" s="3449"/>
      <c r="B35" s="3441"/>
      <c r="C35" s="708" t="s">
        <v>2833</v>
      </c>
      <c r="D35" s="709"/>
      <c r="E35" s="3029">
        <v>0.2</v>
      </c>
      <c r="F35" s="3028" t="s">
        <v>2874</v>
      </c>
      <c r="G35" s="3028"/>
    </row>
    <row r="36" spans="1:7" ht="19.5" customHeight="1">
      <c r="A36" s="3449"/>
      <c r="B36" s="3441"/>
      <c r="C36" s="708" t="s">
        <v>2834</v>
      </c>
      <c r="D36" s="709"/>
      <c r="E36" s="3029">
        <v>0.2</v>
      </c>
      <c r="F36" s="3028" t="s">
        <v>2875</v>
      </c>
      <c r="G36" s="3028"/>
    </row>
    <row r="37" spans="1:7" ht="19.5" customHeight="1">
      <c r="A37" s="3449"/>
      <c r="B37" s="3440" t="s">
        <v>2835</v>
      </c>
      <c r="C37" s="708" t="s">
        <v>2836</v>
      </c>
      <c r="D37" s="709"/>
      <c r="E37" s="3029">
        <v>0.6</v>
      </c>
      <c r="F37" s="3028" t="s">
        <v>2876</v>
      </c>
      <c r="G37" s="3028"/>
    </row>
    <row r="38" spans="1:7" ht="19.5" customHeight="1">
      <c r="A38" s="3449"/>
      <c r="B38" s="3441"/>
      <c r="C38" s="708" t="s">
        <v>2837</v>
      </c>
      <c r="D38" s="709"/>
      <c r="E38" s="3029">
        <v>0.6</v>
      </c>
      <c r="F38" s="3028" t="s">
        <v>2877</v>
      </c>
      <c r="G38" s="3028"/>
    </row>
    <row r="39" spans="1:7" ht="19.5" customHeight="1" thickBot="1">
      <c r="A39" s="3450"/>
      <c r="B39" s="3447"/>
      <c r="C39" s="3030" t="s">
        <v>2838</v>
      </c>
      <c r="D39" s="3031"/>
      <c r="E39" s="3032">
        <v>0.6</v>
      </c>
      <c r="F39" s="3028" t="s">
        <v>2878</v>
      </c>
      <c r="G39" s="3028"/>
    </row>
    <row r="40" spans="1:7" ht="19.5" customHeight="1" thickBot="1">
      <c r="A40" s="3033" t="s">
        <v>2839</v>
      </c>
      <c r="B40" s="3034" t="s">
        <v>2839</v>
      </c>
      <c r="C40" s="3035" t="s">
        <v>2840</v>
      </c>
      <c r="D40" s="3036"/>
      <c r="E40" s="3037">
        <v>1</v>
      </c>
      <c r="F40" s="3028" t="s">
        <v>2879</v>
      </c>
      <c r="G40" s="3028"/>
    </row>
    <row r="41" spans="1:7" ht="19.5" customHeight="1">
      <c r="A41" s="3443" t="s">
        <v>2841</v>
      </c>
      <c r="B41" s="3446" t="s">
        <v>2842</v>
      </c>
      <c r="C41" s="3025" t="s">
        <v>2843</v>
      </c>
      <c r="D41" s="3026"/>
      <c r="E41" s="3027">
        <v>1</v>
      </c>
      <c r="F41" s="3028" t="s">
        <v>2844</v>
      </c>
      <c r="G41" s="3028"/>
    </row>
    <row r="42" spans="1:7" ht="19.5" customHeight="1">
      <c r="A42" s="3444"/>
      <c r="B42" s="3441"/>
      <c r="C42" s="708" t="s">
        <v>2845</v>
      </c>
      <c r="D42" s="709"/>
      <c r="E42" s="3029">
        <v>1</v>
      </c>
      <c r="F42" s="3028" t="s">
        <v>2846</v>
      </c>
      <c r="G42" s="3028"/>
    </row>
    <row r="43" spans="1:7" ht="19.5" customHeight="1">
      <c r="A43" s="3444"/>
      <c r="B43" s="3442"/>
      <c r="C43" s="708" t="s">
        <v>2847</v>
      </c>
      <c r="D43" s="709"/>
      <c r="E43" s="3029">
        <v>1.5</v>
      </c>
      <c r="F43" s="3028" t="s">
        <v>2848</v>
      </c>
      <c r="G43" s="3028"/>
    </row>
    <row r="44" spans="1:7" ht="19.5" customHeight="1">
      <c r="A44" s="3444"/>
      <c r="B44" s="3038" t="s">
        <v>2808</v>
      </c>
      <c r="C44" s="708" t="s">
        <v>2807</v>
      </c>
      <c r="D44" s="709"/>
      <c r="E44" s="3029">
        <v>2</v>
      </c>
      <c r="F44" s="3028" t="s">
        <v>2849</v>
      </c>
      <c r="G44" s="3028"/>
    </row>
    <row r="45" spans="1:7" ht="19.5" customHeight="1">
      <c r="A45" s="3444"/>
      <c r="B45" s="3440" t="s">
        <v>2850</v>
      </c>
      <c r="C45" s="708" t="s">
        <v>2851</v>
      </c>
      <c r="D45" s="709"/>
      <c r="E45" s="3029">
        <v>1</v>
      </c>
      <c r="F45" s="3028" t="s">
        <v>2852</v>
      </c>
      <c r="G45" s="3028"/>
    </row>
    <row r="46" spans="1:7" ht="19.5" customHeight="1">
      <c r="A46" s="3444"/>
      <c r="B46" s="3441"/>
      <c r="C46" s="708" t="s">
        <v>2853</v>
      </c>
      <c r="D46" s="709"/>
      <c r="E46" s="3029">
        <v>1</v>
      </c>
      <c r="F46" s="3028" t="s">
        <v>2854</v>
      </c>
      <c r="G46" s="3028"/>
    </row>
    <row r="47" spans="1:7" ht="19.5" customHeight="1">
      <c r="A47" s="3444"/>
      <c r="B47" s="3441"/>
      <c r="C47" s="708" t="s">
        <v>2855</v>
      </c>
      <c r="D47" s="709"/>
      <c r="E47" s="3029">
        <v>1</v>
      </c>
      <c r="F47" s="3028" t="s">
        <v>2856</v>
      </c>
      <c r="G47" s="3028"/>
    </row>
    <row r="48" spans="1:7" ht="19.5" customHeight="1">
      <c r="A48" s="3444"/>
      <c r="B48" s="3441"/>
      <c r="C48" s="708" t="s">
        <v>2857</v>
      </c>
      <c r="D48" s="709"/>
      <c r="E48" s="3029">
        <v>1</v>
      </c>
      <c r="F48" s="3028" t="s">
        <v>2858</v>
      </c>
      <c r="G48" s="3028"/>
    </row>
    <row r="49" spans="1:7" ht="19.5" customHeight="1">
      <c r="A49" s="3444"/>
      <c r="B49" s="3441"/>
      <c r="C49" s="708" t="s">
        <v>2859</v>
      </c>
      <c r="D49" s="709"/>
      <c r="E49" s="3029">
        <v>1</v>
      </c>
      <c r="F49" s="3028" t="s">
        <v>2860</v>
      </c>
      <c r="G49" s="3028"/>
    </row>
    <row r="50" spans="1:7" ht="19.5" customHeight="1">
      <c r="A50" s="3444"/>
      <c r="B50" s="3441"/>
      <c r="C50" s="708" t="s">
        <v>2861</v>
      </c>
      <c r="D50" s="709"/>
      <c r="E50" s="3029">
        <v>1</v>
      </c>
      <c r="F50" s="3028" t="s">
        <v>2862</v>
      </c>
      <c r="G50" s="3028"/>
    </row>
    <row r="51" spans="1:7" ht="19.5" customHeight="1" thickBot="1">
      <c r="A51" s="3445"/>
      <c r="B51" s="3447"/>
      <c r="C51" s="3030" t="s">
        <v>2863</v>
      </c>
      <c r="D51" s="3031"/>
      <c r="E51" s="3032">
        <v>1</v>
      </c>
      <c r="F51" s="3028" t="s">
        <v>2864</v>
      </c>
      <c r="G51" s="3028"/>
    </row>
    <row r="52" spans="1:7" ht="19.5" customHeight="1">
      <c r="A52" s="3053"/>
      <c r="B52" s="3053"/>
      <c r="C52" s="3053"/>
      <c r="D52" s="3053"/>
      <c r="E52" s="3053"/>
      <c r="F52" s="3054"/>
      <c r="G52" s="3054"/>
    </row>
    <row r="54" spans="1:7" ht="19.5" customHeight="1">
      <c r="A54" s="3055"/>
      <c r="B54" s="3019" t="s">
        <v>513</v>
      </c>
      <c r="C54" s="3019" t="s">
        <v>513</v>
      </c>
      <c r="D54" s="3019" t="s">
        <v>513</v>
      </c>
      <c r="E54" s="3021" t="s">
        <v>513</v>
      </c>
      <c r="F54" s="3021" t="s">
        <v>514</v>
      </c>
      <c r="G54" s="3021" t="s">
        <v>513</v>
      </c>
    </row>
    <row r="55" spans="1:7" ht="19.5" customHeight="1">
      <c r="A55" s="3056"/>
      <c r="B55" s="3021" t="s">
        <v>132</v>
      </c>
      <c r="C55" s="3021" t="s">
        <v>132</v>
      </c>
      <c r="D55" s="3021" t="s">
        <v>132</v>
      </c>
      <c r="E55" s="3019" t="s">
        <v>133</v>
      </c>
      <c r="F55" s="3019" t="s">
        <v>134</v>
      </c>
      <c r="G55" s="3019" t="s">
        <v>515</v>
      </c>
    </row>
    <row r="56" spans="1:7" ht="19.5" customHeight="1">
      <c r="A56" s="3057"/>
      <c r="B56" s="3019">
        <v>1</v>
      </c>
      <c r="C56" s="3019">
        <v>2</v>
      </c>
      <c r="D56" s="3019">
        <v>3</v>
      </c>
      <c r="E56" s="3023" t="s">
        <v>516</v>
      </c>
      <c r="F56" s="3023" t="s">
        <v>516</v>
      </c>
      <c r="G56" s="3023" t="s">
        <v>516</v>
      </c>
    </row>
    <row r="57" spans="1:7" ht="19.5" customHeight="1">
      <c r="A57" s="3045" t="s">
        <v>106</v>
      </c>
      <c r="B57" s="3019">
        <v>0.7</v>
      </c>
      <c r="C57" s="3019">
        <v>0.4</v>
      </c>
      <c r="D57" s="3019">
        <v>0.3</v>
      </c>
      <c r="E57" s="3023">
        <v>0.3</v>
      </c>
      <c r="F57" s="3019">
        <v>0.3</v>
      </c>
      <c r="G57" s="3019">
        <v>0.2</v>
      </c>
    </row>
    <row r="58" spans="1:7" ht="19.5" customHeight="1">
      <c r="A58" s="3045" t="s">
        <v>107</v>
      </c>
      <c r="B58" s="3019">
        <v>0.7</v>
      </c>
      <c r="C58" s="3019">
        <v>0.4</v>
      </c>
      <c r="D58" s="3019">
        <v>0.3</v>
      </c>
      <c r="E58" s="3019">
        <v>0.3</v>
      </c>
      <c r="F58" s="3019">
        <v>0.3</v>
      </c>
      <c r="G58" s="3019">
        <v>0.2</v>
      </c>
    </row>
    <row r="59" spans="1:7" ht="19.5" customHeight="1">
      <c r="A59" s="3045" t="s">
        <v>108</v>
      </c>
      <c r="B59" s="3019">
        <v>0.6</v>
      </c>
      <c r="C59" s="3019">
        <v>0.3</v>
      </c>
      <c r="D59" s="3019">
        <v>0.25</v>
      </c>
      <c r="E59" s="3019">
        <v>0.25</v>
      </c>
      <c r="F59" s="3019">
        <v>0.25</v>
      </c>
      <c r="G59" s="3019">
        <v>0.15</v>
      </c>
    </row>
    <row r="60" spans="1:7" ht="19.5" customHeight="1">
      <c r="A60" s="3045" t="s">
        <v>109</v>
      </c>
      <c r="B60" s="3019">
        <v>0.6</v>
      </c>
      <c r="C60" s="3019">
        <v>0.3</v>
      </c>
      <c r="D60" s="3019">
        <v>0.25</v>
      </c>
      <c r="E60" s="3019">
        <v>0.25</v>
      </c>
      <c r="F60" s="3019">
        <v>0.25</v>
      </c>
      <c r="G60" s="3019">
        <v>0.15</v>
      </c>
    </row>
    <row r="61" spans="1:7" ht="19.5" customHeight="1">
      <c r="A61" s="3045" t="s">
        <v>110</v>
      </c>
      <c r="B61" s="3019">
        <v>0.6</v>
      </c>
      <c r="C61" s="3019">
        <v>0.3</v>
      </c>
      <c r="D61" s="3019">
        <v>0.25</v>
      </c>
      <c r="E61" s="3019">
        <v>0.25</v>
      </c>
      <c r="F61" s="3019">
        <v>0.25</v>
      </c>
      <c r="G61" s="3019">
        <v>0.15</v>
      </c>
    </row>
    <row r="62" spans="1:7" ht="19.5" customHeight="1">
      <c r="A62" s="3045" t="s">
        <v>111</v>
      </c>
      <c r="B62" s="3019">
        <v>0.6</v>
      </c>
      <c r="C62" s="3019">
        <v>0.3</v>
      </c>
      <c r="D62" s="3019">
        <v>0.25</v>
      </c>
      <c r="E62" s="3019">
        <v>0.25</v>
      </c>
      <c r="F62" s="3019">
        <v>0.25</v>
      </c>
      <c r="G62" s="3019">
        <v>0.15</v>
      </c>
    </row>
    <row r="63" spans="1:7" ht="19.5" customHeight="1">
      <c r="A63" s="3045" t="s">
        <v>112</v>
      </c>
      <c r="B63" s="3019">
        <v>0.6</v>
      </c>
      <c r="C63" s="3019">
        <v>0.3</v>
      </c>
      <c r="D63" s="3019">
        <v>0.25</v>
      </c>
      <c r="E63" s="3019">
        <v>0.25</v>
      </c>
      <c r="F63" s="3019">
        <v>0.25</v>
      </c>
      <c r="G63" s="3019">
        <v>0.15</v>
      </c>
    </row>
    <row r="64" spans="1:7" ht="19.5" customHeight="1">
      <c r="A64" s="3045" t="s">
        <v>113</v>
      </c>
      <c r="B64" s="3019">
        <v>0.5</v>
      </c>
      <c r="C64" s="3019">
        <v>0.2</v>
      </c>
      <c r="D64" s="3019">
        <v>0.2</v>
      </c>
      <c r="E64" s="3019">
        <v>0.2</v>
      </c>
      <c r="F64" s="3019">
        <v>0.2</v>
      </c>
      <c r="G64" s="3019">
        <v>0.1</v>
      </c>
    </row>
    <row r="65" spans="1:7" ht="19.5" customHeight="1">
      <c r="A65" s="3045" t="s">
        <v>114</v>
      </c>
      <c r="B65" s="3019">
        <v>0.5</v>
      </c>
      <c r="C65" s="3019">
        <v>0.2</v>
      </c>
      <c r="D65" s="3019">
        <v>0.2</v>
      </c>
      <c r="E65" s="3019">
        <v>0.2</v>
      </c>
      <c r="F65" s="3019">
        <v>0.2</v>
      </c>
      <c r="G65" s="3019">
        <v>0.1</v>
      </c>
    </row>
    <row r="66" spans="1:7" ht="19.5" customHeight="1">
      <c r="A66" s="3045" t="s">
        <v>115</v>
      </c>
      <c r="B66" s="3019">
        <v>0.5</v>
      </c>
      <c r="C66" s="3019">
        <v>0.2</v>
      </c>
      <c r="D66" s="3019">
        <v>0.2</v>
      </c>
      <c r="E66" s="3019">
        <v>0.2</v>
      </c>
      <c r="F66" s="3019">
        <v>0.2</v>
      </c>
      <c r="G66" s="3019">
        <v>0.1</v>
      </c>
    </row>
    <row r="67" spans="1:7" ht="19.5" customHeight="1">
      <c r="A67" s="3045" t="s">
        <v>116</v>
      </c>
      <c r="B67" s="3019">
        <v>0.5</v>
      </c>
      <c r="C67" s="3019">
        <v>0.2</v>
      </c>
      <c r="D67" s="3019">
        <v>0.2</v>
      </c>
      <c r="E67" s="3019">
        <v>0.2</v>
      </c>
      <c r="F67" s="3019">
        <v>0.2</v>
      </c>
      <c r="G67" s="3019">
        <v>0.1</v>
      </c>
    </row>
    <row r="68" spans="1:7" ht="19.5" customHeight="1">
      <c r="A68" s="3045" t="s">
        <v>117</v>
      </c>
      <c r="B68" s="3019">
        <v>0.5</v>
      </c>
      <c r="C68" s="3019">
        <v>0.2</v>
      </c>
      <c r="D68" s="3019">
        <v>0.2</v>
      </c>
      <c r="E68" s="3019">
        <v>0.2</v>
      </c>
      <c r="F68" s="3019">
        <v>0.2</v>
      </c>
      <c r="G68" s="3019">
        <v>0.1</v>
      </c>
    </row>
    <row r="70" spans="1:7" ht="19.5" customHeight="1">
      <c r="A70" s="3028"/>
      <c r="B70" s="3049"/>
      <c r="C70" s="3049"/>
      <c r="D70" s="3049" t="s">
        <v>517</v>
      </c>
      <c r="E70" s="3049"/>
      <c r="F70" s="3049"/>
    </row>
    <row r="71" spans="1:7" ht="19.5" customHeight="1">
      <c r="A71" s="3038" t="s">
        <v>518</v>
      </c>
      <c r="B71" s="3038" t="s">
        <v>519</v>
      </c>
      <c r="C71" s="3038" t="s">
        <v>520</v>
      </c>
      <c r="D71" s="3038" t="s">
        <v>521</v>
      </c>
      <c r="E71" s="3038" t="s">
        <v>522</v>
      </c>
      <c r="F71" s="3038" t="s">
        <v>523</v>
      </c>
    </row>
    <row r="72" spans="1:7" ht="14.4">
      <c r="A72" s="3038"/>
      <c r="B72" s="3038"/>
      <c r="C72" s="3038" t="s">
        <v>2880</v>
      </c>
      <c r="D72" s="3038"/>
      <c r="E72" s="3044" t="s">
        <v>1</v>
      </c>
      <c r="F72" s="3038" t="s">
        <v>1</v>
      </c>
    </row>
    <row r="73" spans="1:7" ht="14.4">
      <c r="A73" s="3038">
        <v>1</v>
      </c>
      <c r="B73" s="3440" t="s">
        <v>2881</v>
      </c>
      <c r="C73" s="3019" t="s">
        <v>2882</v>
      </c>
      <c r="D73" s="3019" t="s">
        <v>2883</v>
      </c>
      <c r="E73" s="3044">
        <v>0.2</v>
      </c>
      <c r="F73" s="3038">
        <v>25</v>
      </c>
    </row>
    <row r="74" spans="1:7" ht="24">
      <c r="A74" s="3038">
        <v>2</v>
      </c>
      <c r="B74" s="3441"/>
      <c r="C74" s="3019" t="s">
        <v>2884</v>
      </c>
      <c r="D74" s="3019" t="s">
        <v>2885</v>
      </c>
      <c r="E74" s="3044">
        <v>0.2</v>
      </c>
      <c r="F74" s="3038">
        <v>25</v>
      </c>
    </row>
    <row r="75" spans="1:7" ht="24">
      <c r="A75" s="3038">
        <v>3</v>
      </c>
      <c r="B75" s="3441"/>
      <c r="C75" s="3019" t="s">
        <v>2886</v>
      </c>
      <c r="D75" s="3019" t="s">
        <v>2887</v>
      </c>
      <c r="E75" s="3044">
        <v>0.2</v>
      </c>
      <c r="F75" s="3038">
        <v>25</v>
      </c>
    </row>
    <row r="76" spans="1:7" ht="14.4">
      <c r="A76" s="3038">
        <v>4</v>
      </c>
      <c r="B76" s="3441"/>
      <c r="C76" s="3019" t="s">
        <v>2888</v>
      </c>
      <c r="D76" s="3019" t="s">
        <v>2889</v>
      </c>
      <c r="E76" s="3044">
        <v>0.15</v>
      </c>
      <c r="F76" s="3038">
        <v>20</v>
      </c>
    </row>
    <row r="77" spans="1:7" ht="24">
      <c r="A77" s="3038">
        <v>5</v>
      </c>
      <c r="B77" s="3441"/>
      <c r="C77" s="3019" t="s">
        <v>2890</v>
      </c>
      <c r="D77" s="3019" t="s">
        <v>2891</v>
      </c>
      <c r="E77" s="3044">
        <v>0.15</v>
      </c>
      <c r="F77" s="3038">
        <v>20</v>
      </c>
    </row>
    <row r="78" spans="1:7" ht="24">
      <c r="A78" s="3038">
        <v>6</v>
      </c>
      <c r="B78" s="3441"/>
      <c r="C78" s="3019" t="s">
        <v>2892</v>
      </c>
      <c r="D78" s="3019" t="s">
        <v>2893</v>
      </c>
      <c r="E78" s="3044">
        <v>0.15</v>
      </c>
      <c r="F78" s="3038">
        <v>20</v>
      </c>
    </row>
    <row r="79" spans="1:7" ht="24">
      <c r="A79" s="3038">
        <v>7</v>
      </c>
      <c r="B79" s="3441"/>
      <c r="C79" s="3019" t="s">
        <v>2894</v>
      </c>
      <c r="D79" s="3019" t="s">
        <v>2895</v>
      </c>
      <c r="E79" s="3044">
        <v>0.15</v>
      </c>
      <c r="F79" s="3038">
        <v>20</v>
      </c>
    </row>
    <row r="80" spans="1:7" ht="24">
      <c r="A80" s="3038">
        <v>8</v>
      </c>
      <c r="B80" s="3441"/>
      <c r="C80" s="3019" t="s">
        <v>2896</v>
      </c>
      <c r="D80" s="3019" t="s">
        <v>2897</v>
      </c>
      <c r="E80" s="3044">
        <v>0.1</v>
      </c>
      <c r="F80" s="3038">
        <v>15</v>
      </c>
    </row>
    <row r="81" spans="1:6" ht="24">
      <c r="A81" s="3038">
        <v>9</v>
      </c>
      <c r="B81" s="3441"/>
      <c r="C81" s="3019" t="s">
        <v>2898</v>
      </c>
      <c r="D81" s="3019" t="s">
        <v>2899</v>
      </c>
      <c r="E81" s="3044">
        <v>0.1</v>
      </c>
      <c r="F81" s="3038">
        <v>15</v>
      </c>
    </row>
    <row r="82" spans="1:6" ht="24">
      <c r="A82" s="3038">
        <v>10</v>
      </c>
      <c r="B82" s="3441"/>
      <c r="C82" s="3019" t="s">
        <v>2900</v>
      </c>
      <c r="D82" s="3019" t="s">
        <v>2901</v>
      </c>
      <c r="E82" s="3044">
        <v>0.1</v>
      </c>
      <c r="F82" s="3038">
        <v>15</v>
      </c>
    </row>
    <row r="83" spans="1:6" ht="24">
      <c r="A83" s="3038">
        <v>11</v>
      </c>
      <c r="B83" s="3441"/>
      <c r="C83" s="3019" t="s">
        <v>2902</v>
      </c>
      <c r="D83" s="3019" t="s">
        <v>2903</v>
      </c>
      <c r="E83" s="3044">
        <v>0.1</v>
      </c>
      <c r="F83" s="3038">
        <v>15</v>
      </c>
    </row>
    <row r="84" spans="1:6" ht="24">
      <c r="A84" s="3038">
        <v>12</v>
      </c>
      <c r="B84" s="3441"/>
      <c r="C84" s="3019" t="s">
        <v>2904</v>
      </c>
      <c r="D84" s="3019" t="s">
        <v>2905</v>
      </c>
      <c r="E84" s="3044">
        <v>0.1</v>
      </c>
      <c r="F84" s="3038">
        <v>15</v>
      </c>
    </row>
    <row r="85" spans="1:6" ht="24">
      <c r="A85" s="3038">
        <v>13</v>
      </c>
      <c r="B85" s="3441"/>
      <c r="C85" s="3019" t="s">
        <v>2906</v>
      </c>
      <c r="D85" s="3019" t="s">
        <v>2907</v>
      </c>
      <c r="E85" s="3044">
        <v>0.1</v>
      </c>
      <c r="F85" s="3038">
        <v>15</v>
      </c>
    </row>
    <row r="86" spans="1:6" ht="24">
      <c r="A86" s="3038">
        <v>14</v>
      </c>
      <c r="B86" s="3441"/>
      <c r="C86" s="3019" t="s">
        <v>2908</v>
      </c>
      <c r="D86" s="3019" t="s">
        <v>2909</v>
      </c>
      <c r="E86" s="3044">
        <v>0.1</v>
      </c>
      <c r="F86" s="3038">
        <v>15</v>
      </c>
    </row>
    <row r="87" spans="1:6" ht="24">
      <c r="A87" s="3038">
        <v>15</v>
      </c>
      <c r="B87" s="3441"/>
      <c r="C87" s="3019" t="s">
        <v>2910</v>
      </c>
      <c r="D87" s="3019" t="s">
        <v>2911</v>
      </c>
      <c r="E87" s="3044">
        <v>0.1</v>
      </c>
      <c r="F87" s="3038">
        <v>15</v>
      </c>
    </row>
    <row r="88" spans="1:6" ht="24">
      <c r="A88" s="3038">
        <v>16</v>
      </c>
      <c r="B88" s="3441"/>
      <c r="C88" s="3019" t="s">
        <v>2912</v>
      </c>
      <c r="D88" s="3019" t="s">
        <v>2913</v>
      </c>
      <c r="E88" s="3044">
        <v>0.1</v>
      </c>
      <c r="F88" s="3038">
        <v>15</v>
      </c>
    </row>
    <row r="89" spans="1:6" ht="24">
      <c r="A89" s="3038">
        <v>17</v>
      </c>
      <c r="B89" s="3442"/>
      <c r="C89" s="3019" t="s">
        <v>2914</v>
      </c>
      <c r="D89" s="3019" t="s">
        <v>2915</v>
      </c>
      <c r="E89" s="3044">
        <v>0.1</v>
      </c>
      <c r="F89" s="3038">
        <v>15</v>
      </c>
    </row>
    <row r="90" spans="1:6" ht="14.4">
      <c r="A90" s="3038">
        <v>18</v>
      </c>
      <c r="B90" s="3440" t="s">
        <v>2916</v>
      </c>
      <c r="C90" s="3019" t="s">
        <v>2917</v>
      </c>
      <c r="D90" s="3019" t="s">
        <v>2918</v>
      </c>
      <c r="E90" s="3044">
        <v>0.2</v>
      </c>
      <c r="F90" s="3038">
        <v>25</v>
      </c>
    </row>
    <row r="91" spans="1:6" ht="24">
      <c r="A91" s="3038">
        <v>19</v>
      </c>
      <c r="B91" s="3441"/>
      <c r="C91" s="3019" t="s">
        <v>2919</v>
      </c>
      <c r="D91" s="3019" t="s">
        <v>2920</v>
      </c>
      <c r="E91" s="3044">
        <v>0.2</v>
      </c>
      <c r="F91" s="3038">
        <v>25</v>
      </c>
    </row>
    <row r="92" spans="1:6" ht="14.4">
      <c r="A92" s="3038">
        <v>20</v>
      </c>
      <c r="B92" s="3441"/>
      <c r="C92" s="3019" t="s">
        <v>2921</v>
      </c>
      <c r="D92" s="3019" t="s">
        <v>2922</v>
      </c>
      <c r="E92" s="3044">
        <v>0.15</v>
      </c>
      <c r="F92" s="3038">
        <v>20</v>
      </c>
    </row>
    <row r="93" spans="1:6" ht="24">
      <c r="A93" s="3038">
        <v>21</v>
      </c>
      <c r="B93" s="3441"/>
      <c r="C93" s="3019" t="s">
        <v>2923</v>
      </c>
      <c r="D93" s="3019" t="s">
        <v>2924</v>
      </c>
      <c r="E93" s="3044">
        <v>0.15</v>
      </c>
      <c r="F93" s="3038">
        <v>20</v>
      </c>
    </row>
    <row r="94" spans="1:6" ht="24">
      <c r="A94" s="3038">
        <v>22</v>
      </c>
      <c r="B94" s="3441"/>
      <c r="C94" s="3019" t="s">
        <v>2925</v>
      </c>
      <c r="D94" s="3019" t="s">
        <v>2926</v>
      </c>
      <c r="E94" s="3044">
        <v>0.15</v>
      </c>
      <c r="F94" s="3038">
        <v>20</v>
      </c>
    </row>
    <row r="95" spans="1:6" ht="36">
      <c r="A95" s="3038">
        <v>23</v>
      </c>
      <c r="B95" s="3441"/>
      <c r="C95" s="3019" t="s">
        <v>2927</v>
      </c>
      <c r="D95" s="3019" t="s">
        <v>2928</v>
      </c>
      <c r="E95" s="3044">
        <v>0.15</v>
      </c>
      <c r="F95" s="3038">
        <v>20</v>
      </c>
    </row>
    <row r="96" spans="1:6" ht="24">
      <c r="A96" s="3038">
        <v>24</v>
      </c>
      <c r="B96" s="3441"/>
      <c r="C96" s="3019" t="s">
        <v>2929</v>
      </c>
      <c r="D96" s="3019" t="s">
        <v>2930</v>
      </c>
      <c r="E96" s="3044">
        <v>0.1</v>
      </c>
      <c r="F96" s="3038">
        <v>15</v>
      </c>
    </row>
    <row r="97" spans="1:6" ht="24">
      <c r="A97" s="3038">
        <v>25</v>
      </c>
      <c r="B97" s="3441"/>
      <c r="C97" s="3019" t="s">
        <v>2931</v>
      </c>
      <c r="D97" s="3019" t="s">
        <v>2932</v>
      </c>
      <c r="E97" s="3044">
        <v>0.1</v>
      </c>
      <c r="F97" s="3038">
        <v>15</v>
      </c>
    </row>
    <row r="98" spans="1:6" ht="24">
      <c r="A98" s="3038">
        <v>26</v>
      </c>
      <c r="B98" s="3441"/>
      <c r="C98" s="3019" t="s">
        <v>2933</v>
      </c>
      <c r="D98" s="3019" t="s">
        <v>2934</v>
      </c>
      <c r="E98" s="3044">
        <v>0.1</v>
      </c>
      <c r="F98" s="3038">
        <v>15</v>
      </c>
    </row>
    <row r="99" spans="1:6" ht="24">
      <c r="A99" s="3038">
        <v>27</v>
      </c>
      <c r="B99" s="3441"/>
      <c r="C99" s="3019" t="s">
        <v>2935</v>
      </c>
      <c r="D99" s="3019" t="s">
        <v>2936</v>
      </c>
      <c r="E99" s="3044">
        <v>0.1</v>
      </c>
      <c r="F99" s="3038">
        <v>15</v>
      </c>
    </row>
    <row r="100" spans="1:6" ht="24">
      <c r="A100" s="3038">
        <v>28</v>
      </c>
      <c r="B100" s="3441"/>
      <c r="C100" s="3019" t="s">
        <v>2937</v>
      </c>
      <c r="D100" s="3019" t="s">
        <v>2938</v>
      </c>
      <c r="E100" s="3044">
        <v>0.1</v>
      </c>
      <c r="F100" s="3038">
        <v>15</v>
      </c>
    </row>
    <row r="101" spans="1:6" ht="24">
      <c r="A101" s="3038">
        <v>29</v>
      </c>
      <c r="B101" s="3441"/>
      <c r="C101" s="3019" t="s">
        <v>2939</v>
      </c>
      <c r="D101" s="3019" t="s">
        <v>2940</v>
      </c>
      <c r="E101" s="3044">
        <v>0.1</v>
      </c>
      <c r="F101" s="3038">
        <v>15</v>
      </c>
    </row>
    <row r="102" spans="1:6" ht="24">
      <c r="A102" s="3038">
        <v>30</v>
      </c>
      <c r="B102" s="3441"/>
      <c r="C102" s="3019" t="s">
        <v>2941</v>
      </c>
      <c r="D102" s="3019" t="s">
        <v>2942</v>
      </c>
      <c r="E102" s="3044">
        <v>0.1</v>
      </c>
      <c r="F102" s="3038">
        <v>15</v>
      </c>
    </row>
    <row r="103" spans="1:6" ht="24">
      <c r="A103" s="3038">
        <v>31</v>
      </c>
      <c r="B103" s="3441"/>
      <c r="C103" s="3019" t="s">
        <v>2943</v>
      </c>
      <c r="D103" s="3019" t="s">
        <v>2944</v>
      </c>
      <c r="E103" s="3044">
        <v>0.1</v>
      </c>
      <c r="F103" s="3038">
        <v>15</v>
      </c>
    </row>
    <row r="104" spans="1:6" ht="24">
      <c r="A104" s="3038">
        <v>32</v>
      </c>
      <c r="B104" s="3441"/>
      <c r="C104" s="3019" t="s">
        <v>2945</v>
      </c>
      <c r="D104" s="3019" t="s">
        <v>2946</v>
      </c>
      <c r="E104" s="3044">
        <v>0.1</v>
      </c>
      <c r="F104" s="3038">
        <v>15</v>
      </c>
    </row>
    <row r="105" spans="1:6" ht="24">
      <c r="A105" s="3038">
        <v>33</v>
      </c>
      <c r="B105" s="3441"/>
      <c r="C105" s="3019" t="s">
        <v>2947</v>
      </c>
      <c r="D105" s="3019" t="s">
        <v>2948</v>
      </c>
      <c r="E105" s="3044">
        <v>0.1</v>
      </c>
      <c r="F105" s="3038">
        <v>15</v>
      </c>
    </row>
    <row r="106" spans="1:6" ht="24">
      <c r="A106" s="3038">
        <v>34</v>
      </c>
      <c r="B106" s="3442"/>
      <c r="C106" s="3019" t="s">
        <v>2949</v>
      </c>
      <c r="D106" s="3019" t="s">
        <v>2950</v>
      </c>
      <c r="E106" s="3044">
        <v>0.1</v>
      </c>
      <c r="F106" s="3038">
        <v>15</v>
      </c>
    </row>
    <row r="107" spans="1:6" ht="36">
      <c r="A107" s="3038">
        <v>35</v>
      </c>
      <c r="B107" s="3440" t="s">
        <v>2951</v>
      </c>
      <c r="C107" s="3038" t="s">
        <v>2952</v>
      </c>
      <c r="D107" s="3019" t="s">
        <v>2953</v>
      </c>
      <c r="E107" s="3044">
        <v>0.15</v>
      </c>
      <c r="F107" s="3038">
        <v>20</v>
      </c>
    </row>
    <row r="108" spans="1:6" ht="24">
      <c r="A108" s="3038">
        <v>36</v>
      </c>
      <c r="B108" s="3441"/>
      <c r="C108" s="3038" t="s">
        <v>2954</v>
      </c>
      <c r="D108" s="3019" t="s">
        <v>2955</v>
      </c>
      <c r="E108" s="3044">
        <v>0.15</v>
      </c>
      <c r="F108" s="3038">
        <v>20</v>
      </c>
    </row>
    <row r="109" spans="1:6" ht="24">
      <c r="A109" s="3038">
        <v>37</v>
      </c>
      <c r="B109" s="3441"/>
      <c r="C109" s="3038" t="s">
        <v>2956</v>
      </c>
      <c r="D109" s="3019" t="s">
        <v>2957</v>
      </c>
      <c r="E109" s="3044">
        <v>0.15</v>
      </c>
      <c r="F109" s="3038">
        <v>20</v>
      </c>
    </row>
    <row r="110" spans="1:6" ht="24">
      <c r="A110" s="3038">
        <v>38</v>
      </c>
      <c r="B110" s="3441"/>
      <c r="C110" s="3038" t="s">
        <v>2958</v>
      </c>
      <c r="D110" s="3019" t="s">
        <v>2959</v>
      </c>
      <c r="E110" s="3044">
        <v>0.1</v>
      </c>
      <c r="F110" s="3038">
        <v>15</v>
      </c>
    </row>
    <row r="111" spans="1:6" ht="24">
      <c r="A111" s="3038">
        <v>39</v>
      </c>
      <c r="B111" s="3441"/>
      <c r="C111" s="3038" t="s">
        <v>2960</v>
      </c>
      <c r="D111" s="3019" t="s">
        <v>2961</v>
      </c>
      <c r="E111" s="3044">
        <v>0.1</v>
      </c>
      <c r="F111" s="3038">
        <v>15</v>
      </c>
    </row>
    <row r="112" spans="1:6" ht="24">
      <c r="A112" s="3038">
        <v>40</v>
      </c>
      <c r="B112" s="3442"/>
      <c r="C112" s="3038" t="s">
        <v>2962</v>
      </c>
      <c r="D112" s="3019" t="s">
        <v>2963</v>
      </c>
      <c r="E112" s="3044">
        <v>0.1</v>
      </c>
      <c r="F112" s="3038">
        <v>15</v>
      </c>
    </row>
    <row r="113" spans="1:6" ht="24">
      <c r="A113" s="3038">
        <v>41</v>
      </c>
      <c r="B113" s="3451" t="s">
        <v>2964</v>
      </c>
      <c r="C113" s="3038" t="s">
        <v>2965</v>
      </c>
      <c r="D113" s="3019" t="s">
        <v>2966</v>
      </c>
      <c r="E113" s="3044">
        <v>0.1</v>
      </c>
      <c r="F113" s="3038">
        <v>15</v>
      </c>
    </row>
    <row r="114" spans="1:6" ht="24">
      <c r="A114" s="3038">
        <v>42</v>
      </c>
      <c r="B114" s="3451"/>
      <c r="C114" s="3038" t="s">
        <v>2967</v>
      </c>
      <c r="D114" s="3019" t="s">
        <v>2968</v>
      </c>
      <c r="E114" s="3044">
        <v>0.1</v>
      </c>
      <c r="F114" s="3038">
        <v>15</v>
      </c>
    </row>
    <row r="115" spans="1:6" ht="24">
      <c r="A115" s="3038">
        <v>43</v>
      </c>
      <c r="B115" s="3451"/>
      <c r="C115" s="3038" t="s">
        <v>2969</v>
      </c>
      <c r="D115" s="3019" t="s">
        <v>2970</v>
      </c>
      <c r="E115" s="3044">
        <v>0.1</v>
      </c>
      <c r="F115" s="3038">
        <v>15</v>
      </c>
    </row>
    <row r="116" spans="1:6" ht="24">
      <c r="A116" s="3038">
        <v>44</v>
      </c>
      <c r="B116" s="3440" t="s">
        <v>2971</v>
      </c>
      <c r="C116" s="3038" t="s">
        <v>2972</v>
      </c>
      <c r="D116" s="3019" t="s">
        <v>2973</v>
      </c>
      <c r="E116" s="3044">
        <v>0.1</v>
      </c>
      <c r="F116" s="3038">
        <v>15</v>
      </c>
    </row>
    <row r="117" spans="1:6" ht="24">
      <c r="A117" s="3038">
        <v>45</v>
      </c>
      <c r="B117" s="3442"/>
      <c r="C117" s="3019" t="s">
        <v>2974</v>
      </c>
      <c r="D117" s="3019" t="s">
        <v>2975</v>
      </c>
      <c r="E117" s="3044">
        <v>0.1</v>
      </c>
      <c r="F117" s="3038">
        <v>15</v>
      </c>
    </row>
    <row r="118" spans="1:6" ht="24">
      <c r="A118" s="3038">
        <v>46</v>
      </c>
      <c r="B118" s="3440" t="s">
        <v>2976</v>
      </c>
      <c r="C118" s="3038" t="s">
        <v>2977</v>
      </c>
      <c r="D118" s="3019" t="s">
        <v>2978</v>
      </c>
      <c r="E118" s="3044">
        <v>0.1</v>
      </c>
      <c r="F118" s="3038">
        <v>15</v>
      </c>
    </row>
    <row r="119" spans="1:6" ht="24">
      <c r="A119" s="3038">
        <v>47</v>
      </c>
      <c r="B119" s="3442"/>
      <c r="C119" s="3038" t="s">
        <v>2979</v>
      </c>
      <c r="D119" s="3019" t="s">
        <v>2980</v>
      </c>
      <c r="E119" s="3044">
        <v>0.1</v>
      </c>
      <c r="F119" s="3038">
        <v>15</v>
      </c>
    </row>
    <row r="120" spans="1:6" ht="24">
      <c r="A120" s="3038">
        <v>48</v>
      </c>
      <c r="B120" s="3440" t="s">
        <v>2981</v>
      </c>
      <c r="C120" s="3038" t="s">
        <v>2982</v>
      </c>
      <c r="D120" s="3019" t="s">
        <v>2983</v>
      </c>
      <c r="E120" s="3044">
        <v>0.1</v>
      </c>
      <c r="F120" s="3038">
        <v>15</v>
      </c>
    </row>
    <row r="121" spans="1:6" ht="24">
      <c r="A121" s="3038">
        <v>49</v>
      </c>
      <c r="B121" s="3442"/>
      <c r="C121" s="3038" t="s">
        <v>2984</v>
      </c>
      <c r="D121" s="3019" t="s">
        <v>2985</v>
      </c>
      <c r="E121" s="3044">
        <v>0.1</v>
      </c>
      <c r="F121" s="3038">
        <v>15</v>
      </c>
    </row>
    <row r="122" spans="1:6" ht="24">
      <c r="A122" s="3038">
        <v>50</v>
      </c>
      <c r="B122" s="3451" t="s">
        <v>2986</v>
      </c>
      <c r="C122" s="3038" t="s">
        <v>2987</v>
      </c>
      <c r="D122" s="3019" t="s">
        <v>2988</v>
      </c>
      <c r="E122" s="3044">
        <v>0.1</v>
      </c>
      <c r="F122" s="3038">
        <v>15</v>
      </c>
    </row>
    <row r="123" spans="1:6" ht="24">
      <c r="A123" s="3038">
        <v>51</v>
      </c>
      <c r="B123" s="3451"/>
      <c r="C123" s="3038" t="s">
        <v>2989</v>
      </c>
      <c r="D123" s="3019" t="s">
        <v>2990</v>
      </c>
      <c r="E123" s="3044">
        <v>0.1</v>
      </c>
      <c r="F123" s="3038">
        <v>15</v>
      </c>
    </row>
    <row r="124" spans="1:6" ht="24">
      <c r="A124" s="3038">
        <v>52</v>
      </c>
      <c r="B124" s="3451" t="s">
        <v>2991</v>
      </c>
      <c r="C124" s="3038" t="s">
        <v>2992</v>
      </c>
      <c r="D124" s="3019" t="s">
        <v>2993</v>
      </c>
      <c r="E124" s="3044">
        <v>0.1</v>
      </c>
      <c r="F124" s="3038">
        <v>15</v>
      </c>
    </row>
    <row r="125" spans="1:6" ht="24">
      <c r="A125" s="3038">
        <v>53</v>
      </c>
      <c r="B125" s="3451"/>
      <c r="C125" s="3038" t="s">
        <v>2994</v>
      </c>
      <c r="D125" s="3019" t="s">
        <v>2995</v>
      </c>
      <c r="E125" s="3044">
        <v>0.1</v>
      </c>
      <c r="F125" s="3038">
        <v>15</v>
      </c>
    </row>
    <row r="126" spans="1:6" ht="24">
      <c r="A126" s="3038">
        <v>54</v>
      </c>
      <c r="B126" s="3038" t="s">
        <v>2996</v>
      </c>
      <c r="C126" s="3038" t="s">
        <v>2997</v>
      </c>
      <c r="D126" s="3019" t="s">
        <v>2998</v>
      </c>
      <c r="E126" s="3044">
        <v>0.1</v>
      </c>
      <c r="F126" s="3038">
        <v>15</v>
      </c>
    </row>
    <row r="127" spans="1:6" ht="24">
      <c r="A127" s="3038">
        <v>55</v>
      </c>
      <c r="B127" s="3451" t="s">
        <v>2999</v>
      </c>
      <c r="C127" s="3038" t="s">
        <v>3000</v>
      </c>
      <c r="D127" s="3019" t="s">
        <v>3001</v>
      </c>
      <c r="E127" s="3044">
        <v>0.1</v>
      </c>
      <c r="F127" s="3038">
        <v>15</v>
      </c>
    </row>
    <row r="128" spans="1:6" ht="24">
      <c r="A128" s="3038">
        <v>56</v>
      </c>
      <c r="B128" s="3451"/>
      <c r="C128" s="3038" t="s">
        <v>3002</v>
      </c>
      <c r="D128" s="3019" t="s">
        <v>3003</v>
      </c>
      <c r="E128" s="3044">
        <v>0.1</v>
      </c>
      <c r="F128" s="3038">
        <v>15</v>
      </c>
    </row>
    <row r="129" spans="1:6" ht="24">
      <c r="A129" s="3038">
        <v>57</v>
      </c>
      <c r="B129" s="3451"/>
      <c r="C129" s="3038" t="s">
        <v>3004</v>
      </c>
      <c r="D129" s="3019" t="s">
        <v>3005</v>
      </c>
      <c r="E129" s="3044">
        <v>0.1</v>
      </c>
      <c r="F129" s="3038">
        <v>15</v>
      </c>
    </row>
    <row r="130" spans="1:6" ht="24">
      <c r="A130" s="3038">
        <v>58</v>
      </c>
      <c r="B130" s="3451" t="s">
        <v>3006</v>
      </c>
      <c r="C130" s="3038" t="s">
        <v>3007</v>
      </c>
      <c r="D130" s="3019" t="s">
        <v>3008</v>
      </c>
      <c r="E130" s="3044">
        <v>0.1</v>
      </c>
      <c r="F130" s="3038">
        <v>15</v>
      </c>
    </row>
    <row r="131" spans="1:6" ht="24">
      <c r="A131" s="3038">
        <v>59</v>
      </c>
      <c r="B131" s="3451"/>
      <c r="C131" s="3038" t="s">
        <v>3009</v>
      </c>
      <c r="D131" s="3019" t="s">
        <v>3010</v>
      </c>
      <c r="E131" s="3044">
        <v>0.1</v>
      </c>
      <c r="F131" s="3038">
        <v>15</v>
      </c>
    </row>
    <row r="132" spans="1:6" ht="24">
      <c r="A132" s="3038">
        <v>60</v>
      </c>
      <c r="B132" s="3440" t="s">
        <v>3011</v>
      </c>
      <c r="C132" s="3038" t="s">
        <v>3012</v>
      </c>
      <c r="D132" s="3019" t="s">
        <v>3013</v>
      </c>
      <c r="E132" s="3044">
        <v>0.1</v>
      </c>
      <c r="F132" s="3038">
        <v>15</v>
      </c>
    </row>
    <row r="133" spans="1:6" ht="24">
      <c r="A133" s="3038">
        <v>61</v>
      </c>
      <c r="B133" s="3442"/>
      <c r="C133" s="3038" t="s">
        <v>3014</v>
      </c>
      <c r="D133" s="3019" t="s">
        <v>3015</v>
      </c>
      <c r="E133" s="3044">
        <v>0.1</v>
      </c>
      <c r="F133" s="3038">
        <v>15</v>
      </c>
    </row>
    <row r="134" spans="1:6" ht="24">
      <c r="A134" s="3038">
        <v>62</v>
      </c>
      <c r="B134" s="3038" t="s">
        <v>3016</v>
      </c>
      <c r="C134" s="3038" t="s">
        <v>3017</v>
      </c>
      <c r="D134" s="3019" t="s">
        <v>3018</v>
      </c>
      <c r="E134" s="3044">
        <v>0.1</v>
      </c>
      <c r="F134" s="3038">
        <v>15</v>
      </c>
    </row>
    <row r="135" spans="1:6" ht="24">
      <c r="A135" s="3038">
        <v>63</v>
      </c>
      <c r="B135" s="3451" t="s">
        <v>3019</v>
      </c>
      <c r="C135" s="3038" t="s">
        <v>3020</v>
      </c>
      <c r="D135" s="3019" t="s">
        <v>3021</v>
      </c>
      <c r="E135" s="3044">
        <v>0.1</v>
      </c>
      <c r="F135" s="3038">
        <v>15</v>
      </c>
    </row>
    <row r="136" spans="1:6" ht="24">
      <c r="A136" s="3038">
        <v>64</v>
      </c>
      <c r="B136" s="3451"/>
      <c r="C136" s="3038" t="s">
        <v>3022</v>
      </c>
      <c r="D136" s="3019" t="s">
        <v>3023</v>
      </c>
      <c r="E136" s="3044">
        <v>0.1</v>
      </c>
      <c r="F136" s="3038">
        <v>15</v>
      </c>
    </row>
    <row r="137" spans="1:6" ht="24">
      <c r="A137" s="3038">
        <v>65</v>
      </c>
      <c r="B137" s="3038" t="s">
        <v>3024</v>
      </c>
      <c r="C137" s="3038" t="s">
        <v>3025</v>
      </c>
      <c r="D137" s="3019" t="s">
        <v>3026</v>
      </c>
      <c r="E137" s="3044">
        <v>0.1</v>
      </c>
      <c r="F137" s="3038">
        <v>15</v>
      </c>
    </row>
    <row r="138" spans="1:6" ht="14.4">
      <c r="A138" s="3038"/>
      <c r="B138" s="3038"/>
      <c r="C138" s="3038"/>
      <c r="D138" s="3038"/>
      <c r="E138" s="3044"/>
      <c r="F138" s="3038"/>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718"/>
  </cols>
  <sheetData>
    <row r="1" spans="1:14" ht="15.6">
      <c r="A1" s="710" t="s">
        <v>525</v>
      </c>
      <c r="B1" s="711"/>
      <c r="C1" s="711"/>
      <c r="D1" s="711"/>
      <c r="E1" s="711"/>
      <c r="F1" s="711"/>
      <c r="G1" s="711"/>
      <c r="H1" s="711"/>
      <c r="I1" s="711"/>
      <c r="J1" s="711"/>
      <c r="K1" s="711"/>
      <c r="L1" s="711"/>
      <c r="M1" s="711"/>
      <c r="N1" s="711"/>
    </row>
    <row r="2" spans="1:14">
      <c r="A2" s="712" t="s">
        <v>524</v>
      </c>
      <c r="B2" s="713" t="s">
        <v>106</v>
      </c>
      <c r="C2" s="713" t="s">
        <v>107</v>
      </c>
      <c r="D2" s="713" t="s">
        <v>108</v>
      </c>
      <c r="E2" s="713" t="s">
        <v>109</v>
      </c>
      <c r="F2" s="713" t="s">
        <v>110</v>
      </c>
      <c r="G2" s="713" t="s">
        <v>111</v>
      </c>
      <c r="H2" s="714" t="s">
        <v>112</v>
      </c>
      <c r="I2" s="714" t="s">
        <v>113</v>
      </c>
      <c r="J2" s="715" t="s">
        <v>114</v>
      </c>
      <c r="K2" s="715" t="s">
        <v>115</v>
      </c>
      <c r="L2" s="715" t="s">
        <v>116</v>
      </c>
      <c r="M2" s="715" t="s">
        <v>117</v>
      </c>
    </row>
    <row r="3" spans="1:14">
      <c r="A3" s="712">
        <v>0.1</v>
      </c>
      <c r="B3" s="716">
        <v>15.052</v>
      </c>
      <c r="C3" s="716">
        <v>15.052</v>
      </c>
      <c r="D3" s="716">
        <v>14.263</v>
      </c>
      <c r="E3" s="716">
        <v>14.263</v>
      </c>
      <c r="F3" s="716">
        <v>14.263</v>
      </c>
      <c r="G3" s="716">
        <v>14.263</v>
      </c>
      <c r="H3" s="716">
        <v>14.263</v>
      </c>
      <c r="I3" s="716">
        <v>14.097</v>
      </c>
      <c r="J3" s="716">
        <v>14.097</v>
      </c>
      <c r="K3" s="716">
        <v>14.097</v>
      </c>
      <c r="L3" s="716">
        <v>14.097</v>
      </c>
      <c r="M3" s="716">
        <v>14.097</v>
      </c>
    </row>
    <row r="4" spans="1:14">
      <c r="A4" s="712">
        <v>0.2</v>
      </c>
      <c r="B4" s="716">
        <v>7.5259999999999998</v>
      </c>
      <c r="C4" s="716">
        <v>7.5259999999999998</v>
      </c>
      <c r="D4" s="716">
        <v>7.1315</v>
      </c>
      <c r="E4" s="716">
        <v>7.1315</v>
      </c>
      <c r="F4" s="716">
        <v>7.1315</v>
      </c>
      <c r="G4" s="716">
        <v>7.1315</v>
      </c>
      <c r="H4" s="716">
        <v>7.1315</v>
      </c>
      <c r="I4" s="716">
        <v>7.0484999999999998</v>
      </c>
      <c r="J4" s="716">
        <v>7.0484999999999998</v>
      </c>
      <c r="K4" s="716">
        <v>7.0484999999999998</v>
      </c>
      <c r="L4" s="716">
        <v>7.0484999999999998</v>
      </c>
      <c r="M4" s="716">
        <v>7.0484999999999998</v>
      </c>
    </row>
    <row r="5" spans="1:14">
      <c r="A5" s="712">
        <v>0.3</v>
      </c>
      <c r="B5" s="716">
        <v>5.0172999999999996</v>
      </c>
      <c r="C5" s="716">
        <v>5.0172999999999996</v>
      </c>
      <c r="D5" s="716">
        <v>4.7542999999999997</v>
      </c>
      <c r="E5" s="716">
        <v>4.7542999999999997</v>
      </c>
      <c r="F5" s="716">
        <v>4.7542999999999997</v>
      </c>
      <c r="G5" s="716">
        <v>4.7542999999999997</v>
      </c>
      <c r="H5" s="716">
        <v>4.7542999999999997</v>
      </c>
      <c r="I5" s="716">
        <v>4.6989999999999998</v>
      </c>
      <c r="J5" s="716">
        <v>4.6989999999999998</v>
      </c>
      <c r="K5" s="716">
        <v>4.6989999999999998</v>
      </c>
      <c r="L5" s="716">
        <v>4.6989999999999998</v>
      </c>
      <c r="M5" s="716">
        <v>4.6989999999999998</v>
      </c>
    </row>
    <row r="6" spans="1:14">
      <c r="A6" s="712">
        <v>0.4</v>
      </c>
      <c r="B6" s="716">
        <v>3.7629999999999999</v>
      </c>
      <c r="C6" s="716">
        <v>3.7629999999999999</v>
      </c>
      <c r="D6" s="716">
        <v>3.5657999999999999</v>
      </c>
      <c r="E6" s="716">
        <v>3.5657999999999999</v>
      </c>
      <c r="F6" s="716">
        <v>3.5657999999999999</v>
      </c>
      <c r="G6" s="716">
        <v>3.5657999999999999</v>
      </c>
      <c r="H6" s="716">
        <v>3.5657999999999999</v>
      </c>
      <c r="I6" s="716">
        <v>3.5243000000000002</v>
      </c>
      <c r="J6" s="716">
        <v>3.5243000000000002</v>
      </c>
      <c r="K6" s="716">
        <v>3.5243000000000002</v>
      </c>
      <c r="L6" s="716">
        <v>3.5243000000000002</v>
      </c>
      <c r="M6" s="716">
        <v>3.5243000000000002</v>
      </c>
    </row>
    <row r="7" spans="1:14">
      <c r="A7" s="712">
        <v>0.5</v>
      </c>
      <c r="B7" s="716">
        <v>3.0104000000000002</v>
      </c>
      <c r="C7" s="716">
        <v>3.0104000000000002</v>
      </c>
      <c r="D7" s="716">
        <v>2.8525999999999998</v>
      </c>
      <c r="E7" s="716">
        <v>2.8525999999999998</v>
      </c>
      <c r="F7" s="716">
        <v>2.8525999999999998</v>
      </c>
      <c r="G7" s="716">
        <v>2.8525999999999998</v>
      </c>
      <c r="H7" s="716">
        <v>2.8525999999999998</v>
      </c>
      <c r="I7" s="716">
        <v>2.8193999999999999</v>
      </c>
      <c r="J7" s="716">
        <v>2.8193999999999999</v>
      </c>
      <c r="K7" s="716">
        <v>2.8193999999999999</v>
      </c>
      <c r="L7" s="716">
        <v>2.8193999999999999</v>
      </c>
      <c r="M7" s="716">
        <v>2.8193999999999999</v>
      </c>
    </row>
    <row r="8" spans="1:14">
      <c r="A8" s="712">
        <v>0.6</v>
      </c>
      <c r="B8" s="716">
        <v>2.5087000000000002</v>
      </c>
      <c r="C8" s="716">
        <v>2.5087000000000002</v>
      </c>
      <c r="D8" s="716">
        <v>2.3772000000000002</v>
      </c>
      <c r="E8" s="716">
        <v>2.3772000000000002</v>
      </c>
      <c r="F8" s="716">
        <v>2.3772000000000002</v>
      </c>
      <c r="G8" s="716">
        <v>2.3772000000000002</v>
      </c>
      <c r="H8" s="716">
        <v>2.3772000000000002</v>
      </c>
      <c r="I8" s="716">
        <v>2.3494999999999999</v>
      </c>
      <c r="J8" s="716">
        <v>2.3494999999999999</v>
      </c>
      <c r="K8" s="716">
        <v>2.3494999999999999</v>
      </c>
      <c r="L8" s="716">
        <v>2.3494999999999999</v>
      </c>
      <c r="M8" s="716">
        <v>2.3494999999999999</v>
      </c>
    </row>
    <row r="9" spans="1:14">
      <c r="A9" s="712">
        <v>0.7</v>
      </c>
      <c r="B9" s="716">
        <v>2.1503000000000001</v>
      </c>
      <c r="C9" s="716">
        <v>2.1503000000000001</v>
      </c>
      <c r="D9" s="716">
        <v>2.0375999999999999</v>
      </c>
      <c r="E9" s="716">
        <v>2.0375999999999999</v>
      </c>
      <c r="F9" s="716">
        <v>2.0375999999999999</v>
      </c>
      <c r="G9" s="716">
        <v>2.0375999999999999</v>
      </c>
      <c r="H9" s="716">
        <v>2.0375999999999999</v>
      </c>
      <c r="I9" s="716">
        <v>2.0139</v>
      </c>
      <c r="J9" s="716">
        <v>2.0139</v>
      </c>
      <c r="K9" s="716">
        <v>2.0139</v>
      </c>
      <c r="L9" s="716">
        <v>2.0139</v>
      </c>
      <c r="M9" s="716">
        <v>2.0139</v>
      </c>
    </row>
    <row r="10" spans="1:14">
      <c r="A10" s="712">
        <v>0.8</v>
      </c>
      <c r="B10" s="716">
        <v>1.8815</v>
      </c>
      <c r="C10" s="716">
        <v>1.8815</v>
      </c>
      <c r="D10" s="716">
        <v>1.7828999999999999</v>
      </c>
      <c r="E10" s="716">
        <v>1.7828999999999999</v>
      </c>
      <c r="F10" s="716">
        <v>1.7828999999999999</v>
      </c>
      <c r="G10" s="716">
        <v>1.7828999999999999</v>
      </c>
      <c r="H10" s="716">
        <v>1.7828999999999999</v>
      </c>
      <c r="I10" s="716">
        <v>1.7621</v>
      </c>
      <c r="J10" s="716">
        <v>1.7621</v>
      </c>
      <c r="K10" s="716">
        <v>1.7621</v>
      </c>
      <c r="L10" s="716">
        <v>1.7621</v>
      </c>
      <c r="M10" s="716">
        <v>1.7621</v>
      </c>
    </row>
    <row r="11" spans="1:14">
      <c r="A11" s="712">
        <v>0.9</v>
      </c>
      <c r="B11" s="716">
        <v>1.6724000000000001</v>
      </c>
      <c r="C11" s="716">
        <v>1.6724000000000001</v>
      </c>
      <c r="D11" s="716">
        <v>1.5848</v>
      </c>
      <c r="E11" s="716">
        <v>1.5848</v>
      </c>
      <c r="F11" s="716">
        <v>1.5848</v>
      </c>
      <c r="G11" s="716">
        <v>1.5848</v>
      </c>
      <c r="H11" s="716">
        <v>1.5848</v>
      </c>
      <c r="I11" s="716">
        <v>1.5663</v>
      </c>
      <c r="J11" s="716">
        <v>1.5663</v>
      </c>
      <c r="K11" s="716">
        <v>1.5663</v>
      </c>
      <c r="L11" s="716">
        <v>1.5663</v>
      </c>
      <c r="M11" s="716">
        <v>1.5663</v>
      </c>
    </row>
    <row r="12" spans="1:14">
      <c r="A12" s="712">
        <v>1</v>
      </c>
      <c r="B12" s="716">
        <v>1.5052000000000001</v>
      </c>
      <c r="C12" s="716">
        <v>1.5052000000000001</v>
      </c>
      <c r="D12" s="716">
        <v>1.4262999999999999</v>
      </c>
      <c r="E12" s="716">
        <v>1.4262999999999999</v>
      </c>
      <c r="F12" s="716">
        <v>1.4262999999999999</v>
      </c>
      <c r="G12" s="716">
        <v>1.4262999999999999</v>
      </c>
      <c r="H12" s="716">
        <v>1.4262999999999999</v>
      </c>
      <c r="I12" s="716">
        <v>1.4097</v>
      </c>
      <c r="J12" s="716">
        <v>1.4097</v>
      </c>
      <c r="K12" s="716">
        <v>1.4097</v>
      </c>
      <c r="L12" s="716">
        <v>1.4097</v>
      </c>
      <c r="M12" s="716">
        <v>1.4097</v>
      </c>
    </row>
    <row r="13" spans="1:14">
      <c r="A13" s="712">
        <v>1.1000000000000001</v>
      </c>
      <c r="B13" s="716">
        <v>1.4509000000000001</v>
      </c>
      <c r="C13" s="716">
        <v>1.4509000000000001</v>
      </c>
      <c r="D13" s="716">
        <v>1.3697999999999999</v>
      </c>
      <c r="E13" s="716">
        <v>1.3697999999999999</v>
      </c>
      <c r="F13" s="716">
        <v>1.3697999999999999</v>
      </c>
      <c r="G13" s="716">
        <v>1.3697999999999999</v>
      </c>
      <c r="H13" s="716">
        <v>1.3697999999999999</v>
      </c>
      <c r="I13" s="716">
        <v>1.343</v>
      </c>
      <c r="J13" s="716">
        <v>1.343</v>
      </c>
      <c r="K13" s="716">
        <v>1.343</v>
      </c>
      <c r="L13" s="716">
        <v>1.343</v>
      </c>
      <c r="M13" s="716">
        <v>1.343</v>
      </c>
    </row>
    <row r="14" spans="1:14">
      <c r="A14" s="712">
        <v>1.2</v>
      </c>
      <c r="B14" s="716">
        <v>1.4035</v>
      </c>
      <c r="C14" s="716">
        <v>1.4035</v>
      </c>
      <c r="D14" s="716">
        <v>1.3205</v>
      </c>
      <c r="E14" s="716">
        <v>1.3205</v>
      </c>
      <c r="F14" s="716">
        <v>1.3205</v>
      </c>
      <c r="G14" s="716">
        <v>1.3205</v>
      </c>
      <c r="H14" s="716">
        <v>1.3205</v>
      </c>
      <c r="I14" s="716">
        <v>1.2845</v>
      </c>
      <c r="J14" s="716">
        <v>1.2845</v>
      </c>
      <c r="K14" s="716">
        <v>1.2845</v>
      </c>
      <c r="L14" s="716">
        <v>1.2845</v>
      </c>
      <c r="M14" s="716">
        <v>1.2845</v>
      </c>
    </row>
    <row r="15" spans="1:14">
      <c r="A15" s="712">
        <v>1.3</v>
      </c>
      <c r="B15" s="716">
        <v>1.3622000000000001</v>
      </c>
      <c r="C15" s="716">
        <v>1.3622000000000001</v>
      </c>
      <c r="D15" s="716">
        <v>1.2775000000000001</v>
      </c>
      <c r="E15" s="716">
        <v>1.2775000000000001</v>
      </c>
      <c r="F15" s="716">
        <v>1.2775000000000001</v>
      </c>
      <c r="G15" s="716">
        <v>1.2775000000000001</v>
      </c>
      <c r="H15" s="716">
        <v>1.2775000000000001</v>
      </c>
      <c r="I15" s="716">
        <v>1.2332000000000001</v>
      </c>
      <c r="J15" s="716">
        <v>1.2332000000000001</v>
      </c>
      <c r="K15" s="716">
        <v>1.2332000000000001</v>
      </c>
      <c r="L15" s="716">
        <v>1.2332000000000001</v>
      </c>
      <c r="M15" s="716">
        <v>1.2332000000000001</v>
      </c>
    </row>
    <row r="16" spans="1:14">
      <c r="A16" s="712">
        <v>1.4</v>
      </c>
      <c r="B16" s="716">
        <v>1.3262</v>
      </c>
      <c r="C16" s="716">
        <v>1.3262</v>
      </c>
      <c r="D16" s="716">
        <v>1.2402</v>
      </c>
      <c r="E16" s="716">
        <v>1.2402</v>
      </c>
      <c r="F16" s="716">
        <v>1.2402</v>
      </c>
      <c r="G16" s="716">
        <v>1.2402</v>
      </c>
      <c r="H16" s="716">
        <v>1.2402</v>
      </c>
      <c r="I16" s="716">
        <v>1.1881999999999999</v>
      </c>
      <c r="J16" s="716">
        <v>1.1881999999999999</v>
      </c>
      <c r="K16" s="716">
        <v>1.1881999999999999</v>
      </c>
      <c r="L16" s="716">
        <v>1.1881999999999999</v>
      </c>
      <c r="M16" s="716">
        <v>1.1881999999999999</v>
      </c>
    </row>
    <row r="17" spans="1:13">
      <c r="A17" s="712">
        <v>1.5</v>
      </c>
      <c r="B17" s="716">
        <v>1.2948</v>
      </c>
      <c r="C17" s="716">
        <v>1.2948</v>
      </c>
      <c r="D17" s="716">
        <v>1.2075</v>
      </c>
      <c r="E17" s="716">
        <v>1.2075</v>
      </c>
      <c r="F17" s="716">
        <v>1.2075</v>
      </c>
      <c r="G17" s="716">
        <v>1.2075</v>
      </c>
      <c r="H17" s="716">
        <v>1.2075</v>
      </c>
      <c r="I17" s="716">
        <v>1.1486000000000001</v>
      </c>
      <c r="J17" s="716">
        <v>1.1486000000000001</v>
      </c>
      <c r="K17" s="716">
        <v>1.1486000000000001</v>
      </c>
      <c r="L17" s="716">
        <v>1.1486000000000001</v>
      </c>
      <c r="M17" s="716">
        <v>1.1486000000000001</v>
      </c>
    </row>
    <row r="18" spans="1:13">
      <c r="A18" s="712">
        <v>1.6</v>
      </c>
      <c r="B18" s="716">
        <v>1.2673000000000001</v>
      </c>
      <c r="C18" s="716">
        <v>1.2673000000000001</v>
      </c>
      <c r="D18" s="716">
        <v>1.1789000000000001</v>
      </c>
      <c r="E18" s="716">
        <v>1.1789000000000001</v>
      </c>
      <c r="F18" s="716">
        <v>1.1789000000000001</v>
      </c>
      <c r="G18" s="716">
        <v>1.1789000000000001</v>
      </c>
      <c r="H18" s="716">
        <v>1.1789000000000001</v>
      </c>
      <c r="I18" s="716">
        <v>1.1134999999999999</v>
      </c>
      <c r="J18" s="716">
        <v>1.1134999999999999</v>
      </c>
      <c r="K18" s="716">
        <v>1.1134999999999999</v>
      </c>
      <c r="L18" s="716">
        <v>1.1134999999999999</v>
      </c>
      <c r="M18" s="716">
        <v>1.1134999999999999</v>
      </c>
    </row>
    <row r="19" spans="1:13">
      <c r="A19" s="712">
        <v>1.7</v>
      </c>
      <c r="B19" s="716">
        <v>1.2428999999999999</v>
      </c>
      <c r="C19" s="716">
        <v>1.2428999999999999</v>
      </c>
      <c r="D19" s="716">
        <v>1.1534</v>
      </c>
      <c r="E19" s="716">
        <v>1.1534</v>
      </c>
      <c r="F19" s="716">
        <v>1.1534</v>
      </c>
      <c r="G19" s="716">
        <v>1.1534</v>
      </c>
      <c r="H19" s="716">
        <v>1.1534</v>
      </c>
      <c r="I19" s="716">
        <v>1.0820000000000001</v>
      </c>
      <c r="J19" s="716">
        <v>1.0820000000000001</v>
      </c>
      <c r="K19" s="716">
        <v>1.0820000000000001</v>
      </c>
      <c r="L19" s="716">
        <v>1.0820000000000001</v>
      </c>
      <c r="M19" s="716">
        <v>1.0820000000000001</v>
      </c>
    </row>
    <row r="20" spans="1:13">
      <c r="A20" s="712">
        <v>1.8</v>
      </c>
      <c r="B20" s="716">
        <v>1.2206999999999999</v>
      </c>
      <c r="C20" s="716">
        <v>1.2206999999999999</v>
      </c>
      <c r="D20" s="716">
        <v>1.1304000000000001</v>
      </c>
      <c r="E20" s="716">
        <v>1.1304000000000001</v>
      </c>
      <c r="F20" s="716">
        <v>1.1304000000000001</v>
      </c>
      <c r="G20" s="716">
        <v>1.1304000000000001</v>
      </c>
      <c r="H20" s="716">
        <v>1.1304000000000001</v>
      </c>
      <c r="I20" s="716">
        <v>1.0531999999999999</v>
      </c>
      <c r="J20" s="716">
        <v>1.0531999999999999</v>
      </c>
      <c r="K20" s="716">
        <v>1.0531999999999999</v>
      </c>
      <c r="L20" s="716">
        <v>1.0531999999999999</v>
      </c>
      <c r="M20" s="716">
        <v>1.0531999999999999</v>
      </c>
    </row>
    <row r="21" spans="1:13">
      <c r="A21" s="712">
        <v>1.9</v>
      </c>
      <c r="B21" s="716">
        <v>1.2</v>
      </c>
      <c r="C21" s="716">
        <v>1.2</v>
      </c>
      <c r="D21" s="716">
        <v>1.1089</v>
      </c>
      <c r="E21" s="716">
        <v>1.1089</v>
      </c>
      <c r="F21" s="716">
        <v>1.1089</v>
      </c>
      <c r="G21" s="716">
        <v>1.1089</v>
      </c>
      <c r="H21" s="716">
        <v>1.1089</v>
      </c>
      <c r="I21" s="716">
        <v>1.0261</v>
      </c>
      <c r="J21" s="716">
        <v>1.0261</v>
      </c>
      <c r="K21" s="716">
        <v>1.0261</v>
      </c>
      <c r="L21" s="716">
        <v>1.0261</v>
      </c>
      <c r="M21" s="716">
        <v>1.0261</v>
      </c>
    </row>
    <row r="22" spans="1:13">
      <c r="A22" s="712">
        <v>2</v>
      </c>
      <c r="B22" s="716">
        <v>1.1800999999999999</v>
      </c>
      <c r="C22" s="716">
        <v>1.1800999999999999</v>
      </c>
      <c r="D22" s="716">
        <v>1.0883</v>
      </c>
      <c r="E22" s="716">
        <v>1.0883</v>
      </c>
      <c r="F22" s="716">
        <v>1.0883</v>
      </c>
      <c r="G22" s="716">
        <v>1.0883</v>
      </c>
      <c r="H22" s="716">
        <v>1.0883</v>
      </c>
      <c r="I22" s="716">
        <v>1</v>
      </c>
      <c r="J22" s="716">
        <v>1</v>
      </c>
      <c r="K22" s="716">
        <v>1</v>
      </c>
      <c r="L22" s="716">
        <v>1</v>
      </c>
      <c r="M22" s="716">
        <v>1</v>
      </c>
    </row>
    <row r="23" spans="1:13">
      <c r="A23" s="717">
        <v>2.1</v>
      </c>
      <c r="B23" s="716">
        <v>1.1616</v>
      </c>
      <c r="C23" s="716">
        <v>1.1616</v>
      </c>
      <c r="D23" s="716">
        <v>1.0685</v>
      </c>
      <c r="E23" s="716">
        <v>1.0685</v>
      </c>
      <c r="F23" s="716">
        <v>1.0685</v>
      </c>
      <c r="G23" s="716">
        <v>1.0685</v>
      </c>
      <c r="H23" s="716">
        <v>1.0685</v>
      </c>
      <c r="I23" s="716">
        <v>0.97550000000000003</v>
      </c>
      <c r="J23" s="716">
        <v>0.97550000000000003</v>
      </c>
      <c r="K23" s="716">
        <v>0.97550000000000003</v>
      </c>
      <c r="L23" s="716">
        <v>0.97550000000000003</v>
      </c>
      <c r="M23" s="716">
        <v>0.97550000000000003</v>
      </c>
    </row>
    <row r="24" spans="1:13">
      <c r="A24" s="717">
        <v>2.2000000000000002</v>
      </c>
      <c r="B24" s="716">
        <v>1.1440999999999999</v>
      </c>
      <c r="C24" s="716">
        <v>1.1440999999999999</v>
      </c>
      <c r="D24" s="716">
        <v>1.0497000000000001</v>
      </c>
      <c r="E24" s="716">
        <v>1.0497000000000001</v>
      </c>
      <c r="F24" s="716">
        <v>1.0497000000000001</v>
      </c>
      <c r="G24" s="716">
        <v>1.0497000000000001</v>
      </c>
      <c r="H24" s="716">
        <v>1.0497000000000001</v>
      </c>
      <c r="I24" s="716">
        <v>0.95230000000000004</v>
      </c>
      <c r="J24" s="716">
        <v>0.95230000000000004</v>
      </c>
      <c r="K24" s="716">
        <v>0.95230000000000004</v>
      </c>
      <c r="L24" s="716">
        <v>0.95230000000000004</v>
      </c>
      <c r="M24" s="716">
        <v>0.95230000000000004</v>
      </c>
    </row>
    <row r="25" spans="1:13">
      <c r="A25" s="717">
        <v>2.2999999999999998</v>
      </c>
      <c r="B25" s="716">
        <v>1.1275999999999999</v>
      </c>
      <c r="C25" s="716">
        <v>1.1275999999999999</v>
      </c>
      <c r="D25" s="716">
        <v>1.032</v>
      </c>
      <c r="E25" s="716">
        <v>1.032</v>
      </c>
      <c r="F25" s="716">
        <v>1.032</v>
      </c>
      <c r="G25" s="716">
        <v>1.032</v>
      </c>
      <c r="H25" s="716">
        <v>1.032</v>
      </c>
      <c r="I25" s="716">
        <v>0.9304</v>
      </c>
      <c r="J25" s="716">
        <v>0.9304</v>
      </c>
      <c r="K25" s="716">
        <v>0.9304</v>
      </c>
      <c r="L25" s="716">
        <v>0.9304</v>
      </c>
      <c r="M25" s="716">
        <v>0.9304</v>
      </c>
    </row>
    <row r="26" spans="1:13">
      <c r="A26" s="717">
        <v>2.4</v>
      </c>
      <c r="B26" s="716">
        <v>1.1121000000000001</v>
      </c>
      <c r="C26" s="716">
        <v>1.1121000000000001</v>
      </c>
      <c r="D26" s="716">
        <v>1.0155000000000001</v>
      </c>
      <c r="E26" s="716">
        <v>1.0155000000000001</v>
      </c>
      <c r="F26" s="716">
        <v>1.0155000000000001</v>
      </c>
      <c r="G26" s="716">
        <v>1.0155000000000001</v>
      </c>
      <c r="H26" s="716">
        <v>1.0155000000000001</v>
      </c>
      <c r="I26" s="716">
        <v>0.91</v>
      </c>
      <c r="J26" s="716">
        <v>0.91</v>
      </c>
      <c r="K26" s="716">
        <v>0.91</v>
      </c>
      <c r="L26" s="716">
        <v>0.91</v>
      </c>
      <c r="M26" s="716">
        <v>0.91</v>
      </c>
    </row>
    <row r="27" spans="1:13">
      <c r="A27" s="717">
        <v>2.5</v>
      </c>
      <c r="B27" s="716">
        <v>1.0975999999999999</v>
      </c>
      <c r="C27" s="716">
        <v>1.0975999999999999</v>
      </c>
      <c r="D27" s="716">
        <v>1</v>
      </c>
      <c r="E27" s="716">
        <v>1</v>
      </c>
      <c r="F27" s="716">
        <v>1</v>
      </c>
      <c r="G27" s="716">
        <v>1</v>
      </c>
      <c r="H27" s="716">
        <v>1</v>
      </c>
      <c r="I27" s="716">
        <v>0.89080000000000004</v>
      </c>
      <c r="J27" s="716">
        <v>0.89080000000000004</v>
      </c>
      <c r="K27" s="716">
        <v>0.89080000000000004</v>
      </c>
      <c r="L27" s="716">
        <v>0.89080000000000004</v>
      </c>
      <c r="M27" s="716">
        <v>0.89080000000000004</v>
      </c>
    </row>
    <row r="28" spans="1:13">
      <c r="A28" s="717">
        <v>2.6</v>
      </c>
      <c r="B28" s="716">
        <v>1.0841000000000001</v>
      </c>
      <c r="C28" s="716">
        <v>1.0841000000000001</v>
      </c>
      <c r="D28" s="716">
        <v>0.98619999999999997</v>
      </c>
      <c r="E28" s="716">
        <v>0.98619999999999997</v>
      </c>
      <c r="F28" s="716">
        <v>0.98619999999999997</v>
      </c>
      <c r="G28" s="716">
        <v>0.98619999999999997</v>
      </c>
      <c r="H28" s="716">
        <v>0.98619999999999997</v>
      </c>
      <c r="I28" s="716">
        <v>0.873</v>
      </c>
      <c r="J28" s="716">
        <v>0.873</v>
      </c>
      <c r="K28" s="716">
        <v>0.873</v>
      </c>
      <c r="L28" s="716">
        <v>0.873</v>
      </c>
      <c r="M28" s="716">
        <v>0.873</v>
      </c>
    </row>
    <row r="29" spans="1:13">
      <c r="A29" s="717">
        <v>2.7</v>
      </c>
      <c r="B29" s="716">
        <v>1.0716000000000001</v>
      </c>
      <c r="C29" s="716">
        <v>1.0716000000000001</v>
      </c>
      <c r="D29" s="716">
        <v>0.97330000000000005</v>
      </c>
      <c r="E29" s="716">
        <v>0.97330000000000005</v>
      </c>
      <c r="F29" s="716">
        <v>0.97330000000000005</v>
      </c>
      <c r="G29" s="716">
        <v>0.97330000000000005</v>
      </c>
      <c r="H29" s="716">
        <v>0.97330000000000005</v>
      </c>
      <c r="I29" s="716">
        <v>0.85670000000000002</v>
      </c>
      <c r="J29" s="716">
        <v>0.85670000000000002</v>
      </c>
      <c r="K29" s="716">
        <v>0.85670000000000002</v>
      </c>
      <c r="L29" s="716">
        <v>0.85670000000000002</v>
      </c>
      <c r="M29" s="716">
        <v>0.85670000000000002</v>
      </c>
    </row>
    <row r="30" spans="1:13">
      <c r="A30" s="717">
        <v>2.8</v>
      </c>
      <c r="B30" s="716">
        <v>1.0602</v>
      </c>
      <c r="C30" s="716">
        <v>1.0602</v>
      </c>
      <c r="D30" s="716">
        <v>0.96160000000000001</v>
      </c>
      <c r="E30" s="716">
        <v>0.96160000000000001</v>
      </c>
      <c r="F30" s="716">
        <v>0.96160000000000001</v>
      </c>
      <c r="G30" s="716">
        <v>0.96160000000000001</v>
      </c>
      <c r="H30" s="716">
        <v>0.96160000000000001</v>
      </c>
      <c r="I30" s="716">
        <v>0.8417</v>
      </c>
      <c r="J30" s="716">
        <v>0.8417</v>
      </c>
      <c r="K30" s="716">
        <v>0.8417</v>
      </c>
      <c r="L30" s="716">
        <v>0.8417</v>
      </c>
      <c r="M30" s="716">
        <v>0.8417</v>
      </c>
    </row>
    <row r="31" spans="1:13">
      <c r="A31" s="717">
        <v>2.9</v>
      </c>
      <c r="B31" s="716">
        <v>1.0497000000000001</v>
      </c>
      <c r="C31" s="716">
        <v>1.0497000000000001</v>
      </c>
      <c r="D31" s="716">
        <v>0.95089999999999997</v>
      </c>
      <c r="E31" s="716">
        <v>0.95089999999999997</v>
      </c>
      <c r="F31" s="716">
        <v>0.95089999999999997</v>
      </c>
      <c r="G31" s="716">
        <v>0.95089999999999997</v>
      </c>
      <c r="H31" s="716">
        <v>0.95089999999999997</v>
      </c>
      <c r="I31" s="716">
        <v>0.82809999999999995</v>
      </c>
      <c r="J31" s="716">
        <v>0.82809999999999995</v>
      </c>
      <c r="K31" s="716">
        <v>0.82809999999999995</v>
      </c>
      <c r="L31" s="716">
        <v>0.82809999999999995</v>
      </c>
      <c r="M31" s="716">
        <v>0.82809999999999995</v>
      </c>
    </row>
    <row r="32" spans="1:13">
      <c r="A32" s="717">
        <v>3</v>
      </c>
      <c r="B32" s="716">
        <v>1.0401</v>
      </c>
      <c r="C32" s="716">
        <v>1.0401</v>
      </c>
      <c r="D32" s="716">
        <v>0.94089999999999996</v>
      </c>
      <c r="E32" s="716">
        <v>0.94089999999999996</v>
      </c>
      <c r="F32" s="716">
        <v>0.94089999999999996</v>
      </c>
      <c r="G32" s="716">
        <v>0.94089999999999996</v>
      </c>
      <c r="H32" s="716">
        <v>0.94089999999999996</v>
      </c>
      <c r="I32" s="716">
        <v>0.81579999999999997</v>
      </c>
      <c r="J32" s="716">
        <v>0.81579999999999997</v>
      </c>
      <c r="K32" s="716">
        <v>0.81579999999999997</v>
      </c>
      <c r="L32" s="716">
        <v>0.81579999999999997</v>
      </c>
      <c r="M32" s="716">
        <v>0.81579999999999997</v>
      </c>
    </row>
    <row r="33" spans="1:13">
      <c r="A33" s="717">
        <v>3.1</v>
      </c>
      <c r="B33" s="716">
        <v>1.0314000000000001</v>
      </c>
      <c r="C33" s="716">
        <v>1.0314000000000001</v>
      </c>
      <c r="D33" s="716">
        <v>0.93169999999999997</v>
      </c>
      <c r="E33" s="716">
        <v>0.93169999999999997</v>
      </c>
      <c r="F33" s="716">
        <v>0.93169999999999997</v>
      </c>
      <c r="G33" s="716">
        <v>0.93169999999999997</v>
      </c>
      <c r="H33" s="716">
        <v>0.93169999999999997</v>
      </c>
      <c r="I33" s="716">
        <v>0.80410000000000004</v>
      </c>
      <c r="J33" s="716">
        <v>0.80410000000000004</v>
      </c>
      <c r="K33" s="716">
        <v>0.80410000000000004</v>
      </c>
      <c r="L33" s="716">
        <v>0.80410000000000004</v>
      </c>
      <c r="M33" s="716">
        <v>0.80410000000000004</v>
      </c>
    </row>
    <row r="34" spans="1:13">
      <c r="A34" s="717">
        <v>3.2</v>
      </c>
      <c r="B34" s="716">
        <v>1.0229999999999999</v>
      </c>
      <c r="C34" s="716">
        <v>1.0229999999999999</v>
      </c>
      <c r="D34" s="716">
        <v>0.92279999999999995</v>
      </c>
      <c r="E34" s="716">
        <v>0.92279999999999995</v>
      </c>
      <c r="F34" s="716">
        <v>0.92279999999999995</v>
      </c>
      <c r="G34" s="716">
        <v>0.92279999999999995</v>
      </c>
      <c r="H34" s="716">
        <v>0.92279999999999995</v>
      </c>
      <c r="I34" s="716">
        <v>0.79300000000000004</v>
      </c>
      <c r="J34" s="716">
        <v>0.79300000000000004</v>
      </c>
      <c r="K34" s="716">
        <v>0.79300000000000004</v>
      </c>
      <c r="L34" s="716">
        <v>0.79300000000000004</v>
      </c>
      <c r="M34" s="716">
        <v>0.79300000000000004</v>
      </c>
    </row>
    <row r="35" spans="1:13">
      <c r="A35" s="717">
        <v>3.3</v>
      </c>
      <c r="B35" s="716">
        <v>1.0149999999999999</v>
      </c>
      <c r="C35" s="716">
        <v>1.0149999999999999</v>
      </c>
      <c r="D35" s="716">
        <v>0.91439999999999999</v>
      </c>
      <c r="E35" s="716">
        <v>0.91439999999999999</v>
      </c>
      <c r="F35" s="716">
        <v>0.91439999999999999</v>
      </c>
      <c r="G35" s="716">
        <v>0.91439999999999999</v>
      </c>
      <c r="H35" s="716">
        <v>0.91439999999999999</v>
      </c>
      <c r="I35" s="716">
        <v>0.78220000000000001</v>
      </c>
      <c r="J35" s="716">
        <v>0.78220000000000001</v>
      </c>
      <c r="K35" s="716">
        <v>0.78220000000000001</v>
      </c>
      <c r="L35" s="716">
        <v>0.78220000000000001</v>
      </c>
      <c r="M35" s="716">
        <v>0.78220000000000001</v>
      </c>
    </row>
    <row r="36" spans="1:13">
      <c r="A36" s="717">
        <v>3.4</v>
      </c>
      <c r="B36" s="716">
        <v>1.0073000000000001</v>
      </c>
      <c r="C36" s="716">
        <v>1.0073000000000001</v>
      </c>
      <c r="D36" s="716">
        <v>0.90629999999999999</v>
      </c>
      <c r="E36" s="716">
        <v>0.90629999999999999</v>
      </c>
      <c r="F36" s="716">
        <v>0.90629999999999999</v>
      </c>
      <c r="G36" s="716">
        <v>0.90629999999999999</v>
      </c>
      <c r="H36" s="716">
        <v>0.90629999999999999</v>
      </c>
      <c r="I36" s="716">
        <v>0.77210000000000001</v>
      </c>
      <c r="J36" s="716">
        <v>0.77210000000000001</v>
      </c>
      <c r="K36" s="716">
        <v>0.77210000000000001</v>
      </c>
      <c r="L36" s="716">
        <v>0.77210000000000001</v>
      </c>
      <c r="M36" s="716">
        <v>0.77210000000000001</v>
      </c>
    </row>
    <row r="37" spans="1:13">
      <c r="A37" s="717">
        <v>3.5</v>
      </c>
      <c r="B37" s="716">
        <v>1</v>
      </c>
      <c r="C37" s="716">
        <v>1</v>
      </c>
      <c r="D37" s="716">
        <v>0.89870000000000005</v>
      </c>
      <c r="E37" s="716">
        <v>0.89870000000000005</v>
      </c>
      <c r="F37" s="716">
        <v>0.89870000000000005</v>
      </c>
      <c r="G37" s="716">
        <v>0.89870000000000005</v>
      </c>
      <c r="H37" s="716">
        <v>0.89870000000000005</v>
      </c>
      <c r="I37" s="716">
        <v>0.76239999999999997</v>
      </c>
      <c r="J37" s="716">
        <v>0.76239999999999997</v>
      </c>
      <c r="K37" s="716">
        <v>0.76239999999999997</v>
      </c>
      <c r="L37" s="716">
        <v>0.76239999999999997</v>
      </c>
      <c r="M37" s="716">
        <v>0.76239999999999997</v>
      </c>
    </row>
    <row r="38" spans="1:13">
      <c r="A38" s="717">
        <v>3.6</v>
      </c>
      <c r="B38" s="716">
        <v>0.99329999999999996</v>
      </c>
      <c r="C38" s="716">
        <v>0.99329999999999996</v>
      </c>
      <c r="D38" s="716">
        <v>0.89139999999999997</v>
      </c>
      <c r="E38" s="716">
        <v>0.89139999999999997</v>
      </c>
      <c r="F38" s="716">
        <v>0.89139999999999997</v>
      </c>
      <c r="G38" s="716">
        <v>0.89139999999999997</v>
      </c>
      <c r="H38" s="716">
        <v>0.89139999999999997</v>
      </c>
      <c r="I38" s="716">
        <v>0.75319999999999998</v>
      </c>
      <c r="J38" s="716">
        <v>0.75319999999999998</v>
      </c>
      <c r="K38" s="716">
        <v>0.75319999999999998</v>
      </c>
      <c r="L38" s="716">
        <v>0.75319999999999998</v>
      </c>
      <c r="M38" s="716">
        <v>0.75319999999999998</v>
      </c>
    </row>
    <row r="39" spans="1:13">
      <c r="A39" s="717">
        <v>3.7</v>
      </c>
      <c r="B39" s="716">
        <v>0.9869</v>
      </c>
      <c r="C39" s="716">
        <v>0.9869</v>
      </c>
      <c r="D39" s="716">
        <v>0.88449999999999995</v>
      </c>
      <c r="E39" s="716">
        <v>0.88449999999999995</v>
      </c>
      <c r="F39" s="716">
        <v>0.88449999999999995</v>
      </c>
      <c r="G39" s="716">
        <v>0.88449999999999995</v>
      </c>
      <c r="H39" s="716">
        <v>0.88449999999999995</v>
      </c>
      <c r="I39" s="716">
        <v>0.74460000000000004</v>
      </c>
      <c r="J39" s="716">
        <v>0.74460000000000004</v>
      </c>
      <c r="K39" s="716">
        <v>0.74460000000000004</v>
      </c>
      <c r="L39" s="716">
        <v>0.74460000000000004</v>
      </c>
      <c r="M39" s="716">
        <v>0.74460000000000004</v>
      </c>
    </row>
    <row r="40" spans="1:13">
      <c r="A40" s="717">
        <v>3.8</v>
      </c>
      <c r="B40" s="716">
        <v>0.98080000000000001</v>
      </c>
      <c r="C40" s="716">
        <v>0.98080000000000001</v>
      </c>
      <c r="D40" s="716">
        <v>0.87809999999999999</v>
      </c>
      <c r="E40" s="716">
        <v>0.87809999999999999</v>
      </c>
      <c r="F40" s="716">
        <v>0.87809999999999999</v>
      </c>
      <c r="G40" s="716">
        <v>0.87809999999999999</v>
      </c>
      <c r="H40" s="716">
        <v>0.87809999999999999</v>
      </c>
      <c r="I40" s="716">
        <v>0.73640000000000005</v>
      </c>
      <c r="J40" s="716">
        <v>0.73640000000000005</v>
      </c>
      <c r="K40" s="716">
        <v>0.73640000000000005</v>
      </c>
      <c r="L40" s="716">
        <v>0.73640000000000005</v>
      </c>
      <c r="M40" s="716">
        <v>0.73640000000000005</v>
      </c>
    </row>
    <row r="41" spans="1:13">
      <c r="A41" s="717">
        <v>3.9</v>
      </c>
      <c r="B41" s="716">
        <v>0.97509999999999997</v>
      </c>
      <c r="C41" s="716">
        <v>0.97509999999999997</v>
      </c>
      <c r="D41" s="716">
        <v>0.87209999999999999</v>
      </c>
      <c r="E41" s="716">
        <v>0.87209999999999999</v>
      </c>
      <c r="F41" s="716">
        <v>0.87209999999999999</v>
      </c>
      <c r="G41" s="716">
        <v>0.87209999999999999</v>
      </c>
      <c r="H41" s="716">
        <v>0.87209999999999999</v>
      </c>
      <c r="I41" s="716">
        <v>0.7288</v>
      </c>
      <c r="J41" s="716">
        <v>0.7288</v>
      </c>
      <c r="K41" s="716">
        <v>0.7288</v>
      </c>
      <c r="L41" s="716">
        <v>0.7288</v>
      </c>
      <c r="M41" s="716">
        <v>0.7288</v>
      </c>
    </row>
    <row r="42" spans="1:13">
      <c r="A42" s="717">
        <v>4</v>
      </c>
      <c r="B42" s="716">
        <v>0.96989999999999998</v>
      </c>
      <c r="C42" s="716">
        <v>0.96989999999999998</v>
      </c>
      <c r="D42" s="716">
        <v>0.86650000000000005</v>
      </c>
      <c r="E42" s="716">
        <v>0.86650000000000005</v>
      </c>
      <c r="F42" s="716">
        <v>0.86650000000000005</v>
      </c>
      <c r="G42" s="716">
        <v>0.86650000000000005</v>
      </c>
      <c r="H42" s="716">
        <v>0.86650000000000005</v>
      </c>
      <c r="I42" s="716">
        <v>0.7218</v>
      </c>
      <c r="J42" s="716">
        <v>0.7218</v>
      </c>
      <c r="K42" s="716">
        <v>0.7218</v>
      </c>
      <c r="L42" s="716">
        <v>0.7218</v>
      </c>
      <c r="M42" s="716">
        <v>0.7218</v>
      </c>
    </row>
    <row r="43" spans="1:13">
      <c r="A43" s="717">
        <v>4.0999999999999996</v>
      </c>
      <c r="B43" s="716">
        <v>0.96479999999999999</v>
      </c>
      <c r="C43" s="716">
        <v>0.96479999999999999</v>
      </c>
      <c r="D43" s="716">
        <v>0.86109999999999998</v>
      </c>
      <c r="E43" s="716">
        <v>0.86109999999999998</v>
      </c>
      <c r="F43" s="716">
        <v>0.86109999999999998</v>
      </c>
      <c r="G43" s="716">
        <v>0.86109999999999998</v>
      </c>
      <c r="H43" s="716">
        <v>0.86109999999999998</v>
      </c>
      <c r="I43" s="716">
        <v>0.71499999999999997</v>
      </c>
      <c r="J43" s="716">
        <v>0.71499999999999997</v>
      </c>
      <c r="K43" s="716">
        <v>0.71499999999999997</v>
      </c>
      <c r="L43" s="716">
        <v>0.71499999999999997</v>
      </c>
      <c r="M43" s="716">
        <v>0.71499999999999997</v>
      </c>
    </row>
    <row r="44" spans="1:13">
      <c r="A44" s="717">
        <v>4.2</v>
      </c>
      <c r="B44" s="716">
        <v>0.96</v>
      </c>
      <c r="C44" s="716">
        <v>0.96</v>
      </c>
      <c r="D44" s="716">
        <v>0.85599999999999998</v>
      </c>
      <c r="E44" s="716">
        <v>0.85599999999999998</v>
      </c>
      <c r="F44" s="716">
        <v>0.85599999999999998</v>
      </c>
      <c r="G44" s="716">
        <v>0.85599999999999998</v>
      </c>
      <c r="H44" s="716">
        <v>0.85599999999999998</v>
      </c>
      <c r="I44" s="716">
        <v>0.70840000000000003</v>
      </c>
      <c r="J44" s="716">
        <v>0.70840000000000003</v>
      </c>
      <c r="K44" s="716">
        <v>0.70840000000000003</v>
      </c>
      <c r="L44" s="716">
        <v>0.70840000000000003</v>
      </c>
      <c r="M44" s="716">
        <v>0.70840000000000003</v>
      </c>
    </row>
    <row r="45" spans="1:13">
      <c r="A45" s="717">
        <v>4.3</v>
      </c>
      <c r="B45" s="716">
        <v>0.95530000000000004</v>
      </c>
      <c r="C45" s="716">
        <v>0.95530000000000004</v>
      </c>
      <c r="D45" s="716">
        <v>0.85099999999999998</v>
      </c>
      <c r="E45" s="716">
        <v>0.85099999999999998</v>
      </c>
      <c r="F45" s="716">
        <v>0.85099999999999998</v>
      </c>
      <c r="G45" s="716">
        <v>0.85099999999999998</v>
      </c>
      <c r="H45" s="716">
        <v>0.85099999999999998</v>
      </c>
      <c r="I45" s="716">
        <v>0.70199999999999996</v>
      </c>
      <c r="J45" s="716">
        <v>0.70199999999999996</v>
      </c>
      <c r="K45" s="716">
        <v>0.70199999999999996</v>
      </c>
      <c r="L45" s="716">
        <v>0.70199999999999996</v>
      </c>
      <c r="M45" s="716">
        <v>0.70199999999999996</v>
      </c>
    </row>
    <row r="46" spans="1:13">
      <c r="A46" s="717">
        <v>4.4000000000000004</v>
      </c>
      <c r="B46" s="716">
        <v>0.95079999999999998</v>
      </c>
      <c r="C46" s="716">
        <v>0.95079999999999998</v>
      </c>
      <c r="D46" s="716">
        <v>0.84619999999999995</v>
      </c>
      <c r="E46" s="716">
        <v>0.84619999999999995</v>
      </c>
      <c r="F46" s="716">
        <v>0.84619999999999995</v>
      </c>
      <c r="G46" s="716">
        <v>0.84619999999999995</v>
      </c>
      <c r="H46" s="716">
        <v>0.84619999999999995</v>
      </c>
      <c r="I46" s="716">
        <v>0.69579999999999997</v>
      </c>
      <c r="J46" s="716">
        <v>0.69579999999999997</v>
      </c>
      <c r="K46" s="716">
        <v>0.69579999999999997</v>
      </c>
      <c r="L46" s="716">
        <v>0.69579999999999997</v>
      </c>
      <c r="M46" s="716">
        <v>0.69579999999999997</v>
      </c>
    </row>
    <row r="47" spans="1:13">
      <c r="A47" s="717">
        <v>4.5</v>
      </c>
      <c r="B47" s="716">
        <v>0.94640000000000002</v>
      </c>
      <c r="C47" s="716">
        <v>0.94640000000000002</v>
      </c>
      <c r="D47" s="716">
        <v>0.84150000000000003</v>
      </c>
      <c r="E47" s="716">
        <v>0.84150000000000003</v>
      </c>
      <c r="F47" s="716">
        <v>0.84150000000000003</v>
      </c>
      <c r="G47" s="716">
        <v>0.84150000000000003</v>
      </c>
      <c r="H47" s="716">
        <v>0.84150000000000003</v>
      </c>
      <c r="I47" s="716">
        <v>0.68989999999999996</v>
      </c>
      <c r="J47" s="716">
        <v>0.68989999999999996</v>
      </c>
      <c r="K47" s="716">
        <v>0.68989999999999996</v>
      </c>
      <c r="L47" s="716">
        <v>0.68989999999999996</v>
      </c>
      <c r="M47" s="716">
        <v>0.68989999999999996</v>
      </c>
    </row>
    <row r="48" spans="1:13">
      <c r="A48" s="717">
        <v>4.5999999999999996</v>
      </c>
      <c r="B48" s="716">
        <v>0.94230000000000003</v>
      </c>
      <c r="C48" s="716">
        <v>0.94230000000000003</v>
      </c>
      <c r="D48" s="716">
        <v>0.83709999999999996</v>
      </c>
      <c r="E48" s="716">
        <v>0.83709999999999996</v>
      </c>
      <c r="F48" s="716">
        <v>0.83709999999999996</v>
      </c>
      <c r="G48" s="716">
        <v>0.83709999999999996</v>
      </c>
      <c r="H48" s="716">
        <v>0.83709999999999996</v>
      </c>
      <c r="I48" s="716">
        <v>0.68430000000000002</v>
      </c>
      <c r="J48" s="716">
        <v>0.68430000000000002</v>
      </c>
      <c r="K48" s="716">
        <v>0.68430000000000002</v>
      </c>
      <c r="L48" s="716">
        <v>0.68430000000000002</v>
      </c>
      <c r="M48" s="716">
        <v>0.68430000000000002</v>
      </c>
    </row>
    <row r="49" spans="1:13">
      <c r="A49" s="717">
        <v>4.7</v>
      </c>
      <c r="B49" s="716">
        <v>0.93830000000000002</v>
      </c>
      <c r="C49" s="716">
        <v>0.93830000000000002</v>
      </c>
      <c r="D49" s="716">
        <v>0.83279999999999998</v>
      </c>
      <c r="E49" s="716">
        <v>0.83279999999999998</v>
      </c>
      <c r="F49" s="716">
        <v>0.83279999999999998</v>
      </c>
      <c r="G49" s="716">
        <v>0.83279999999999998</v>
      </c>
      <c r="H49" s="716">
        <v>0.83279999999999998</v>
      </c>
      <c r="I49" s="716">
        <v>0.67879999999999996</v>
      </c>
      <c r="J49" s="716">
        <v>0.67879999999999996</v>
      </c>
      <c r="K49" s="716">
        <v>0.67879999999999996</v>
      </c>
      <c r="L49" s="716">
        <v>0.67879999999999996</v>
      </c>
      <c r="M49" s="716">
        <v>0.67879999999999996</v>
      </c>
    </row>
    <row r="50" spans="1:13">
      <c r="A50" s="717">
        <v>4.8</v>
      </c>
      <c r="B50" s="716">
        <v>0.9345</v>
      </c>
      <c r="C50" s="716">
        <v>0.9345</v>
      </c>
      <c r="D50" s="716">
        <v>0.82869999999999999</v>
      </c>
      <c r="E50" s="716">
        <v>0.82869999999999999</v>
      </c>
      <c r="F50" s="716">
        <v>0.82869999999999999</v>
      </c>
      <c r="G50" s="716">
        <v>0.82869999999999999</v>
      </c>
      <c r="H50" s="716">
        <v>0.82869999999999999</v>
      </c>
      <c r="I50" s="716">
        <v>0.67359999999999998</v>
      </c>
      <c r="J50" s="716">
        <v>0.67359999999999998</v>
      </c>
      <c r="K50" s="716">
        <v>0.67359999999999998</v>
      </c>
      <c r="L50" s="716">
        <v>0.67359999999999998</v>
      </c>
      <c r="M50" s="716">
        <v>0.67359999999999998</v>
      </c>
    </row>
    <row r="51" spans="1:13">
      <c r="A51" s="717">
        <v>4.9000000000000004</v>
      </c>
      <c r="B51" s="716">
        <v>0.93079999999999996</v>
      </c>
      <c r="C51" s="716">
        <v>0.93079999999999996</v>
      </c>
      <c r="D51" s="716">
        <v>0.82479999999999998</v>
      </c>
      <c r="E51" s="716">
        <v>0.82479999999999998</v>
      </c>
      <c r="F51" s="716">
        <v>0.82479999999999998</v>
      </c>
      <c r="G51" s="716">
        <v>0.82479999999999998</v>
      </c>
      <c r="H51" s="716">
        <v>0.82479999999999998</v>
      </c>
      <c r="I51" s="716">
        <v>0.66849999999999998</v>
      </c>
      <c r="J51" s="716">
        <v>0.66849999999999998</v>
      </c>
      <c r="K51" s="716">
        <v>0.66849999999999998</v>
      </c>
      <c r="L51" s="716">
        <v>0.66849999999999998</v>
      </c>
      <c r="M51" s="716">
        <v>0.66849999999999998</v>
      </c>
    </row>
    <row r="52" spans="1:13">
      <c r="A52" s="717">
        <v>5</v>
      </c>
      <c r="B52" s="716">
        <v>0.9274</v>
      </c>
      <c r="C52" s="716">
        <v>0.9274</v>
      </c>
      <c r="D52" s="716">
        <v>0.82110000000000005</v>
      </c>
      <c r="E52" s="716">
        <v>0.82110000000000005</v>
      </c>
      <c r="F52" s="716">
        <v>0.82110000000000005</v>
      </c>
      <c r="G52" s="716">
        <v>0.82110000000000005</v>
      </c>
      <c r="H52" s="716">
        <v>0.82110000000000005</v>
      </c>
      <c r="I52" s="716">
        <v>0.66369999999999996</v>
      </c>
      <c r="J52" s="716">
        <v>0.66369999999999996</v>
      </c>
      <c r="K52" s="716">
        <v>0.66369999999999996</v>
      </c>
      <c r="L52" s="716">
        <v>0.66369999999999996</v>
      </c>
      <c r="M52" s="716">
        <v>0.66369999999999996</v>
      </c>
    </row>
    <row r="53" spans="1:13">
      <c r="A53" s="712">
        <v>5.0999999999999996</v>
      </c>
      <c r="B53" s="716">
        <v>0.92410000000000003</v>
      </c>
      <c r="C53" s="716">
        <v>0.92410000000000003</v>
      </c>
      <c r="D53" s="716">
        <v>0.8175</v>
      </c>
      <c r="E53" s="716">
        <v>0.8175</v>
      </c>
      <c r="F53" s="716">
        <v>0.8175</v>
      </c>
      <c r="G53" s="716">
        <v>0.8175</v>
      </c>
      <c r="H53" s="716">
        <v>0.8175</v>
      </c>
      <c r="I53" s="716">
        <v>0.65900000000000003</v>
      </c>
      <c r="J53" s="716">
        <v>0.65900000000000003</v>
      </c>
      <c r="K53" s="716">
        <v>0.65900000000000003</v>
      </c>
      <c r="L53" s="716">
        <v>0.65900000000000003</v>
      </c>
      <c r="M53" s="716">
        <v>0.65900000000000003</v>
      </c>
    </row>
    <row r="54" spans="1:13">
      <c r="A54" s="712">
        <v>5.2</v>
      </c>
      <c r="B54" s="716">
        <v>0.92090000000000005</v>
      </c>
      <c r="C54" s="716">
        <v>0.92090000000000005</v>
      </c>
      <c r="D54" s="716">
        <v>0.81399999999999995</v>
      </c>
      <c r="E54" s="716">
        <v>0.81399999999999995</v>
      </c>
      <c r="F54" s="716">
        <v>0.81399999999999995</v>
      </c>
      <c r="G54" s="716">
        <v>0.81399999999999995</v>
      </c>
      <c r="H54" s="716">
        <v>0.81399999999999995</v>
      </c>
      <c r="I54" s="716">
        <v>0.65449999999999997</v>
      </c>
      <c r="J54" s="716">
        <v>0.65449999999999997</v>
      </c>
      <c r="K54" s="716">
        <v>0.65449999999999997</v>
      </c>
      <c r="L54" s="716">
        <v>0.65449999999999997</v>
      </c>
      <c r="M54" s="716">
        <v>0.65449999999999997</v>
      </c>
    </row>
    <row r="55" spans="1:13">
      <c r="A55" s="712">
        <v>5.3</v>
      </c>
      <c r="B55" s="716">
        <v>0.91790000000000005</v>
      </c>
      <c r="C55" s="716">
        <v>0.91790000000000005</v>
      </c>
      <c r="D55" s="716">
        <v>0.81059999999999999</v>
      </c>
      <c r="E55" s="716">
        <v>0.81059999999999999</v>
      </c>
      <c r="F55" s="716">
        <v>0.81059999999999999</v>
      </c>
      <c r="G55" s="716">
        <v>0.81059999999999999</v>
      </c>
      <c r="H55" s="716">
        <v>0.81059999999999999</v>
      </c>
      <c r="I55" s="716">
        <v>0.6502</v>
      </c>
      <c r="J55" s="716">
        <v>0.6502</v>
      </c>
      <c r="K55" s="716">
        <v>0.6502</v>
      </c>
      <c r="L55" s="716">
        <v>0.6502</v>
      </c>
      <c r="M55" s="716">
        <v>0.6502</v>
      </c>
    </row>
    <row r="56" spans="1:13">
      <c r="A56" s="712">
        <v>5.4</v>
      </c>
      <c r="B56" s="716">
        <v>0.91490000000000005</v>
      </c>
      <c r="C56" s="716">
        <v>0.91490000000000005</v>
      </c>
      <c r="D56" s="716">
        <v>0.80740000000000001</v>
      </c>
      <c r="E56" s="716">
        <v>0.80740000000000001</v>
      </c>
      <c r="F56" s="716">
        <v>0.80740000000000001</v>
      </c>
      <c r="G56" s="716">
        <v>0.80740000000000001</v>
      </c>
      <c r="H56" s="716">
        <v>0.80740000000000001</v>
      </c>
      <c r="I56" s="716">
        <v>0.64590000000000003</v>
      </c>
      <c r="J56" s="716">
        <v>0.64590000000000003</v>
      </c>
      <c r="K56" s="716">
        <v>0.64590000000000003</v>
      </c>
      <c r="L56" s="716">
        <v>0.64590000000000003</v>
      </c>
      <c r="M56" s="716">
        <v>0.64590000000000003</v>
      </c>
    </row>
    <row r="57" spans="1:13">
      <c r="A57" s="712">
        <v>5.5</v>
      </c>
      <c r="B57" s="716">
        <v>0.91200000000000003</v>
      </c>
      <c r="C57" s="716">
        <v>0.91200000000000003</v>
      </c>
      <c r="D57" s="716">
        <v>0.80420000000000003</v>
      </c>
      <c r="E57" s="716">
        <v>0.80420000000000003</v>
      </c>
      <c r="F57" s="716">
        <v>0.80420000000000003</v>
      </c>
      <c r="G57" s="716">
        <v>0.80420000000000003</v>
      </c>
      <c r="H57" s="716">
        <v>0.80420000000000003</v>
      </c>
      <c r="I57" s="716">
        <v>0.64180000000000004</v>
      </c>
      <c r="J57" s="716">
        <v>0.64180000000000004</v>
      </c>
      <c r="K57" s="716">
        <v>0.64180000000000004</v>
      </c>
      <c r="L57" s="716">
        <v>0.64180000000000004</v>
      </c>
      <c r="M57" s="716">
        <v>0.64180000000000004</v>
      </c>
    </row>
    <row r="58" spans="1:13">
      <c r="A58" s="712">
        <v>5.6</v>
      </c>
      <c r="B58" s="716">
        <v>0.90910000000000002</v>
      </c>
      <c r="C58" s="716">
        <v>0.90910000000000002</v>
      </c>
      <c r="D58" s="716">
        <v>0.80120000000000002</v>
      </c>
      <c r="E58" s="716">
        <v>0.80120000000000002</v>
      </c>
      <c r="F58" s="716">
        <v>0.80120000000000002</v>
      </c>
      <c r="G58" s="716">
        <v>0.80120000000000002</v>
      </c>
      <c r="H58" s="716">
        <v>0.80120000000000002</v>
      </c>
      <c r="I58" s="716">
        <v>0.63790000000000002</v>
      </c>
      <c r="J58" s="716">
        <v>0.63790000000000002</v>
      </c>
      <c r="K58" s="716">
        <v>0.63790000000000002</v>
      </c>
      <c r="L58" s="716">
        <v>0.63790000000000002</v>
      </c>
      <c r="M58" s="716">
        <v>0.63790000000000002</v>
      </c>
    </row>
    <row r="59" spans="1:13">
      <c r="A59" s="717">
        <v>5.7</v>
      </c>
      <c r="B59" s="716">
        <v>0.90639999999999998</v>
      </c>
      <c r="C59" s="716">
        <v>0.90639999999999998</v>
      </c>
      <c r="D59" s="716">
        <v>0.79820000000000002</v>
      </c>
      <c r="E59" s="716">
        <v>0.79820000000000002</v>
      </c>
      <c r="F59" s="716">
        <v>0.79820000000000002</v>
      </c>
      <c r="G59" s="716">
        <v>0.79820000000000002</v>
      </c>
      <c r="H59" s="716">
        <v>0.79820000000000002</v>
      </c>
      <c r="I59" s="716">
        <v>0.6341</v>
      </c>
      <c r="J59" s="716">
        <v>0.6341</v>
      </c>
      <c r="K59" s="716">
        <v>0.6341</v>
      </c>
      <c r="L59" s="716">
        <v>0.6341</v>
      </c>
      <c r="M59" s="716">
        <v>0.6341</v>
      </c>
    </row>
    <row r="60" spans="1:13">
      <c r="A60" s="712">
        <v>5.8</v>
      </c>
      <c r="B60" s="716">
        <v>0.90380000000000005</v>
      </c>
      <c r="C60" s="716">
        <v>0.90380000000000005</v>
      </c>
      <c r="D60" s="716">
        <v>0.7954</v>
      </c>
      <c r="E60" s="716">
        <v>0.7954</v>
      </c>
      <c r="F60" s="716">
        <v>0.7954</v>
      </c>
      <c r="G60" s="716">
        <v>0.7954</v>
      </c>
      <c r="H60" s="716">
        <v>0.7954</v>
      </c>
      <c r="I60" s="716">
        <v>0.63039999999999996</v>
      </c>
      <c r="J60" s="716">
        <v>0.63039999999999996</v>
      </c>
      <c r="K60" s="716">
        <v>0.63039999999999996</v>
      </c>
      <c r="L60" s="716">
        <v>0.63039999999999996</v>
      </c>
      <c r="M60" s="716">
        <v>0.63039999999999996</v>
      </c>
    </row>
    <row r="61" spans="1:13">
      <c r="A61" s="712">
        <v>5.9</v>
      </c>
      <c r="B61" s="716">
        <v>0.90129999999999999</v>
      </c>
      <c r="C61" s="716">
        <v>0.90129999999999999</v>
      </c>
      <c r="D61" s="716">
        <v>0.79269999999999996</v>
      </c>
      <c r="E61" s="716">
        <v>0.79269999999999996</v>
      </c>
      <c r="F61" s="716">
        <v>0.79269999999999996</v>
      </c>
      <c r="G61" s="716">
        <v>0.79269999999999996</v>
      </c>
      <c r="H61" s="716">
        <v>0.79269999999999996</v>
      </c>
      <c r="I61" s="716">
        <v>0.62690000000000001</v>
      </c>
      <c r="J61" s="716">
        <v>0.62690000000000001</v>
      </c>
      <c r="K61" s="716">
        <v>0.62690000000000001</v>
      </c>
      <c r="L61" s="716">
        <v>0.62690000000000001</v>
      </c>
      <c r="M61" s="716">
        <v>0.62690000000000001</v>
      </c>
    </row>
    <row r="62" spans="1:13">
      <c r="A62" s="712">
        <v>6</v>
      </c>
      <c r="B62" s="716">
        <v>0.89890000000000003</v>
      </c>
      <c r="C62" s="716">
        <v>0.89890000000000003</v>
      </c>
      <c r="D62" s="716">
        <v>0.79020000000000001</v>
      </c>
      <c r="E62" s="716">
        <v>0.79020000000000001</v>
      </c>
      <c r="F62" s="716">
        <v>0.79020000000000001</v>
      </c>
      <c r="G62" s="716">
        <v>0.79020000000000001</v>
      </c>
      <c r="H62" s="716">
        <v>0.79020000000000001</v>
      </c>
      <c r="I62" s="716">
        <v>0.62350000000000005</v>
      </c>
      <c r="J62" s="716">
        <v>0.62350000000000005</v>
      </c>
      <c r="K62" s="716">
        <v>0.62350000000000005</v>
      </c>
      <c r="L62" s="716">
        <v>0.62350000000000005</v>
      </c>
      <c r="M62" s="716">
        <v>0.62350000000000005</v>
      </c>
    </row>
    <row r="63" spans="1:13">
      <c r="A63" s="712">
        <v>6.1</v>
      </c>
      <c r="B63" s="716">
        <v>0.89649999999999996</v>
      </c>
      <c r="C63" s="716">
        <v>0.89649999999999996</v>
      </c>
      <c r="D63" s="716">
        <v>0.78769999999999996</v>
      </c>
      <c r="E63" s="716">
        <v>0.78769999999999996</v>
      </c>
      <c r="F63" s="716">
        <v>0.78769999999999996</v>
      </c>
      <c r="G63" s="716">
        <v>0.78769999999999996</v>
      </c>
      <c r="H63" s="716">
        <v>0.78769999999999996</v>
      </c>
      <c r="I63" s="716">
        <v>0.62029999999999996</v>
      </c>
      <c r="J63" s="716">
        <v>0.62029999999999996</v>
      </c>
      <c r="K63" s="716">
        <v>0.62029999999999996</v>
      </c>
      <c r="L63" s="716">
        <v>0.62029999999999996</v>
      </c>
      <c r="M63" s="716">
        <v>0.62029999999999996</v>
      </c>
    </row>
    <row r="64" spans="1:13">
      <c r="A64" s="712">
        <v>6.2</v>
      </c>
      <c r="B64" s="716">
        <v>0.89429999999999998</v>
      </c>
      <c r="C64" s="716">
        <v>0.89429999999999998</v>
      </c>
      <c r="D64" s="716">
        <v>0.78520000000000001</v>
      </c>
      <c r="E64" s="716">
        <v>0.78520000000000001</v>
      </c>
      <c r="F64" s="716">
        <v>0.78520000000000001</v>
      </c>
      <c r="G64" s="716">
        <v>0.78520000000000001</v>
      </c>
      <c r="H64" s="716">
        <v>0.78520000000000001</v>
      </c>
      <c r="I64" s="716">
        <v>0.61719999999999997</v>
      </c>
      <c r="J64" s="716">
        <v>0.61719999999999997</v>
      </c>
      <c r="K64" s="716">
        <v>0.61719999999999997</v>
      </c>
      <c r="L64" s="716">
        <v>0.61719999999999997</v>
      </c>
      <c r="M64" s="716">
        <v>0.61719999999999997</v>
      </c>
    </row>
    <row r="65" spans="1:13">
      <c r="A65" s="712">
        <v>6.3</v>
      </c>
      <c r="B65" s="716">
        <v>0.89200000000000002</v>
      </c>
      <c r="C65" s="716">
        <v>0.89200000000000002</v>
      </c>
      <c r="D65" s="716">
        <v>0.78280000000000005</v>
      </c>
      <c r="E65" s="716">
        <v>0.78280000000000005</v>
      </c>
      <c r="F65" s="716">
        <v>0.78280000000000005</v>
      </c>
      <c r="G65" s="716">
        <v>0.78280000000000005</v>
      </c>
      <c r="H65" s="716">
        <v>0.78280000000000005</v>
      </c>
      <c r="I65" s="716">
        <v>0.61409999999999998</v>
      </c>
      <c r="J65" s="716">
        <v>0.61409999999999998</v>
      </c>
      <c r="K65" s="716">
        <v>0.61409999999999998</v>
      </c>
      <c r="L65" s="716">
        <v>0.61409999999999998</v>
      </c>
      <c r="M65" s="716">
        <v>0.61409999999999998</v>
      </c>
    </row>
    <row r="66" spans="1:13">
      <c r="A66" s="712">
        <v>6.4</v>
      </c>
      <c r="B66" s="716">
        <v>0.88990000000000002</v>
      </c>
      <c r="C66" s="716">
        <v>0.88990000000000002</v>
      </c>
      <c r="D66" s="716">
        <v>0.78039999999999998</v>
      </c>
      <c r="E66" s="716">
        <v>0.78039999999999998</v>
      </c>
      <c r="F66" s="716">
        <v>0.78039999999999998</v>
      </c>
      <c r="G66" s="716">
        <v>0.78039999999999998</v>
      </c>
      <c r="H66" s="716">
        <v>0.78039999999999998</v>
      </c>
      <c r="I66" s="716">
        <v>0.61099999999999999</v>
      </c>
      <c r="J66" s="716">
        <v>0.61099999999999999</v>
      </c>
      <c r="K66" s="716">
        <v>0.61099999999999999</v>
      </c>
      <c r="L66" s="716">
        <v>0.61099999999999999</v>
      </c>
      <c r="M66" s="716">
        <v>0.61099999999999999</v>
      </c>
    </row>
    <row r="67" spans="1:13">
      <c r="A67" s="712">
        <v>6.5</v>
      </c>
      <c r="B67" s="716">
        <v>0.88780000000000003</v>
      </c>
      <c r="C67" s="716">
        <v>0.88780000000000003</v>
      </c>
      <c r="D67" s="716">
        <v>0.77810000000000001</v>
      </c>
      <c r="E67" s="716">
        <v>0.77810000000000001</v>
      </c>
      <c r="F67" s="716">
        <v>0.77810000000000001</v>
      </c>
      <c r="G67" s="716">
        <v>0.77810000000000001</v>
      </c>
      <c r="H67" s="716">
        <v>0.77810000000000001</v>
      </c>
      <c r="I67" s="716">
        <v>0.60799999999999998</v>
      </c>
      <c r="J67" s="716">
        <v>0.60799999999999998</v>
      </c>
      <c r="K67" s="716">
        <v>0.60799999999999998</v>
      </c>
      <c r="L67" s="716">
        <v>0.60799999999999998</v>
      </c>
      <c r="M67" s="716">
        <v>0.60799999999999998</v>
      </c>
    </row>
    <row r="68" spans="1:13">
      <c r="A68" s="712">
        <v>6.6</v>
      </c>
      <c r="B68" s="716">
        <v>0.88580000000000003</v>
      </c>
      <c r="C68" s="716">
        <v>0.88580000000000003</v>
      </c>
      <c r="D68" s="716">
        <v>0.77580000000000005</v>
      </c>
      <c r="E68" s="716">
        <v>0.77580000000000005</v>
      </c>
      <c r="F68" s="716">
        <v>0.77580000000000005</v>
      </c>
      <c r="G68" s="716">
        <v>0.77580000000000005</v>
      </c>
      <c r="H68" s="716">
        <v>0.77580000000000005</v>
      </c>
      <c r="I68" s="716">
        <v>0.60499999999999998</v>
      </c>
      <c r="J68" s="716">
        <v>0.60499999999999998</v>
      </c>
      <c r="K68" s="716">
        <v>0.60499999999999998</v>
      </c>
      <c r="L68" s="716">
        <v>0.60499999999999998</v>
      </c>
      <c r="M68" s="716">
        <v>0.60499999999999998</v>
      </c>
    </row>
    <row r="69" spans="1:13">
      <c r="A69" s="712">
        <v>6.7</v>
      </c>
      <c r="B69" s="716">
        <v>0.88380000000000003</v>
      </c>
      <c r="C69" s="716">
        <v>0.88380000000000003</v>
      </c>
      <c r="D69" s="716">
        <v>0.77359999999999995</v>
      </c>
      <c r="E69" s="716">
        <v>0.77359999999999995</v>
      </c>
      <c r="F69" s="716">
        <v>0.77359999999999995</v>
      </c>
      <c r="G69" s="716">
        <v>0.77359999999999995</v>
      </c>
      <c r="H69" s="716">
        <v>0.77359999999999995</v>
      </c>
      <c r="I69" s="716">
        <v>0.60209999999999997</v>
      </c>
      <c r="J69" s="716">
        <v>0.60209999999999997</v>
      </c>
      <c r="K69" s="716">
        <v>0.60209999999999997</v>
      </c>
      <c r="L69" s="716">
        <v>0.60209999999999997</v>
      </c>
      <c r="M69" s="716">
        <v>0.60209999999999997</v>
      </c>
    </row>
    <row r="70" spans="1:13">
      <c r="A70" s="712">
        <v>6.8</v>
      </c>
      <c r="B70" s="716">
        <v>0.88190000000000002</v>
      </c>
      <c r="C70" s="716">
        <v>0.88190000000000002</v>
      </c>
      <c r="D70" s="716">
        <v>0.77159999999999995</v>
      </c>
      <c r="E70" s="716">
        <v>0.77159999999999995</v>
      </c>
      <c r="F70" s="716">
        <v>0.77159999999999995</v>
      </c>
      <c r="G70" s="716">
        <v>0.77159999999999995</v>
      </c>
      <c r="H70" s="716">
        <v>0.77159999999999995</v>
      </c>
      <c r="I70" s="716">
        <v>0.59930000000000005</v>
      </c>
      <c r="J70" s="716">
        <v>0.59930000000000005</v>
      </c>
      <c r="K70" s="716">
        <v>0.59930000000000005</v>
      </c>
      <c r="L70" s="716">
        <v>0.59930000000000005</v>
      </c>
      <c r="M70" s="716">
        <v>0.59930000000000005</v>
      </c>
    </row>
    <row r="71" spans="1:13">
      <c r="A71" s="712">
        <v>6.9</v>
      </c>
      <c r="B71" s="716">
        <v>0.88</v>
      </c>
      <c r="C71" s="716">
        <v>0.88</v>
      </c>
      <c r="D71" s="716">
        <v>0.76949999999999996</v>
      </c>
      <c r="E71" s="716">
        <v>0.76949999999999996</v>
      </c>
      <c r="F71" s="716">
        <v>0.76949999999999996</v>
      </c>
      <c r="G71" s="716">
        <v>0.76949999999999996</v>
      </c>
      <c r="H71" s="716">
        <v>0.76949999999999996</v>
      </c>
      <c r="I71" s="716">
        <v>0.59640000000000004</v>
      </c>
      <c r="J71" s="716">
        <v>0.59640000000000004</v>
      </c>
      <c r="K71" s="716">
        <v>0.59640000000000004</v>
      </c>
      <c r="L71" s="716">
        <v>0.59640000000000004</v>
      </c>
      <c r="M71" s="716">
        <v>0.59640000000000004</v>
      </c>
    </row>
    <row r="72" spans="1:13">
      <c r="A72" s="712">
        <v>7</v>
      </c>
      <c r="B72" s="716">
        <v>0.87819999999999998</v>
      </c>
      <c r="C72" s="716">
        <v>0.87819999999999998</v>
      </c>
      <c r="D72" s="716">
        <v>0.76749999999999996</v>
      </c>
      <c r="E72" s="716">
        <v>0.76749999999999996</v>
      </c>
      <c r="F72" s="716">
        <v>0.76749999999999996</v>
      </c>
      <c r="G72" s="716">
        <v>0.76749999999999996</v>
      </c>
      <c r="H72" s="716">
        <v>0.76749999999999996</v>
      </c>
      <c r="I72" s="716">
        <v>0.59360000000000002</v>
      </c>
      <c r="J72" s="716">
        <v>0.59360000000000002</v>
      </c>
      <c r="K72" s="716">
        <v>0.59360000000000002</v>
      </c>
      <c r="L72" s="716">
        <v>0.59360000000000002</v>
      </c>
      <c r="M72" s="716">
        <v>0.59360000000000002</v>
      </c>
    </row>
    <row r="73" spans="1:13">
      <c r="A73" s="712">
        <v>7.1</v>
      </c>
      <c r="B73" s="716">
        <v>0.87660000000000005</v>
      </c>
      <c r="C73" s="716">
        <v>0.87660000000000005</v>
      </c>
      <c r="D73" s="716">
        <v>0.76570000000000005</v>
      </c>
      <c r="E73" s="716">
        <v>0.76570000000000005</v>
      </c>
      <c r="F73" s="716">
        <v>0.76570000000000005</v>
      </c>
      <c r="G73" s="716">
        <v>0.76570000000000005</v>
      </c>
      <c r="H73" s="716">
        <v>0.76570000000000005</v>
      </c>
      <c r="I73" s="716">
        <v>0.59109999999999996</v>
      </c>
      <c r="J73" s="716">
        <v>0.59109999999999996</v>
      </c>
      <c r="K73" s="716">
        <v>0.59109999999999996</v>
      </c>
      <c r="L73" s="716">
        <v>0.59109999999999996</v>
      </c>
      <c r="M73" s="716">
        <v>0.59109999999999996</v>
      </c>
    </row>
    <row r="74" spans="1:13">
      <c r="A74" s="712">
        <v>7.2</v>
      </c>
      <c r="B74" s="716">
        <v>0.87490000000000001</v>
      </c>
      <c r="C74" s="716">
        <v>0.87490000000000001</v>
      </c>
      <c r="D74" s="716">
        <v>0.76380000000000003</v>
      </c>
      <c r="E74" s="716">
        <v>0.76380000000000003</v>
      </c>
      <c r="F74" s="716">
        <v>0.76380000000000003</v>
      </c>
      <c r="G74" s="716">
        <v>0.76380000000000003</v>
      </c>
      <c r="H74" s="716">
        <v>0.76380000000000003</v>
      </c>
      <c r="I74" s="716">
        <v>0.58860000000000001</v>
      </c>
      <c r="J74" s="716">
        <v>0.58860000000000001</v>
      </c>
      <c r="K74" s="716">
        <v>0.58860000000000001</v>
      </c>
      <c r="L74" s="716">
        <v>0.58860000000000001</v>
      </c>
      <c r="M74" s="716">
        <v>0.58860000000000001</v>
      </c>
    </row>
    <row r="75" spans="1:13">
      <c r="A75" s="712">
        <v>7.3</v>
      </c>
      <c r="B75" s="716">
        <v>0.87329999999999997</v>
      </c>
      <c r="C75" s="716">
        <v>0.87329999999999997</v>
      </c>
      <c r="D75" s="716">
        <v>0.76200000000000001</v>
      </c>
      <c r="E75" s="716">
        <v>0.76200000000000001</v>
      </c>
      <c r="F75" s="716">
        <v>0.76200000000000001</v>
      </c>
      <c r="G75" s="716">
        <v>0.76200000000000001</v>
      </c>
      <c r="H75" s="716">
        <v>0.76200000000000001</v>
      </c>
      <c r="I75" s="716">
        <v>0.58620000000000005</v>
      </c>
      <c r="J75" s="716">
        <v>0.58620000000000005</v>
      </c>
      <c r="K75" s="716">
        <v>0.58620000000000005</v>
      </c>
      <c r="L75" s="716">
        <v>0.58620000000000005</v>
      </c>
      <c r="M75" s="716">
        <v>0.58620000000000005</v>
      </c>
    </row>
    <row r="76" spans="1:13">
      <c r="A76" s="712">
        <v>7.4</v>
      </c>
      <c r="B76" s="716">
        <v>0.87160000000000004</v>
      </c>
      <c r="C76" s="716">
        <v>0.87160000000000004</v>
      </c>
      <c r="D76" s="716">
        <v>0.76029999999999998</v>
      </c>
      <c r="E76" s="716">
        <v>0.76029999999999998</v>
      </c>
      <c r="F76" s="716">
        <v>0.76029999999999998</v>
      </c>
      <c r="G76" s="716">
        <v>0.76029999999999998</v>
      </c>
      <c r="H76" s="716">
        <v>0.76029999999999998</v>
      </c>
      <c r="I76" s="716">
        <v>0.58379999999999999</v>
      </c>
      <c r="J76" s="716">
        <v>0.58379999999999999</v>
      </c>
      <c r="K76" s="716">
        <v>0.58379999999999999</v>
      </c>
      <c r="L76" s="716">
        <v>0.58379999999999999</v>
      </c>
      <c r="M76" s="716">
        <v>0.58379999999999999</v>
      </c>
    </row>
    <row r="77" spans="1:13">
      <c r="A77" s="712">
        <v>7.5</v>
      </c>
      <c r="B77" s="716">
        <v>0.87</v>
      </c>
      <c r="C77" s="716">
        <v>0.87</v>
      </c>
      <c r="D77" s="716">
        <v>0.75849999999999995</v>
      </c>
      <c r="E77" s="716">
        <v>0.75849999999999995</v>
      </c>
      <c r="F77" s="716">
        <v>0.75849999999999995</v>
      </c>
      <c r="G77" s="716">
        <v>0.75849999999999995</v>
      </c>
      <c r="H77" s="716">
        <v>0.75849999999999995</v>
      </c>
      <c r="I77" s="716">
        <v>0.58140000000000003</v>
      </c>
      <c r="J77" s="716">
        <v>0.58140000000000003</v>
      </c>
      <c r="K77" s="716">
        <v>0.58140000000000003</v>
      </c>
      <c r="L77" s="716">
        <v>0.58140000000000003</v>
      </c>
      <c r="M77" s="716">
        <v>0.58140000000000003</v>
      </c>
    </row>
    <row r="78" spans="1:13">
      <c r="A78" s="712">
        <v>7.6</v>
      </c>
      <c r="B78" s="716">
        <v>0.86839999999999995</v>
      </c>
      <c r="C78" s="716">
        <v>0.86839999999999995</v>
      </c>
      <c r="D78" s="716">
        <v>0.75680000000000003</v>
      </c>
      <c r="E78" s="716">
        <v>0.75680000000000003</v>
      </c>
      <c r="F78" s="716">
        <v>0.75680000000000003</v>
      </c>
      <c r="G78" s="716">
        <v>0.75680000000000003</v>
      </c>
      <c r="H78" s="716">
        <v>0.75680000000000003</v>
      </c>
      <c r="I78" s="716">
        <v>0.57899999999999996</v>
      </c>
      <c r="J78" s="716">
        <v>0.57899999999999996</v>
      </c>
      <c r="K78" s="716">
        <v>0.57899999999999996</v>
      </c>
      <c r="L78" s="716">
        <v>0.57899999999999996</v>
      </c>
      <c r="M78" s="716">
        <v>0.57899999999999996</v>
      </c>
    </row>
    <row r="79" spans="1:13">
      <c r="A79" s="712">
        <v>7.7</v>
      </c>
      <c r="B79" s="716">
        <v>0.8669</v>
      </c>
      <c r="C79" s="716">
        <v>0.8669</v>
      </c>
      <c r="D79" s="716">
        <v>0.755</v>
      </c>
      <c r="E79" s="716">
        <v>0.755</v>
      </c>
      <c r="F79" s="716">
        <v>0.755</v>
      </c>
      <c r="G79" s="716">
        <v>0.755</v>
      </c>
      <c r="H79" s="716">
        <v>0.755</v>
      </c>
      <c r="I79" s="716">
        <v>0.57669999999999999</v>
      </c>
      <c r="J79" s="716">
        <v>0.57669999999999999</v>
      </c>
      <c r="K79" s="716">
        <v>0.57669999999999999</v>
      </c>
      <c r="L79" s="716">
        <v>0.57669999999999999</v>
      </c>
      <c r="M79" s="716">
        <v>0.57669999999999999</v>
      </c>
    </row>
    <row r="80" spans="1:13">
      <c r="A80" s="712">
        <v>7.8</v>
      </c>
      <c r="B80" s="716">
        <v>0.86539999999999995</v>
      </c>
      <c r="C80" s="716">
        <v>0.86539999999999995</v>
      </c>
      <c r="D80" s="716">
        <v>0.75329999999999997</v>
      </c>
      <c r="E80" s="716">
        <v>0.75329999999999997</v>
      </c>
      <c r="F80" s="716">
        <v>0.75329999999999997</v>
      </c>
      <c r="G80" s="716">
        <v>0.75329999999999997</v>
      </c>
      <c r="H80" s="716">
        <v>0.75329999999999997</v>
      </c>
      <c r="I80" s="716">
        <v>0.57450000000000001</v>
      </c>
      <c r="J80" s="716">
        <v>0.57450000000000001</v>
      </c>
      <c r="K80" s="716">
        <v>0.57450000000000001</v>
      </c>
      <c r="L80" s="716">
        <v>0.57450000000000001</v>
      </c>
      <c r="M80" s="716">
        <v>0.57450000000000001</v>
      </c>
    </row>
    <row r="81" spans="1:13">
      <c r="A81" s="712">
        <v>7.9</v>
      </c>
      <c r="B81" s="716">
        <v>0.86380000000000001</v>
      </c>
      <c r="C81" s="716">
        <v>0.86380000000000001</v>
      </c>
      <c r="D81" s="716">
        <v>0.75170000000000003</v>
      </c>
      <c r="E81" s="716">
        <v>0.75170000000000003</v>
      </c>
      <c r="F81" s="716">
        <v>0.75170000000000003</v>
      </c>
      <c r="G81" s="716">
        <v>0.75170000000000003</v>
      </c>
      <c r="H81" s="716">
        <v>0.75170000000000003</v>
      </c>
      <c r="I81" s="716">
        <v>0.57220000000000004</v>
      </c>
      <c r="J81" s="716">
        <v>0.57220000000000004</v>
      </c>
      <c r="K81" s="716">
        <v>0.57220000000000004</v>
      </c>
      <c r="L81" s="716">
        <v>0.57220000000000004</v>
      </c>
      <c r="M81" s="716">
        <v>0.57220000000000004</v>
      </c>
    </row>
    <row r="82" spans="1:13">
      <c r="A82" s="712">
        <v>8</v>
      </c>
      <c r="B82" s="716">
        <v>0.86240000000000006</v>
      </c>
      <c r="C82" s="716">
        <v>0.86240000000000006</v>
      </c>
      <c r="D82" s="716">
        <v>0.75</v>
      </c>
      <c r="E82" s="716">
        <v>0.75</v>
      </c>
      <c r="F82" s="716">
        <v>0.75</v>
      </c>
      <c r="G82" s="716">
        <v>0.75</v>
      </c>
      <c r="H82" s="716">
        <v>0.75</v>
      </c>
      <c r="I82" s="716">
        <v>0.56989999999999996</v>
      </c>
      <c r="J82" s="716">
        <v>0.56989999999999996</v>
      </c>
      <c r="K82" s="716">
        <v>0.56989999999999996</v>
      </c>
      <c r="L82" s="716">
        <v>0.56989999999999996</v>
      </c>
      <c r="M82" s="716">
        <v>0.56989999999999996</v>
      </c>
    </row>
    <row r="83" spans="1:13">
      <c r="A83" s="712">
        <v>8.1</v>
      </c>
      <c r="B83" s="716">
        <v>0.86099999999999999</v>
      </c>
      <c r="C83" s="716">
        <v>0.86099999999999999</v>
      </c>
      <c r="D83" s="716">
        <v>0.74850000000000005</v>
      </c>
      <c r="E83" s="716">
        <v>0.74850000000000005</v>
      </c>
      <c r="F83" s="716">
        <v>0.74850000000000005</v>
      </c>
      <c r="G83" s="716">
        <v>0.74850000000000005</v>
      </c>
      <c r="H83" s="716">
        <v>0.74850000000000005</v>
      </c>
      <c r="I83" s="716">
        <v>0.56779999999999997</v>
      </c>
      <c r="J83" s="716">
        <v>0.56779999999999997</v>
      </c>
      <c r="K83" s="716">
        <v>0.56779999999999997</v>
      </c>
      <c r="L83" s="716">
        <v>0.56779999999999997</v>
      </c>
      <c r="M83" s="716">
        <v>0.56779999999999997</v>
      </c>
    </row>
    <row r="84" spans="1:13">
      <c r="A84" s="712">
        <v>8.1999999999999993</v>
      </c>
      <c r="B84" s="716">
        <v>0.85970000000000002</v>
      </c>
      <c r="C84" s="716">
        <v>0.85970000000000002</v>
      </c>
      <c r="D84" s="716">
        <v>0.747</v>
      </c>
      <c r="E84" s="716">
        <v>0.747</v>
      </c>
      <c r="F84" s="716">
        <v>0.747</v>
      </c>
      <c r="G84" s="716">
        <v>0.747</v>
      </c>
      <c r="H84" s="716">
        <v>0.747</v>
      </c>
      <c r="I84" s="716">
        <v>0.56589999999999996</v>
      </c>
      <c r="J84" s="716">
        <v>0.56589999999999996</v>
      </c>
      <c r="K84" s="716">
        <v>0.56589999999999996</v>
      </c>
      <c r="L84" s="716">
        <v>0.56589999999999996</v>
      </c>
      <c r="M84" s="716">
        <v>0.56589999999999996</v>
      </c>
    </row>
    <row r="85" spans="1:13">
      <c r="A85" s="712">
        <v>8.3000000000000007</v>
      </c>
      <c r="B85" s="716">
        <v>0.85840000000000005</v>
      </c>
      <c r="C85" s="716">
        <v>0.85840000000000005</v>
      </c>
      <c r="D85" s="716">
        <v>0.74560000000000004</v>
      </c>
      <c r="E85" s="716">
        <v>0.74560000000000004</v>
      </c>
      <c r="F85" s="716">
        <v>0.74560000000000004</v>
      </c>
      <c r="G85" s="716">
        <v>0.74560000000000004</v>
      </c>
      <c r="H85" s="716">
        <v>0.74560000000000004</v>
      </c>
      <c r="I85" s="716">
        <v>0.56389999999999996</v>
      </c>
      <c r="J85" s="716">
        <v>0.56389999999999996</v>
      </c>
      <c r="K85" s="716">
        <v>0.56389999999999996</v>
      </c>
      <c r="L85" s="716">
        <v>0.56389999999999996</v>
      </c>
      <c r="M85" s="716">
        <v>0.56389999999999996</v>
      </c>
    </row>
    <row r="86" spans="1:13">
      <c r="A86" s="712">
        <v>8.4</v>
      </c>
      <c r="B86" s="716">
        <v>0.85709999999999997</v>
      </c>
      <c r="C86" s="716">
        <v>0.85709999999999997</v>
      </c>
      <c r="D86" s="716">
        <v>0.74419999999999997</v>
      </c>
      <c r="E86" s="716">
        <v>0.74419999999999997</v>
      </c>
      <c r="F86" s="716">
        <v>0.74419999999999997</v>
      </c>
      <c r="G86" s="716">
        <v>0.74419999999999997</v>
      </c>
      <c r="H86" s="716">
        <v>0.74419999999999997</v>
      </c>
      <c r="I86" s="716">
        <v>0.56189999999999996</v>
      </c>
      <c r="J86" s="716">
        <v>0.56189999999999996</v>
      </c>
      <c r="K86" s="716">
        <v>0.56189999999999996</v>
      </c>
      <c r="L86" s="716">
        <v>0.56189999999999996</v>
      </c>
      <c r="M86" s="716">
        <v>0.56189999999999996</v>
      </c>
    </row>
    <row r="87" spans="1:13">
      <c r="A87" s="712">
        <v>8.5</v>
      </c>
      <c r="B87" s="716">
        <v>0.85580000000000001</v>
      </c>
      <c r="C87" s="716">
        <v>0.85580000000000001</v>
      </c>
      <c r="D87" s="716">
        <v>0.74270000000000003</v>
      </c>
      <c r="E87" s="716">
        <v>0.74270000000000003</v>
      </c>
      <c r="F87" s="716">
        <v>0.74270000000000003</v>
      </c>
      <c r="G87" s="716">
        <v>0.74270000000000003</v>
      </c>
      <c r="H87" s="716">
        <v>0.74270000000000003</v>
      </c>
      <c r="I87" s="716">
        <v>0.55989999999999995</v>
      </c>
      <c r="J87" s="716">
        <v>0.55989999999999995</v>
      </c>
      <c r="K87" s="716">
        <v>0.55989999999999995</v>
      </c>
      <c r="L87" s="716">
        <v>0.55989999999999995</v>
      </c>
      <c r="M87" s="716">
        <v>0.55989999999999995</v>
      </c>
    </row>
    <row r="88" spans="1:13">
      <c r="A88" s="712">
        <v>8.6</v>
      </c>
      <c r="B88" s="716">
        <v>0.85450000000000004</v>
      </c>
      <c r="C88" s="716">
        <v>0.85450000000000004</v>
      </c>
      <c r="D88" s="716">
        <v>0.74129999999999996</v>
      </c>
      <c r="E88" s="716">
        <v>0.74129999999999996</v>
      </c>
      <c r="F88" s="716">
        <v>0.74129999999999996</v>
      </c>
      <c r="G88" s="716">
        <v>0.74129999999999996</v>
      </c>
      <c r="H88" s="716">
        <v>0.74129999999999996</v>
      </c>
      <c r="I88" s="716">
        <v>0.55800000000000005</v>
      </c>
      <c r="J88" s="716">
        <v>0.55800000000000005</v>
      </c>
      <c r="K88" s="716">
        <v>0.55800000000000005</v>
      </c>
      <c r="L88" s="716">
        <v>0.55800000000000005</v>
      </c>
      <c r="M88" s="716">
        <v>0.55800000000000005</v>
      </c>
    </row>
    <row r="89" spans="1:13">
      <c r="A89" s="712">
        <v>8.6999999999999993</v>
      </c>
      <c r="B89" s="716">
        <v>0.85329999999999995</v>
      </c>
      <c r="C89" s="716">
        <v>0.85329999999999995</v>
      </c>
      <c r="D89" s="716">
        <v>0.7399</v>
      </c>
      <c r="E89" s="716">
        <v>0.7399</v>
      </c>
      <c r="F89" s="716">
        <v>0.7399</v>
      </c>
      <c r="G89" s="716">
        <v>0.7399</v>
      </c>
      <c r="H89" s="716">
        <v>0.7399</v>
      </c>
      <c r="I89" s="716">
        <v>0.55600000000000005</v>
      </c>
      <c r="J89" s="716">
        <v>0.55600000000000005</v>
      </c>
      <c r="K89" s="716">
        <v>0.55600000000000005</v>
      </c>
      <c r="L89" s="716">
        <v>0.55600000000000005</v>
      </c>
      <c r="M89" s="716">
        <v>0.55600000000000005</v>
      </c>
    </row>
    <row r="90" spans="1:13">
      <c r="A90" s="712">
        <v>8.8000000000000007</v>
      </c>
      <c r="B90" s="716">
        <v>0.85209999999999997</v>
      </c>
      <c r="C90" s="716">
        <v>0.85209999999999997</v>
      </c>
      <c r="D90" s="716">
        <v>0.73850000000000005</v>
      </c>
      <c r="E90" s="716">
        <v>0.73850000000000005</v>
      </c>
      <c r="F90" s="716">
        <v>0.73850000000000005</v>
      </c>
      <c r="G90" s="716">
        <v>0.73850000000000005</v>
      </c>
      <c r="H90" s="716">
        <v>0.73850000000000005</v>
      </c>
      <c r="I90" s="716">
        <v>0.55420000000000003</v>
      </c>
      <c r="J90" s="716">
        <v>0.55420000000000003</v>
      </c>
      <c r="K90" s="716">
        <v>0.55420000000000003</v>
      </c>
      <c r="L90" s="716">
        <v>0.55420000000000003</v>
      </c>
      <c r="M90" s="716">
        <v>0.55420000000000003</v>
      </c>
    </row>
    <row r="91" spans="1:13">
      <c r="A91" s="712">
        <v>8.9</v>
      </c>
      <c r="B91" s="716">
        <v>0.85099999999999998</v>
      </c>
      <c r="C91" s="716">
        <v>0.85099999999999998</v>
      </c>
      <c r="D91" s="716">
        <v>0.73719999999999997</v>
      </c>
      <c r="E91" s="716">
        <v>0.73719999999999997</v>
      </c>
      <c r="F91" s="716">
        <v>0.73719999999999997</v>
      </c>
      <c r="G91" s="716">
        <v>0.73719999999999997</v>
      </c>
      <c r="H91" s="716">
        <v>0.73719999999999997</v>
      </c>
      <c r="I91" s="716">
        <v>0.55230000000000001</v>
      </c>
      <c r="J91" s="716">
        <v>0.55230000000000001</v>
      </c>
      <c r="K91" s="716">
        <v>0.55230000000000001</v>
      </c>
      <c r="L91" s="716">
        <v>0.55230000000000001</v>
      </c>
      <c r="M91" s="716">
        <v>0.55230000000000001</v>
      </c>
    </row>
    <row r="92" spans="1:13">
      <c r="A92" s="717">
        <v>9</v>
      </c>
      <c r="B92" s="716">
        <v>0.8498</v>
      </c>
      <c r="C92" s="716">
        <v>0.8498</v>
      </c>
      <c r="D92" s="716">
        <v>0.7359</v>
      </c>
      <c r="E92" s="716">
        <v>0.7359</v>
      </c>
      <c r="F92" s="716">
        <v>0.7359</v>
      </c>
      <c r="G92" s="716">
        <v>0.7359</v>
      </c>
      <c r="H92" s="716">
        <v>0.7359</v>
      </c>
      <c r="I92" s="716">
        <v>0.55049999999999999</v>
      </c>
      <c r="J92" s="716">
        <v>0.55049999999999999</v>
      </c>
      <c r="K92" s="716">
        <v>0.55049999999999999</v>
      </c>
      <c r="L92" s="716">
        <v>0.55049999999999999</v>
      </c>
      <c r="M92" s="716">
        <v>0.55049999999999999</v>
      </c>
    </row>
    <row r="93" spans="1:13">
      <c r="A93" s="717">
        <v>9.1</v>
      </c>
      <c r="B93" s="716">
        <v>0.84870000000000001</v>
      </c>
      <c r="C93" s="716">
        <v>0.84870000000000001</v>
      </c>
      <c r="D93" s="716">
        <v>0.73470000000000002</v>
      </c>
      <c r="E93" s="716">
        <v>0.73470000000000002</v>
      </c>
      <c r="F93" s="716">
        <v>0.73470000000000002</v>
      </c>
      <c r="G93" s="716">
        <v>0.73470000000000002</v>
      </c>
      <c r="H93" s="716">
        <v>0.73470000000000002</v>
      </c>
      <c r="I93" s="716">
        <v>0.54879999999999995</v>
      </c>
      <c r="J93" s="716">
        <v>0.54879999999999995</v>
      </c>
      <c r="K93" s="716">
        <v>0.54879999999999995</v>
      </c>
      <c r="L93" s="716">
        <v>0.54879999999999995</v>
      </c>
      <c r="M93" s="716">
        <v>0.54879999999999995</v>
      </c>
    </row>
    <row r="94" spans="1:13">
      <c r="A94" s="717">
        <v>9.1999999999999993</v>
      </c>
      <c r="B94" s="716">
        <v>0.84770000000000001</v>
      </c>
      <c r="C94" s="716">
        <v>0.84770000000000001</v>
      </c>
      <c r="D94" s="716">
        <v>0.73350000000000004</v>
      </c>
      <c r="E94" s="716">
        <v>0.73350000000000004</v>
      </c>
      <c r="F94" s="716">
        <v>0.73350000000000004</v>
      </c>
      <c r="G94" s="716">
        <v>0.73350000000000004</v>
      </c>
      <c r="H94" s="716">
        <v>0.73350000000000004</v>
      </c>
      <c r="I94" s="716">
        <v>0.54710000000000003</v>
      </c>
      <c r="J94" s="716">
        <v>0.54710000000000003</v>
      </c>
      <c r="K94" s="716">
        <v>0.54710000000000003</v>
      </c>
      <c r="L94" s="716">
        <v>0.54710000000000003</v>
      </c>
      <c r="M94" s="716">
        <v>0.54710000000000003</v>
      </c>
    </row>
    <row r="95" spans="1:13">
      <c r="A95" s="717">
        <v>9.3000000000000007</v>
      </c>
      <c r="B95" s="716">
        <v>0.84660000000000002</v>
      </c>
      <c r="C95" s="716">
        <v>0.84660000000000002</v>
      </c>
      <c r="D95" s="716">
        <v>0.73229999999999995</v>
      </c>
      <c r="E95" s="716">
        <v>0.73229999999999995</v>
      </c>
      <c r="F95" s="716">
        <v>0.73229999999999995</v>
      </c>
      <c r="G95" s="716">
        <v>0.73229999999999995</v>
      </c>
      <c r="H95" s="716">
        <v>0.73229999999999995</v>
      </c>
      <c r="I95" s="716">
        <v>0.5454</v>
      </c>
      <c r="J95" s="716">
        <v>0.5454</v>
      </c>
      <c r="K95" s="716">
        <v>0.5454</v>
      </c>
      <c r="L95" s="716">
        <v>0.5454</v>
      </c>
      <c r="M95" s="716">
        <v>0.5454</v>
      </c>
    </row>
    <row r="96" spans="1:13">
      <c r="A96" s="717">
        <v>9.4</v>
      </c>
      <c r="B96" s="716">
        <v>0.84550000000000003</v>
      </c>
      <c r="C96" s="716">
        <v>0.84550000000000003</v>
      </c>
      <c r="D96" s="716">
        <v>0.73109999999999997</v>
      </c>
      <c r="E96" s="716">
        <v>0.73109999999999997</v>
      </c>
      <c r="F96" s="716">
        <v>0.73109999999999997</v>
      </c>
      <c r="G96" s="716">
        <v>0.73109999999999997</v>
      </c>
      <c r="H96" s="716">
        <v>0.73109999999999997</v>
      </c>
      <c r="I96" s="716">
        <v>0.54369999999999996</v>
      </c>
      <c r="J96" s="716">
        <v>0.54369999999999996</v>
      </c>
      <c r="K96" s="716">
        <v>0.54369999999999996</v>
      </c>
      <c r="L96" s="716">
        <v>0.54369999999999996</v>
      </c>
      <c r="M96" s="716">
        <v>0.54369999999999996</v>
      </c>
    </row>
    <row r="97" spans="1:14">
      <c r="A97" s="717">
        <v>9.5</v>
      </c>
      <c r="B97" s="716">
        <v>0.84450000000000003</v>
      </c>
      <c r="C97" s="716">
        <v>0.84450000000000003</v>
      </c>
      <c r="D97" s="716">
        <v>0.72989999999999999</v>
      </c>
      <c r="E97" s="716">
        <v>0.72989999999999999</v>
      </c>
      <c r="F97" s="716">
        <v>0.72989999999999999</v>
      </c>
      <c r="G97" s="716">
        <v>0.72989999999999999</v>
      </c>
      <c r="H97" s="716">
        <v>0.72989999999999999</v>
      </c>
      <c r="I97" s="716">
        <v>0.54200000000000004</v>
      </c>
      <c r="J97" s="716">
        <v>0.54200000000000004</v>
      </c>
      <c r="K97" s="716">
        <v>0.54200000000000004</v>
      </c>
      <c r="L97" s="716">
        <v>0.54200000000000004</v>
      </c>
      <c r="M97" s="716">
        <v>0.54200000000000004</v>
      </c>
    </row>
    <row r="98" spans="1:14">
      <c r="A98" s="717">
        <v>9.6</v>
      </c>
      <c r="B98" s="716">
        <v>0.84340000000000004</v>
      </c>
      <c r="C98" s="716">
        <v>0.84340000000000004</v>
      </c>
      <c r="D98" s="716">
        <v>0.72870000000000001</v>
      </c>
      <c r="E98" s="716">
        <v>0.72870000000000001</v>
      </c>
      <c r="F98" s="716">
        <v>0.72870000000000001</v>
      </c>
      <c r="G98" s="716">
        <v>0.72870000000000001</v>
      </c>
      <c r="H98" s="716">
        <v>0.72870000000000001</v>
      </c>
      <c r="I98" s="716">
        <v>0.5403</v>
      </c>
      <c r="J98" s="716">
        <v>0.5403</v>
      </c>
      <c r="K98" s="716">
        <v>0.5403</v>
      </c>
      <c r="L98" s="716">
        <v>0.5403</v>
      </c>
      <c r="M98" s="716">
        <v>0.5403</v>
      </c>
    </row>
    <row r="99" spans="1:14">
      <c r="A99" s="717">
        <v>9.6999999999999993</v>
      </c>
      <c r="B99" s="716">
        <v>0.84230000000000005</v>
      </c>
      <c r="C99" s="716">
        <v>0.84230000000000005</v>
      </c>
      <c r="D99" s="716">
        <v>0.72750000000000004</v>
      </c>
      <c r="E99" s="716">
        <v>0.72750000000000004</v>
      </c>
      <c r="F99" s="716">
        <v>0.72750000000000004</v>
      </c>
      <c r="G99" s="716">
        <v>0.72750000000000004</v>
      </c>
      <c r="H99" s="716">
        <v>0.72750000000000004</v>
      </c>
      <c r="I99" s="716">
        <v>0.53859999999999997</v>
      </c>
      <c r="J99" s="716">
        <v>0.53859999999999997</v>
      </c>
      <c r="K99" s="716">
        <v>0.53859999999999997</v>
      </c>
      <c r="L99" s="716">
        <v>0.53859999999999997</v>
      </c>
      <c r="M99" s="716">
        <v>0.53859999999999997</v>
      </c>
    </row>
    <row r="100" spans="1:14">
      <c r="A100" s="717">
        <v>9.8000000000000007</v>
      </c>
      <c r="B100" s="716">
        <v>0.84140000000000004</v>
      </c>
      <c r="C100" s="716">
        <v>0.84140000000000004</v>
      </c>
      <c r="D100" s="716">
        <v>0.72629999999999995</v>
      </c>
      <c r="E100" s="716">
        <v>0.72629999999999995</v>
      </c>
      <c r="F100" s="716">
        <v>0.72629999999999995</v>
      </c>
      <c r="G100" s="716">
        <v>0.72629999999999995</v>
      </c>
      <c r="H100" s="716">
        <v>0.72629999999999995</v>
      </c>
      <c r="I100" s="716">
        <v>0.53710000000000002</v>
      </c>
      <c r="J100" s="716">
        <v>0.53710000000000002</v>
      </c>
      <c r="K100" s="716">
        <v>0.53710000000000002</v>
      </c>
      <c r="L100" s="716">
        <v>0.53710000000000002</v>
      </c>
      <c r="M100" s="716">
        <v>0.53710000000000002</v>
      </c>
    </row>
    <row r="101" spans="1:14">
      <c r="A101" s="717">
        <v>9.9</v>
      </c>
      <c r="B101" s="716">
        <v>0.84050000000000002</v>
      </c>
      <c r="C101" s="716">
        <v>0.84050000000000002</v>
      </c>
      <c r="D101" s="716">
        <v>0.72519999999999996</v>
      </c>
      <c r="E101" s="716">
        <v>0.72519999999999996</v>
      </c>
      <c r="F101" s="716">
        <v>0.72519999999999996</v>
      </c>
      <c r="G101" s="716">
        <v>0.72519999999999996</v>
      </c>
      <c r="H101" s="716">
        <v>0.72519999999999996</v>
      </c>
      <c r="I101" s="716">
        <v>0.53549999999999998</v>
      </c>
      <c r="J101" s="716">
        <v>0.53549999999999998</v>
      </c>
      <c r="K101" s="716">
        <v>0.53549999999999998</v>
      </c>
      <c r="L101" s="716">
        <v>0.53549999999999998</v>
      </c>
      <c r="M101" s="716">
        <v>0.53549999999999998</v>
      </c>
    </row>
    <row r="102" spans="1:14">
      <c r="A102" s="717">
        <v>10</v>
      </c>
      <c r="B102" s="716">
        <v>0.83950000000000002</v>
      </c>
      <c r="C102" s="716">
        <v>0.83950000000000002</v>
      </c>
      <c r="D102" s="716">
        <v>0.72409999999999997</v>
      </c>
      <c r="E102" s="716">
        <v>0.72409999999999997</v>
      </c>
      <c r="F102" s="716">
        <v>0.72409999999999997</v>
      </c>
      <c r="G102" s="716">
        <v>0.72409999999999997</v>
      </c>
      <c r="H102" s="716">
        <v>0.72409999999999997</v>
      </c>
      <c r="I102" s="716">
        <v>0.53400000000000003</v>
      </c>
      <c r="J102" s="716">
        <v>0.53400000000000003</v>
      </c>
      <c r="K102" s="716">
        <v>0.53400000000000003</v>
      </c>
      <c r="L102" s="716">
        <v>0.53400000000000003</v>
      </c>
      <c r="M102" s="716">
        <v>0.53400000000000003</v>
      </c>
    </row>
    <row r="103" spans="1:14" ht="15.6">
      <c r="A103" s="710" t="s">
        <v>526</v>
      </c>
      <c r="B103" s="711"/>
      <c r="C103" s="711"/>
      <c r="D103" s="711"/>
      <c r="E103" s="711"/>
      <c r="F103" s="711"/>
      <c r="G103" s="711"/>
      <c r="H103" s="711"/>
      <c r="I103" s="711"/>
      <c r="J103" s="711"/>
      <c r="K103" s="711"/>
      <c r="L103" s="711"/>
      <c r="M103" s="711"/>
      <c r="N103" s="711"/>
    </row>
    <row r="104" spans="1:14" ht="15.6">
      <c r="A104" s="712" t="s">
        <v>524</v>
      </c>
      <c r="B104" s="713" t="s">
        <v>106</v>
      </c>
      <c r="C104" s="713" t="s">
        <v>107</v>
      </c>
      <c r="D104" s="713" t="s">
        <v>108</v>
      </c>
      <c r="E104" s="713" t="s">
        <v>109</v>
      </c>
      <c r="F104" s="713" t="s">
        <v>110</v>
      </c>
      <c r="G104" s="713" t="s">
        <v>111</v>
      </c>
      <c r="H104" s="714" t="s">
        <v>112</v>
      </c>
      <c r="I104" s="714" t="s">
        <v>113</v>
      </c>
      <c r="J104" s="715" t="s">
        <v>114</v>
      </c>
      <c r="K104" s="715" t="s">
        <v>115</v>
      </c>
      <c r="L104" s="715" t="s">
        <v>116</v>
      </c>
      <c r="M104" s="715" t="s">
        <v>117</v>
      </c>
      <c r="N104" s="711">
        <f>SUMPRODUCT((A105:A204=ROUNDDOWN(基准地价修正!G3,1))*(B104:M104=基准地价修正!G2)*(B105:M204))</f>
        <v>0</v>
      </c>
    </row>
    <row r="105" spans="1:14">
      <c r="A105" s="712">
        <v>0.1</v>
      </c>
      <c r="B105" s="716">
        <v>13.733000000000001</v>
      </c>
      <c r="C105" s="716">
        <v>13.733000000000001</v>
      </c>
      <c r="D105" s="716">
        <v>12.787000000000001</v>
      </c>
      <c r="E105" s="716">
        <v>12.787000000000001</v>
      </c>
      <c r="F105" s="716">
        <v>12.787000000000001</v>
      </c>
      <c r="G105" s="716">
        <v>12.787000000000001</v>
      </c>
      <c r="H105" s="716">
        <v>12.787000000000001</v>
      </c>
      <c r="I105" s="716">
        <v>12.384</v>
      </c>
      <c r="J105" s="716">
        <v>12.384</v>
      </c>
      <c r="K105" s="716">
        <v>12.384</v>
      </c>
      <c r="L105" s="716">
        <v>12.384</v>
      </c>
      <c r="M105" s="716">
        <v>12.384</v>
      </c>
    </row>
    <row r="106" spans="1:14">
      <c r="A106" s="712">
        <v>0.2</v>
      </c>
      <c r="B106" s="716">
        <v>6.8665000000000003</v>
      </c>
      <c r="C106" s="716">
        <v>6.8665000000000003</v>
      </c>
      <c r="D106" s="716">
        <v>6.3935000000000004</v>
      </c>
      <c r="E106" s="716">
        <v>6.3935000000000004</v>
      </c>
      <c r="F106" s="716">
        <v>6.3935000000000004</v>
      </c>
      <c r="G106" s="716">
        <v>6.3935000000000004</v>
      </c>
      <c r="H106" s="716">
        <v>6.3935000000000004</v>
      </c>
      <c r="I106" s="716">
        <v>6.1920000000000002</v>
      </c>
      <c r="J106" s="716">
        <v>6.1920000000000002</v>
      </c>
      <c r="K106" s="716">
        <v>6.1920000000000002</v>
      </c>
      <c r="L106" s="716">
        <v>6.1920000000000002</v>
      </c>
      <c r="M106" s="716">
        <v>6.1920000000000002</v>
      </c>
    </row>
    <row r="107" spans="1:14">
      <c r="A107" s="712">
        <v>0.3</v>
      </c>
      <c r="B107" s="716">
        <v>4.5777000000000001</v>
      </c>
      <c r="C107" s="716">
        <v>4.5777000000000001</v>
      </c>
      <c r="D107" s="716">
        <v>4.2622999999999998</v>
      </c>
      <c r="E107" s="716">
        <v>4.2622999999999998</v>
      </c>
      <c r="F107" s="716">
        <v>4.2622999999999998</v>
      </c>
      <c r="G107" s="716">
        <v>4.2622999999999998</v>
      </c>
      <c r="H107" s="716">
        <v>4.2622999999999998</v>
      </c>
      <c r="I107" s="716">
        <v>4.1280000000000001</v>
      </c>
      <c r="J107" s="716">
        <v>4.1280000000000001</v>
      </c>
      <c r="K107" s="716">
        <v>4.1280000000000001</v>
      </c>
      <c r="L107" s="716">
        <v>4.1280000000000001</v>
      </c>
      <c r="M107" s="716">
        <v>4.1280000000000001</v>
      </c>
    </row>
    <row r="108" spans="1:14">
      <c r="A108" s="712">
        <v>0.4</v>
      </c>
      <c r="B108" s="716">
        <v>3.4333</v>
      </c>
      <c r="C108" s="716">
        <v>3.4333</v>
      </c>
      <c r="D108" s="716">
        <v>3.1968000000000001</v>
      </c>
      <c r="E108" s="716">
        <v>3.1968000000000001</v>
      </c>
      <c r="F108" s="716">
        <v>3.1968000000000001</v>
      </c>
      <c r="G108" s="716">
        <v>3.1968000000000001</v>
      </c>
      <c r="H108" s="716">
        <v>3.1968000000000001</v>
      </c>
      <c r="I108" s="716">
        <v>3.0960000000000001</v>
      </c>
      <c r="J108" s="716">
        <v>3.0960000000000001</v>
      </c>
      <c r="K108" s="716">
        <v>3.0960000000000001</v>
      </c>
      <c r="L108" s="716">
        <v>3.0960000000000001</v>
      </c>
      <c r="M108" s="716">
        <v>3.0960000000000001</v>
      </c>
    </row>
    <row r="109" spans="1:14">
      <c r="A109" s="712">
        <v>0.5</v>
      </c>
      <c r="B109" s="716">
        <v>2.7465999999999999</v>
      </c>
      <c r="C109" s="716">
        <v>2.7465999999999999</v>
      </c>
      <c r="D109" s="716">
        <v>2.5573999999999999</v>
      </c>
      <c r="E109" s="716">
        <v>2.5573999999999999</v>
      </c>
      <c r="F109" s="716">
        <v>2.5573999999999999</v>
      </c>
      <c r="G109" s="716">
        <v>2.5573999999999999</v>
      </c>
      <c r="H109" s="716">
        <v>2.5573999999999999</v>
      </c>
      <c r="I109" s="716">
        <v>2.4767999999999999</v>
      </c>
      <c r="J109" s="716">
        <v>2.4767999999999999</v>
      </c>
      <c r="K109" s="716">
        <v>2.4767999999999999</v>
      </c>
      <c r="L109" s="716">
        <v>2.4767999999999999</v>
      </c>
      <c r="M109" s="716">
        <v>2.4767999999999999</v>
      </c>
    </row>
    <row r="110" spans="1:14">
      <c r="A110" s="712">
        <v>0.6</v>
      </c>
      <c r="B110" s="716">
        <v>2.2888000000000002</v>
      </c>
      <c r="C110" s="716">
        <v>2.2888000000000002</v>
      </c>
      <c r="D110" s="716">
        <v>2.1312000000000002</v>
      </c>
      <c r="E110" s="716">
        <v>2.1312000000000002</v>
      </c>
      <c r="F110" s="716">
        <v>2.1312000000000002</v>
      </c>
      <c r="G110" s="716">
        <v>2.1312000000000002</v>
      </c>
      <c r="H110" s="716">
        <v>2.1312000000000002</v>
      </c>
      <c r="I110" s="716">
        <v>2.0640000000000001</v>
      </c>
      <c r="J110" s="716">
        <v>2.0640000000000001</v>
      </c>
      <c r="K110" s="716">
        <v>2.0640000000000001</v>
      </c>
      <c r="L110" s="716">
        <v>2.0640000000000001</v>
      </c>
      <c r="M110" s="716">
        <v>2.0640000000000001</v>
      </c>
    </row>
    <row r="111" spans="1:14">
      <c r="A111" s="712">
        <v>0.7</v>
      </c>
      <c r="B111" s="716">
        <v>1.9619</v>
      </c>
      <c r="C111" s="716">
        <v>1.9619</v>
      </c>
      <c r="D111" s="716">
        <v>1.8267</v>
      </c>
      <c r="E111" s="716">
        <v>1.8267</v>
      </c>
      <c r="F111" s="716">
        <v>1.8267</v>
      </c>
      <c r="G111" s="716">
        <v>1.8267</v>
      </c>
      <c r="H111" s="716">
        <v>1.8267</v>
      </c>
      <c r="I111" s="716">
        <v>1.7690999999999999</v>
      </c>
      <c r="J111" s="716">
        <v>1.7690999999999999</v>
      </c>
      <c r="K111" s="716">
        <v>1.7690999999999999</v>
      </c>
      <c r="L111" s="716">
        <v>1.7690999999999999</v>
      </c>
      <c r="M111" s="716">
        <v>1.7690999999999999</v>
      </c>
    </row>
    <row r="112" spans="1:14">
      <c r="A112" s="712">
        <v>0.8</v>
      </c>
      <c r="B112" s="716">
        <v>1.7165999999999999</v>
      </c>
      <c r="C112" s="716">
        <v>1.7165999999999999</v>
      </c>
      <c r="D112" s="716">
        <v>1.5984</v>
      </c>
      <c r="E112" s="716">
        <v>1.5984</v>
      </c>
      <c r="F112" s="716">
        <v>1.5984</v>
      </c>
      <c r="G112" s="716">
        <v>1.5984</v>
      </c>
      <c r="H112" s="716">
        <v>1.5984</v>
      </c>
      <c r="I112" s="716">
        <v>1.548</v>
      </c>
      <c r="J112" s="716">
        <v>1.548</v>
      </c>
      <c r="K112" s="716">
        <v>1.548</v>
      </c>
      <c r="L112" s="716">
        <v>1.548</v>
      </c>
      <c r="M112" s="716">
        <v>1.548</v>
      </c>
    </row>
    <row r="113" spans="1:13">
      <c r="A113" s="712">
        <v>0.9</v>
      </c>
      <c r="B113" s="716">
        <v>1.5259</v>
      </c>
      <c r="C113" s="716">
        <v>1.5259</v>
      </c>
      <c r="D113" s="716">
        <v>1.4208000000000001</v>
      </c>
      <c r="E113" s="716">
        <v>1.4208000000000001</v>
      </c>
      <c r="F113" s="716">
        <v>1.4208000000000001</v>
      </c>
      <c r="G113" s="716">
        <v>1.4208000000000001</v>
      </c>
      <c r="H113" s="716">
        <v>1.4208000000000001</v>
      </c>
      <c r="I113" s="716">
        <v>1.3759999999999999</v>
      </c>
      <c r="J113" s="716">
        <v>1.3759999999999999</v>
      </c>
      <c r="K113" s="716">
        <v>1.3759999999999999</v>
      </c>
      <c r="L113" s="716">
        <v>1.3759999999999999</v>
      </c>
      <c r="M113" s="716">
        <v>1.3759999999999999</v>
      </c>
    </row>
    <row r="114" spans="1:13">
      <c r="A114" s="712">
        <v>1</v>
      </c>
      <c r="B114" s="716">
        <v>1.3733</v>
      </c>
      <c r="C114" s="716">
        <v>1.3733</v>
      </c>
      <c r="D114" s="716">
        <v>1.2786999999999999</v>
      </c>
      <c r="E114" s="716">
        <v>1.2786999999999999</v>
      </c>
      <c r="F114" s="716">
        <v>1.2786999999999999</v>
      </c>
      <c r="G114" s="716">
        <v>1.2786999999999999</v>
      </c>
      <c r="H114" s="716">
        <v>1.2786999999999999</v>
      </c>
      <c r="I114" s="716">
        <v>1.2383999999999999</v>
      </c>
      <c r="J114" s="716">
        <v>1.2383999999999999</v>
      </c>
      <c r="K114" s="716">
        <v>1.2383999999999999</v>
      </c>
      <c r="L114" s="716">
        <v>1.2383999999999999</v>
      </c>
      <c r="M114" s="716">
        <v>1.2383999999999999</v>
      </c>
    </row>
    <row r="115" spans="1:13">
      <c r="A115" s="712">
        <v>1.1000000000000001</v>
      </c>
      <c r="B115" s="716">
        <v>1.3489</v>
      </c>
      <c r="C115" s="716">
        <v>1.3489</v>
      </c>
      <c r="D115" s="716">
        <v>1.2542</v>
      </c>
      <c r="E115" s="716">
        <v>1.2542</v>
      </c>
      <c r="F115" s="716">
        <v>1.2542</v>
      </c>
      <c r="G115" s="716">
        <v>1.2542</v>
      </c>
      <c r="H115" s="716">
        <v>1.2542</v>
      </c>
      <c r="I115" s="716">
        <v>1.2050000000000001</v>
      </c>
      <c r="J115" s="716">
        <v>1.2050000000000001</v>
      </c>
      <c r="K115" s="716">
        <v>1.2050000000000001</v>
      </c>
      <c r="L115" s="716">
        <v>1.2050000000000001</v>
      </c>
      <c r="M115" s="716">
        <v>1.2050000000000001</v>
      </c>
    </row>
    <row r="116" spans="1:13">
      <c r="A116" s="712">
        <v>1.2</v>
      </c>
      <c r="B116" s="716">
        <v>1.3255999999999999</v>
      </c>
      <c r="C116" s="716">
        <v>1.3255999999999999</v>
      </c>
      <c r="D116" s="716">
        <v>1.2305999999999999</v>
      </c>
      <c r="E116" s="716">
        <v>1.2305999999999999</v>
      </c>
      <c r="F116" s="716">
        <v>1.2305999999999999</v>
      </c>
      <c r="G116" s="716">
        <v>1.2305999999999999</v>
      </c>
      <c r="H116" s="716">
        <v>1.2305999999999999</v>
      </c>
      <c r="I116" s="716">
        <v>1.1741999999999999</v>
      </c>
      <c r="J116" s="716">
        <v>1.1741999999999999</v>
      </c>
      <c r="K116" s="716">
        <v>1.1741999999999999</v>
      </c>
      <c r="L116" s="716">
        <v>1.1741999999999999</v>
      </c>
      <c r="M116" s="716">
        <v>1.1741999999999999</v>
      </c>
    </row>
    <row r="117" spans="1:13">
      <c r="A117" s="712">
        <v>1.3</v>
      </c>
      <c r="B117" s="716">
        <v>1.3032999999999999</v>
      </c>
      <c r="C117" s="716">
        <v>1.3032999999999999</v>
      </c>
      <c r="D117" s="716">
        <v>1.2079</v>
      </c>
      <c r="E117" s="716">
        <v>1.2079</v>
      </c>
      <c r="F117" s="716">
        <v>1.2079</v>
      </c>
      <c r="G117" s="716">
        <v>1.2079</v>
      </c>
      <c r="H117" s="716">
        <v>1.2079</v>
      </c>
      <c r="I117" s="716">
        <v>1.1459999999999999</v>
      </c>
      <c r="J117" s="716">
        <v>1.1459999999999999</v>
      </c>
      <c r="K117" s="716">
        <v>1.1459999999999999</v>
      </c>
      <c r="L117" s="716">
        <v>1.1459999999999999</v>
      </c>
      <c r="M117" s="716">
        <v>1.1459999999999999</v>
      </c>
    </row>
    <row r="118" spans="1:13">
      <c r="A118" s="712">
        <v>1.4</v>
      </c>
      <c r="B118" s="716">
        <v>1.282</v>
      </c>
      <c r="C118" s="716">
        <v>1.282</v>
      </c>
      <c r="D118" s="716">
        <v>1.1861999999999999</v>
      </c>
      <c r="E118" s="716">
        <v>1.1861999999999999</v>
      </c>
      <c r="F118" s="716">
        <v>1.1861999999999999</v>
      </c>
      <c r="G118" s="716">
        <v>1.1861999999999999</v>
      </c>
      <c r="H118" s="716">
        <v>1.1861999999999999</v>
      </c>
      <c r="I118" s="716">
        <v>1.1200000000000001</v>
      </c>
      <c r="J118" s="716">
        <v>1.1200000000000001</v>
      </c>
      <c r="K118" s="716">
        <v>1.1200000000000001</v>
      </c>
      <c r="L118" s="716">
        <v>1.1200000000000001</v>
      </c>
      <c r="M118" s="716">
        <v>1.1200000000000001</v>
      </c>
    </row>
    <row r="119" spans="1:13">
      <c r="A119" s="712">
        <v>1.5</v>
      </c>
      <c r="B119" s="716">
        <v>1.2617</v>
      </c>
      <c r="C119" s="716">
        <v>1.2617</v>
      </c>
      <c r="D119" s="716">
        <v>1.1653</v>
      </c>
      <c r="E119" s="716">
        <v>1.1653</v>
      </c>
      <c r="F119" s="716">
        <v>1.1653</v>
      </c>
      <c r="G119" s="716">
        <v>1.1653</v>
      </c>
      <c r="H119" s="716">
        <v>1.1653</v>
      </c>
      <c r="I119" s="716">
        <v>1.0961000000000001</v>
      </c>
      <c r="J119" s="716">
        <v>1.0961000000000001</v>
      </c>
      <c r="K119" s="716">
        <v>1.0961000000000001</v>
      </c>
      <c r="L119" s="716">
        <v>1.0961000000000001</v>
      </c>
      <c r="M119" s="716">
        <v>1.0961000000000001</v>
      </c>
    </row>
    <row r="120" spans="1:13">
      <c r="A120" s="712">
        <v>1.6</v>
      </c>
      <c r="B120" s="716">
        <v>1.2423</v>
      </c>
      <c r="C120" s="716">
        <v>1.2423</v>
      </c>
      <c r="D120" s="716">
        <v>1.1453</v>
      </c>
      <c r="E120" s="716">
        <v>1.1453</v>
      </c>
      <c r="F120" s="716">
        <v>1.1453</v>
      </c>
      <c r="G120" s="716">
        <v>1.1453</v>
      </c>
      <c r="H120" s="716">
        <v>1.1453</v>
      </c>
      <c r="I120" s="716">
        <v>1.0740000000000001</v>
      </c>
      <c r="J120" s="716">
        <v>1.0740000000000001</v>
      </c>
      <c r="K120" s="716">
        <v>1.0740000000000001</v>
      </c>
      <c r="L120" s="716">
        <v>1.0740000000000001</v>
      </c>
      <c r="M120" s="716">
        <v>1.0740000000000001</v>
      </c>
    </row>
    <row r="121" spans="1:13">
      <c r="A121" s="712">
        <v>1.7</v>
      </c>
      <c r="B121" s="716">
        <v>1.2237</v>
      </c>
      <c r="C121" s="716">
        <v>1.2237</v>
      </c>
      <c r="D121" s="716">
        <v>1.1261000000000001</v>
      </c>
      <c r="E121" s="716">
        <v>1.1261000000000001</v>
      </c>
      <c r="F121" s="716">
        <v>1.1261000000000001</v>
      </c>
      <c r="G121" s="716">
        <v>1.1261000000000001</v>
      </c>
      <c r="H121" s="716">
        <v>1.1261000000000001</v>
      </c>
      <c r="I121" s="716">
        <v>1.0535000000000001</v>
      </c>
      <c r="J121" s="716">
        <v>1.0535000000000001</v>
      </c>
      <c r="K121" s="716">
        <v>1.0535000000000001</v>
      </c>
      <c r="L121" s="716">
        <v>1.0535000000000001</v>
      </c>
      <c r="M121" s="716">
        <v>1.0535000000000001</v>
      </c>
    </row>
    <row r="122" spans="1:13">
      <c r="A122" s="712">
        <v>1.8</v>
      </c>
      <c r="B122" s="716">
        <v>1.206</v>
      </c>
      <c r="C122" s="716">
        <v>1.206</v>
      </c>
      <c r="D122" s="716">
        <v>1.1076999999999999</v>
      </c>
      <c r="E122" s="716">
        <v>1.1076999999999999</v>
      </c>
      <c r="F122" s="716">
        <v>1.1076999999999999</v>
      </c>
      <c r="G122" s="716">
        <v>1.1076999999999999</v>
      </c>
      <c r="H122" s="716">
        <v>1.1076999999999999</v>
      </c>
      <c r="I122" s="716">
        <v>1.0345</v>
      </c>
      <c r="J122" s="716">
        <v>1.0345</v>
      </c>
      <c r="K122" s="716">
        <v>1.0345</v>
      </c>
      <c r="L122" s="716">
        <v>1.0345</v>
      </c>
      <c r="M122" s="716">
        <v>1.0345</v>
      </c>
    </row>
    <row r="123" spans="1:13">
      <c r="A123" s="712">
        <v>1.9</v>
      </c>
      <c r="B123" s="716">
        <v>1.1891</v>
      </c>
      <c r="C123" s="716">
        <v>1.1891</v>
      </c>
      <c r="D123" s="716">
        <v>1.0901000000000001</v>
      </c>
      <c r="E123" s="716">
        <v>1.0901000000000001</v>
      </c>
      <c r="F123" s="716">
        <v>1.0901000000000001</v>
      </c>
      <c r="G123" s="716">
        <v>1.0901000000000001</v>
      </c>
      <c r="H123" s="716">
        <v>1.0901000000000001</v>
      </c>
      <c r="I123" s="716">
        <v>1.0166999999999999</v>
      </c>
      <c r="J123" s="716">
        <v>1.0166999999999999</v>
      </c>
      <c r="K123" s="716">
        <v>1.0166999999999999</v>
      </c>
      <c r="L123" s="716">
        <v>1.0166999999999999</v>
      </c>
      <c r="M123" s="716">
        <v>1.0166999999999999</v>
      </c>
    </row>
    <row r="124" spans="1:13">
      <c r="A124" s="712">
        <v>2</v>
      </c>
      <c r="B124" s="716">
        <v>1.1729000000000001</v>
      </c>
      <c r="C124" s="716">
        <v>1.1729000000000001</v>
      </c>
      <c r="D124" s="716">
        <v>1.0732999999999999</v>
      </c>
      <c r="E124" s="716">
        <v>1.0732999999999999</v>
      </c>
      <c r="F124" s="716">
        <v>1.0732999999999999</v>
      </c>
      <c r="G124" s="716">
        <v>1.0732999999999999</v>
      </c>
      <c r="H124" s="716">
        <v>1.0732999999999999</v>
      </c>
      <c r="I124" s="716">
        <v>1</v>
      </c>
      <c r="J124" s="716">
        <v>1</v>
      </c>
      <c r="K124" s="716">
        <v>1</v>
      </c>
      <c r="L124" s="716">
        <v>1</v>
      </c>
      <c r="M124" s="716">
        <v>1</v>
      </c>
    </row>
    <row r="125" spans="1:13">
      <c r="A125" s="717">
        <v>2.1</v>
      </c>
      <c r="B125" s="716">
        <v>1.1574</v>
      </c>
      <c r="C125" s="716">
        <v>1.1574</v>
      </c>
      <c r="D125" s="716">
        <v>1.0571999999999999</v>
      </c>
      <c r="E125" s="716">
        <v>1.0571999999999999</v>
      </c>
      <c r="F125" s="716">
        <v>1.0571999999999999</v>
      </c>
      <c r="G125" s="716">
        <v>1.0571999999999999</v>
      </c>
      <c r="H125" s="716">
        <v>1.0571999999999999</v>
      </c>
      <c r="I125" s="716">
        <v>0.98409999999999997</v>
      </c>
      <c r="J125" s="716">
        <v>0.98409999999999997</v>
      </c>
      <c r="K125" s="716">
        <v>0.98409999999999997</v>
      </c>
      <c r="L125" s="716">
        <v>0.98409999999999997</v>
      </c>
      <c r="M125" s="716">
        <v>0.98409999999999997</v>
      </c>
    </row>
    <row r="126" spans="1:13">
      <c r="A126" s="717">
        <v>2.2000000000000002</v>
      </c>
      <c r="B126" s="716">
        <v>1.1426000000000001</v>
      </c>
      <c r="C126" s="716">
        <v>1.1426000000000001</v>
      </c>
      <c r="D126" s="716">
        <v>1.0419</v>
      </c>
      <c r="E126" s="716">
        <v>1.0419</v>
      </c>
      <c r="F126" s="716">
        <v>1.0419</v>
      </c>
      <c r="G126" s="716">
        <v>1.0419</v>
      </c>
      <c r="H126" s="716">
        <v>1.0419</v>
      </c>
      <c r="I126" s="716">
        <v>0.96889999999999998</v>
      </c>
      <c r="J126" s="716">
        <v>0.96889999999999998</v>
      </c>
      <c r="K126" s="716">
        <v>0.96889999999999998</v>
      </c>
      <c r="L126" s="716">
        <v>0.96889999999999998</v>
      </c>
      <c r="M126" s="716">
        <v>0.96889999999999998</v>
      </c>
    </row>
    <row r="127" spans="1:13">
      <c r="A127" s="717">
        <v>2.2999999999999998</v>
      </c>
      <c r="B127" s="716">
        <v>1.1285000000000001</v>
      </c>
      <c r="C127" s="716">
        <v>1.1285000000000001</v>
      </c>
      <c r="D127" s="716">
        <v>1.0271999999999999</v>
      </c>
      <c r="E127" s="716">
        <v>1.0271999999999999</v>
      </c>
      <c r="F127" s="716">
        <v>1.0271999999999999</v>
      </c>
      <c r="G127" s="716">
        <v>1.0271999999999999</v>
      </c>
      <c r="H127" s="716">
        <v>1.0271999999999999</v>
      </c>
      <c r="I127" s="716">
        <v>0.95440000000000003</v>
      </c>
      <c r="J127" s="716">
        <v>0.95440000000000003</v>
      </c>
      <c r="K127" s="716">
        <v>0.95440000000000003</v>
      </c>
      <c r="L127" s="716">
        <v>0.95440000000000003</v>
      </c>
      <c r="M127" s="716">
        <v>0.95440000000000003</v>
      </c>
    </row>
    <row r="128" spans="1:13">
      <c r="A128" s="717">
        <v>2.4</v>
      </c>
      <c r="B128" s="716">
        <v>1.1149</v>
      </c>
      <c r="C128" s="716">
        <v>1.1149</v>
      </c>
      <c r="D128" s="716">
        <v>1.0133000000000001</v>
      </c>
      <c r="E128" s="716">
        <v>1.0133000000000001</v>
      </c>
      <c r="F128" s="716">
        <v>1.0133000000000001</v>
      </c>
      <c r="G128" s="716">
        <v>1.0133000000000001</v>
      </c>
      <c r="H128" s="716">
        <v>1.0133000000000001</v>
      </c>
      <c r="I128" s="716">
        <v>0.9405</v>
      </c>
      <c r="J128" s="716">
        <v>0.9405</v>
      </c>
      <c r="K128" s="716">
        <v>0.9405</v>
      </c>
      <c r="L128" s="716">
        <v>0.9405</v>
      </c>
      <c r="M128" s="716">
        <v>0.9405</v>
      </c>
    </row>
    <row r="129" spans="1:13">
      <c r="A129" s="717">
        <v>2.5</v>
      </c>
      <c r="B129" s="716">
        <v>1.1020000000000001</v>
      </c>
      <c r="C129" s="716">
        <v>1.1020000000000001</v>
      </c>
      <c r="D129" s="716">
        <v>1</v>
      </c>
      <c r="E129" s="716">
        <v>1</v>
      </c>
      <c r="F129" s="716">
        <v>1</v>
      </c>
      <c r="G129" s="716">
        <v>1</v>
      </c>
      <c r="H129" s="716">
        <v>1</v>
      </c>
      <c r="I129" s="716">
        <v>0.92730000000000001</v>
      </c>
      <c r="J129" s="716">
        <v>0.92730000000000001</v>
      </c>
      <c r="K129" s="716">
        <v>0.92730000000000001</v>
      </c>
      <c r="L129" s="716">
        <v>0.92730000000000001</v>
      </c>
      <c r="M129" s="716">
        <v>0.92730000000000001</v>
      </c>
    </row>
    <row r="130" spans="1:13">
      <c r="A130" s="717">
        <v>2.6</v>
      </c>
      <c r="B130" s="716">
        <v>1.0895999999999999</v>
      </c>
      <c r="C130" s="716">
        <v>1.0895999999999999</v>
      </c>
      <c r="D130" s="716">
        <v>0.98740000000000006</v>
      </c>
      <c r="E130" s="716">
        <v>0.98740000000000006</v>
      </c>
      <c r="F130" s="716">
        <v>0.98740000000000006</v>
      </c>
      <c r="G130" s="716">
        <v>0.98740000000000006</v>
      </c>
      <c r="H130" s="716">
        <v>0.98740000000000006</v>
      </c>
      <c r="I130" s="716">
        <v>0.91469999999999996</v>
      </c>
      <c r="J130" s="716">
        <v>0.91469999999999996</v>
      </c>
      <c r="K130" s="716">
        <v>0.91469999999999996</v>
      </c>
      <c r="L130" s="716">
        <v>0.91469999999999996</v>
      </c>
      <c r="M130" s="716">
        <v>0.91469999999999996</v>
      </c>
    </row>
    <row r="131" spans="1:13">
      <c r="A131" s="717">
        <v>2.7</v>
      </c>
      <c r="B131" s="716">
        <v>1.0778000000000001</v>
      </c>
      <c r="C131" s="716">
        <v>1.0778000000000001</v>
      </c>
      <c r="D131" s="716">
        <v>0.97540000000000004</v>
      </c>
      <c r="E131" s="716">
        <v>0.97540000000000004</v>
      </c>
      <c r="F131" s="716">
        <v>0.97540000000000004</v>
      </c>
      <c r="G131" s="716">
        <v>0.97540000000000004</v>
      </c>
      <c r="H131" s="716">
        <v>0.97540000000000004</v>
      </c>
      <c r="I131" s="716">
        <v>0.90269999999999995</v>
      </c>
      <c r="J131" s="716">
        <v>0.90269999999999995</v>
      </c>
      <c r="K131" s="716">
        <v>0.90269999999999995</v>
      </c>
      <c r="L131" s="716">
        <v>0.90269999999999995</v>
      </c>
      <c r="M131" s="716">
        <v>0.90269999999999995</v>
      </c>
    </row>
    <row r="132" spans="1:13">
      <c r="A132" s="717">
        <v>2.8</v>
      </c>
      <c r="B132" s="716">
        <v>1.0665</v>
      </c>
      <c r="C132" s="716">
        <v>1.0665</v>
      </c>
      <c r="D132" s="716">
        <v>0.96399999999999997</v>
      </c>
      <c r="E132" s="716">
        <v>0.96399999999999997</v>
      </c>
      <c r="F132" s="716">
        <v>0.96399999999999997</v>
      </c>
      <c r="G132" s="716">
        <v>0.96399999999999997</v>
      </c>
      <c r="H132" s="716">
        <v>0.96399999999999997</v>
      </c>
      <c r="I132" s="716">
        <v>0.89119999999999999</v>
      </c>
      <c r="J132" s="716">
        <v>0.89119999999999999</v>
      </c>
      <c r="K132" s="716">
        <v>0.89119999999999999</v>
      </c>
      <c r="L132" s="716">
        <v>0.89119999999999999</v>
      </c>
      <c r="M132" s="716">
        <v>0.89119999999999999</v>
      </c>
    </row>
    <row r="133" spans="1:13">
      <c r="A133" s="717">
        <v>2.9</v>
      </c>
      <c r="B133" s="716">
        <v>1.0556000000000001</v>
      </c>
      <c r="C133" s="716">
        <v>1.0556000000000001</v>
      </c>
      <c r="D133" s="716">
        <v>0.95330000000000004</v>
      </c>
      <c r="E133" s="716">
        <v>0.95330000000000004</v>
      </c>
      <c r="F133" s="716">
        <v>0.95330000000000004</v>
      </c>
      <c r="G133" s="716">
        <v>0.95330000000000004</v>
      </c>
      <c r="H133" s="716">
        <v>0.95330000000000004</v>
      </c>
      <c r="I133" s="716">
        <v>0.88019999999999998</v>
      </c>
      <c r="J133" s="716">
        <v>0.88019999999999998</v>
      </c>
      <c r="K133" s="716">
        <v>0.88019999999999998</v>
      </c>
      <c r="L133" s="716">
        <v>0.88019999999999998</v>
      </c>
      <c r="M133" s="716">
        <v>0.88019999999999998</v>
      </c>
    </row>
    <row r="134" spans="1:13">
      <c r="A134" s="717">
        <v>3</v>
      </c>
      <c r="B134" s="716">
        <v>1.0452999999999999</v>
      </c>
      <c r="C134" s="716">
        <v>1.0452999999999999</v>
      </c>
      <c r="D134" s="716">
        <v>0.94299999999999995</v>
      </c>
      <c r="E134" s="716">
        <v>0.94299999999999995</v>
      </c>
      <c r="F134" s="716">
        <v>0.94299999999999995</v>
      </c>
      <c r="G134" s="716">
        <v>0.94299999999999995</v>
      </c>
      <c r="H134" s="716">
        <v>0.94299999999999995</v>
      </c>
      <c r="I134" s="716">
        <v>0.86970000000000003</v>
      </c>
      <c r="J134" s="716">
        <v>0.86970000000000003</v>
      </c>
      <c r="K134" s="716">
        <v>0.86970000000000003</v>
      </c>
      <c r="L134" s="716">
        <v>0.86970000000000003</v>
      </c>
      <c r="M134" s="716">
        <v>0.86970000000000003</v>
      </c>
    </row>
    <row r="135" spans="1:13">
      <c r="A135" s="717">
        <v>3.1</v>
      </c>
      <c r="B135" s="716">
        <v>1.0354000000000001</v>
      </c>
      <c r="C135" s="716">
        <v>1.0354000000000001</v>
      </c>
      <c r="D135" s="716">
        <v>0.93330000000000002</v>
      </c>
      <c r="E135" s="716">
        <v>0.93330000000000002</v>
      </c>
      <c r="F135" s="716">
        <v>0.93330000000000002</v>
      </c>
      <c r="G135" s="716">
        <v>0.93330000000000002</v>
      </c>
      <c r="H135" s="716">
        <v>0.93330000000000002</v>
      </c>
      <c r="I135" s="716">
        <v>0.85970000000000002</v>
      </c>
      <c r="J135" s="716">
        <v>0.85970000000000002</v>
      </c>
      <c r="K135" s="716">
        <v>0.85970000000000002</v>
      </c>
      <c r="L135" s="716">
        <v>0.85970000000000002</v>
      </c>
      <c r="M135" s="716">
        <v>0.85970000000000002</v>
      </c>
    </row>
    <row r="136" spans="1:13">
      <c r="A136" s="717">
        <v>3.2</v>
      </c>
      <c r="B136" s="716">
        <v>1.0259</v>
      </c>
      <c r="C136" s="716">
        <v>1.0259</v>
      </c>
      <c r="D136" s="716">
        <v>0.92410000000000003</v>
      </c>
      <c r="E136" s="716">
        <v>0.92410000000000003</v>
      </c>
      <c r="F136" s="716">
        <v>0.92410000000000003</v>
      </c>
      <c r="G136" s="716">
        <v>0.92410000000000003</v>
      </c>
      <c r="H136" s="716">
        <v>0.92410000000000003</v>
      </c>
      <c r="I136" s="716">
        <v>0.85019999999999996</v>
      </c>
      <c r="J136" s="716">
        <v>0.85019999999999996</v>
      </c>
      <c r="K136" s="716">
        <v>0.85019999999999996</v>
      </c>
      <c r="L136" s="716">
        <v>0.85019999999999996</v>
      </c>
      <c r="M136" s="716">
        <v>0.85019999999999996</v>
      </c>
    </row>
    <row r="137" spans="1:13">
      <c r="A137" s="717">
        <v>3.3</v>
      </c>
      <c r="B137" s="716">
        <v>1.0168999999999999</v>
      </c>
      <c r="C137" s="716">
        <v>1.0168999999999999</v>
      </c>
      <c r="D137" s="716">
        <v>0.91539999999999999</v>
      </c>
      <c r="E137" s="716">
        <v>0.91539999999999999</v>
      </c>
      <c r="F137" s="716">
        <v>0.91539999999999999</v>
      </c>
      <c r="G137" s="716">
        <v>0.91539999999999999</v>
      </c>
      <c r="H137" s="716">
        <v>0.91539999999999999</v>
      </c>
      <c r="I137" s="716">
        <v>0.84109999999999996</v>
      </c>
      <c r="J137" s="716">
        <v>0.84109999999999996</v>
      </c>
      <c r="K137" s="716">
        <v>0.84109999999999996</v>
      </c>
      <c r="L137" s="716">
        <v>0.84109999999999996</v>
      </c>
      <c r="M137" s="716">
        <v>0.84109999999999996</v>
      </c>
    </row>
    <row r="138" spans="1:13">
      <c r="A138" s="717">
        <v>3.4</v>
      </c>
      <c r="B138" s="716">
        <v>1.0082</v>
      </c>
      <c r="C138" s="716">
        <v>1.0082</v>
      </c>
      <c r="D138" s="716">
        <v>0.90710000000000002</v>
      </c>
      <c r="E138" s="716">
        <v>0.90710000000000002</v>
      </c>
      <c r="F138" s="716">
        <v>0.90710000000000002</v>
      </c>
      <c r="G138" s="716">
        <v>0.90710000000000002</v>
      </c>
      <c r="H138" s="716">
        <v>0.90710000000000002</v>
      </c>
      <c r="I138" s="716">
        <v>0.83240000000000003</v>
      </c>
      <c r="J138" s="716">
        <v>0.83240000000000003</v>
      </c>
      <c r="K138" s="716">
        <v>0.83240000000000003</v>
      </c>
      <c r="L138" s="716">
        <v>0.83240000000000003</v>
      </c>
      <c r="M138" s="716">
        <v>0.83240000000000003</v>
      </c>
    </row>
    <row r="139" spans="1:13">
      <c r="A139" s="717">
        <v>3.5</v>
      </c>
      <c r="B139" s="716">
        <v>1</v>
      </c>
      <c r="C139" s="716">
        <v>1</v>
      </c>
      <c r="D139" s="716">
        <v>0.89929999999999999</v>
      </c>
      <c r="E139" s="716">
        <v>0.89929999999999999</v>
      </c>
      <c r="F139" s="716">
        <v>0.89929999999999999</v>
      </c>
      <c r="G139" s="716">
        <v>0.89929999999999999</v>
      </c>
      <c r="H139" s="716">
        <v>0.89929999999999999</v>
      </c>
      <c r="I139" s="716">
        <v>0.82410000000000005</v>
      </c>
      <c r="J139" s="716">
        <v>0.82410000000000005</v>
      </c>
      <c r="K139" s="716">
        <v>0.82410000000000005</v>
      </c>
      <c r="L139" s="716">
        <v>0.82410000000000005</v>
      </c>
      <c r="M139" s="716">
        <v>0.82410000000000005</v>
      </c>
    </row>
    <row r="140" spans="1:13">
      <c r="A140" s="717">
        <v>3.6</v>
      </c>
      <c r="B140" s="716">
        <v>0.99219999999999997</v>
      </c>
      <c r="C140" s="716">
        <v>0.99219999999999997</v>
      </c>
      <c r="D140" s="716">
        <v>0.89190000000000003</v>
      </c>
      <c r="E140" s="716">
        <v>0.89190000000000003</v>
      </c>
      <c r="F140" s="716">
        <v>0.89190000000000003</v>
      </c>
      <c r="G140" s="716">
        <v>0.89190000000000003</v>
      </c>
      <c r="H140" s="716">
        <v>0.89190000000000003</v>
      </c>
      <c r="I140" s="716">
        <v>0.81620000000000004</v>
      </c>
      <c r="J140" s="716">
        <v>0.81620000000000004</v>
      </c>
      <c r="K140" s="716">
        <v>0.81620000000000004</v>
      </c>
      <c r="L140" s="716">
        <v>0.81620000000000004</v>
      </c>
      <c r="M140" s="716">
        <v>0.81620000000000004</v>
      </c>
    </row>
    <row r="141" spans="1:13">
      <c r="A141" s="717">
        <v>3.7</v>
      </c>
      <c r="B141" s="716">
        <v>0.98480000000000001</v>
      </c>
      <c r="C141" s="716">
        <v>0.98480000000000001</v>
      </c>
      <c r="D141" s="716">
        <v>0.88480000000000003</v>
      </c>
      <c r="E141" s="716">
        <v>0.88480000000000003</v>
      </c>
      <c r="F141" s="716">
        <v>0.88480000000000003</v>
      </c>
      <c r="G141" s="716">
        <v>0.88480000000000003</v>
      </c>
      <c r="H141" s="716">
        <v>0.88480000000000003</v>
      </c>
      <c r="I141" s="716">
        <v>0.80869999999999997</v>
      </c>
      <c r="J141" s="716">
        <v>0.80869999999999997</v>
      </c>
      <c r="K141" s="716">
        <v>0.80869999999999997</v>
      </c>
      <c r="L141" s="716">
        <v>0.80869999999999997</v>
      </c>
      <c r="M141" s="716">
        <v>0.80869999999999997</v>
      </c>
    </row>
    <row r="142" spans="1:13">
      <c r="A142" s="717">
        <v>3.8</v>
      </c>
      <c r="B142" s="716">
        <v>0.9778</v>
      </c>
      <c r="C142" s="716">
        <v>0.9778</v>
      </c>
      <c r="D142" s="716">
        <v>0.87809999999999999</v>
      </c>
      <c r="E142" s="716">
        <v>0.87809999999999999</v>
      </c>
      <c r="F142" s="716">
        <v>0.87809999999999999</v>
      </c>
      <c r="G142" s="716">
        <v>0.87809999999999999</v>
      </c>
      <c r="H142" s="716">
        <v>0.87809999999999999</v>
      </c>
      <c r="I142" s="716">
        <v>0.80159999999999998</v>
      </c>
      <c r="J142" s="716">
        <v>0.80159999999999998</v>
      </c>
      <c r="K142" s="716">
        <v>0.80159999999999998</v>
      </c>
      <c r="L142" s="716">
        <v>0.80159999999999998</v>
      </c>
      <c r="M142" s="716">
        <v>0.80159999999999998</v>
      </c>
    </row>
    <row r="143" spans="1:13">
      <c r="A143" s="717">
        <v>3.9</v>
      </c>
      <c r="B143" s="716">
        <v>0.97119999999999995</v>
      </c>
      <c r="C143" s="716">
        <v>0.97119999999999995</v>
      </c>
      <c r="D143" s="716">
        <v>0.87180000000000002</v>
      </c>
      <c r="E143" s="716">
        <v>0.87180000000000002</v>
      </c>
      <c r="F143" s="716">
        <v>0.87180000000000002</v>
      </c>
      <c r="G143" s="716">
        <v>0.87180000000000002</v>
      </c>
      <c r="H143" s="716">
        <v>0.87180000000000002</v>
      </c>
      <c r="I143" s="716">
        <v>0.79479999999999995</v>
      </c>
      <c r="J143" s="716">
        <v>0.79479999999999995</v>
      </c>
      <c r="K143" s="716">
        <v>0.79479999999999995</v>
      </c>
      <c r="L143" s="716">
        <v>0.79479999999999995</v>
      </c>
      <c r="M143" s="716">
        <v>0.79479999999999995</v>
      </c>
    </row>
    <row r="144" spans="1:13">
      <c r="A144" s="717">
        <v>4</v>
      </c>
      <c r="B144" s="716">
        <v>0.96499999999999997</v>
      </c>
      <c r="C144" s="716">
        <v>0.96499999999999997</v>
      </c>
      <c r="D144" s="716">
        <v>0.86580000000000001</v>
      </c>
      <c r="E144" s="716">
        <v>0.86580000000000001</v>
      </c>
      <c r="F144" s="716">
        <v>0.86580000000000001</v>
      </c>
      <c r="G144" s="716">
        <v>0.86580000000000001</v>
      </c>
      <c r="H144" s="716">
        <v>0.86580000000000001</v>
      </c>
      <c r="I144" s="716">
        <v>0.7883</v>
      </c>
      <c r="J144" s="716">
        <v>0.7883</v>
      </c>
      <c r="K144" s="716">
        <v>0.7883</v>
      </c>
      <c r="L144" s="716">
        <v>0.7883</v>
      </c>
      <c r="M144" s="716">
        <v>0.7883</v>
      </c>
    </row>
    <row r="145" spans="1:13">
      <c r="A145" s="717">
        <v>4.0999999999999996</v>
      </c>
      <c r="B145" s="716">
        <v>0.95909999999999995</v>
      </c>
      <c r="C145" s="716">
        <v>0.95909999999999995</v>
      </c>
      <c r="D145" s="716">
        <v>0.86009999999999998</v>
      </c>
      <c r="E145" s="716">
        <v>0.86009999999999998</v>
      </c>
      <c r="F145" s="716">
        <v>0.86009999999999998</v>
      </c>
      <c r="G145" s="716">
        <v>0.86009999999999998</v>
      </c>
      <c r="H145" s="716">
        <v>0.86009999999999998</v>
      </c>
      <c r="I145" s="716">
        <v>0.78200000000000003</v>
      </c>
      <c r="J145" s="716">
        <v>0.78200000000000003</v>
      </c>
      <c r="K145" s="716">
        <v>0.78200000000000003</v>
      </c>
      <c r="L145" s="716">
        <v>0.78200000000000003</v>
      </c>
      <c r="M145" s="716">
        <v>0.78200000000000003</v>
      </c>
    </row>
    <row r="146" spans="1:13">
      <c r="A146" s="717">
        <v>4.2</v>
      </c>
      <c r="B146" s="716">
        <v>0.95350000000000001</v>
      </c>
      <c r="C146" s="716">
        <v>0.95350000000000001</v>
      </c>
      <c r="D146" s="716">
        <v>0.85470000000000002</v>
      </c>
      <c r="E146" s="716">
        <v>0.85470000000000002</v>
      </c>
      <c r="F146" s="716">
        <v>0.85470000000000002</v>
      </c>
      <c r="G146" s="716">
        <v>0.85470000000000002</v>
      </c>
      <c r="H146" s="716">
        <v>0.85470000000000002</v>
      </c>
      <c r="I146" s="716">
        <v>0.77600000000000002</v>
      </c>
      <c r="J146" s="716">
        <v>0.77600000000000002</v>
      </c>
      <c r="K146" s="716">
        <v>0.77600000000000002</v>
      </c>
      <c r="L146" s="716">
        <v>0.77600000000000002</v>
      </c>
      <c r="M146" s="716">
        <v>0.77600000000000002</v>
      </c>
    </row>
    <row r="147" spans="1:13">
      <c r="A147" s="717">
        <v>4.3</v>
      </c>
      <c r="B147" s="716">
        <v>0.94820000000000004</v>
      </c>
      <c r="C147" s="716">
        <v>0.94820000000000004</v>
      </c>
      <c r="D147" s="716">
        <v>0.84960000000000002</v>
      </c>
      <c r="E147" s="716">
        <v>0.84960000000000002</v>
      </c>
      <c r="F147" s="716">
        <v>0.84960000000000002</v>
      </c>
      <c r="G147" s="716">
        <v>0.84960000000000002</v>
      </c>
      <c r="H147" s="716">
        <v>0.84960000000000002</v>
      </c>
      <c r="I147" s="716">
        <v>0.77029999999999998</v>
      </c>
      <c r="J147" s="716">
        <v>0.77029999999999998</v>
      </c>
      <c r="K147" s="716">
        <v>0.77029999999999998</v>
      </c>
      <c r="L147" s="716">
        <v>0.77029999999999998</v>
      </c>
      <c r="M147" s="716">
        <v>0.77029999999999998</v>
      </c>
    </row>
    <row r="148" spans="1:13">
      <c r="A148" s="717">
        <v>4.4000000000000004</v>
      </c>
      <c r="B148" s="716">
        <v>0.94320000000000004</v>
      </c>
      <c r="C148" s="716">
        <v>0.94320000000000004</v>
      </c>
      <c r="D148" s="716">
        <v>0.8448</v>
      </c>
      <c r="E148" s="716">
        <v>0.8448</v>
      </c>
      <c r="F148" s="716">
        <v>0.8448</v>
      </c>
      <c r="G148" s="716">
        <v>0.8448</v>
      </c>
      <c r="H148" s="716">
        <v>0.8448</v>
      </c>
      <c r="I148" s="716">
        <v>0.76490000000000002</v>
      </c>
      <c r="J148" s="716">
        <v>0.76490000000000002</v>
      </c>
      <c r="K148" s="716">
        <v>0.76490000000000002</v>
      </c>
      <c r="L148" s="716">
        <v>0.76490000000000002</v>
      </c>
      <c r="M148" s="716">
        <v>0.76490000000000002</v>
      </c>
    </row>
    <row r="149" spans="1:13">
      <c r="A149" s="717">
        <v>4.5</v>
      </c>
      <c r="B149" s="716">
        <v>0.9385</v>
      </c>
      <c r="C149" s="716">
        <v>0.9385</v>
      </c>
      <c r="D149" s="716">
        <v>0.84019999999999995</v>
      </c>
      <c r="E149" s="716">
        <v>0.84019999999999995</v>
      </c>
      <c r="F149" s="716">
        <v>0.84019999999999995</v>
      </c>
      <c r="G149" s="716">
        <v>0.84019999999999995</v>
      </c>
      <c r="H149" s="716">
        <v>0.84019999999999995</v>
      </c>
      <c r="I149" s="716">
        <v>0.75970000000000004</v>
      </c>
      <c r="J149" s="716">
        <v>0.75970000000000004</v>
      </c>
      <c r="K149" s="716">
        <v>0.75970000000000004</v>
      </c>
      <c r="L149" s="716">
        <v>0.75970000000000004</v>
      </c>
      <c r="M149" s="716">
        <v>0.75970000000000004</v>
      </c>
    </row>
    <row r="150" spans="1:13">
      <c r="A150" s="717">
        <v>4.5999999999999996</v>
      </c>
      <c r="B150" s="716">
        <v>0.93410000000000004</v>
      </c>
      <c r="C150" s="716">
        <v>0.93410000000000004</v>
      </c>
      <c r="D150" s="716">
        <v>0.83579999999999999</v>
      </c>
      <c r="E150" s="716">
        <v>0.83579999999999999</v>
      </c>
      <c r="F150" s="716">
        <v>0.83579999999999999</v>
      </c>
      <c r="G150" s="716">
        <v>0.83579999999999999</v>
      </c>
      <c r="H150" s="716">
        <v>0.83579999999999999</v>
      </c>
      <c r="I150" s="716">
        <v>0.75470000000000004</v>
      </c>
      <c r="J150" s="716">
        <v>0.75470000000000004</v>
      </c>
      <c r="K150" s="716">
        <v>0.75470000000000004</v>
      </c>
      <c r="L150" s="716">
        <v>0.75470000000000004</v>
      </c>
      <c r="M150" s="716">
        <v>0.75470000000000004</v>
      </c>
    </row>
    <row r="151" spans="1:13">
      <c r="A151" s="717">
        <v>4.7</v>
      </c>
      <c r="B151" s="716">
        <v>0.92989999999999995</v>
      </c>
      <c r="C151" s="716">
        <v>0.92989999999999995</v>
      </c>
      <c r="D151" s="716">
        <v>0.83160000000000001</v>
      </c>
      <c r="E151" s="716">
        <v>0.83160000000000001</v>
      </c>
      <c r="F151" s="716">
        <v>0.83160000000000001</v>
      </c>
      <c r="G151" s="716">
        <v>0.83160000000000001</v>
      </c>
      <c r="H151" s="716">
        <v>0.83160000000000001</v>
      </c>
      <c r="I151" s="716">
        <v>0.74990000000000001</v>
      </c>
      <c r="J151" s="716">
        <v>0.74990000000000001</v>
      </c>
      <c r="K151" s="716">
        <v>0.74990000000000001</v>
      </c>
      <c r="L151" s="716">
        <v>0.74990000000000001</v>
      </c>
      <c r="M151" s="716">
        <v>0.74990000000000001</v>
      </c>
    </row>
    <row r="152" spans="1:13">
      <c r="A152" s="717">
        <v>4.8</v>
      </c>
      <c r="B152" s="716">
        <v>0.92589999999999995</v>
      </c>
      <c r="C152" s="716">
        <v>0.92589999999999995</v>
      </c>
      <c r="D152" s="716">
        <v>0.82769999999999999</v>
      </c>
      <c r="E152" s="716">
        <v>0.82769999999999999</v>
      </c>
      <c r="F152" s="716">
        <v>0.82769999999999999</v>
      </c>
      <c r="G152" s="716">
        <v>0.82769999999999999</v>
      </c>
      <c r="H152" s="716">
        <v>0.82769999999999999</v>
      </c>
      <c r="I152" s="716">
        <v>0.74529999999999996</v>
      </c>
      <c r="J152" s="716">
        <v>0.74529999999999996</v>
      </c>
      <c r="K152" s="716">
        <v>0.74529999999999996</v>
      </c>
      <c r="L152" s="716">
        <v>0.74529999999999996</v>
      </c>
      <c r="M152" s="716">
        <v>0.74529999999999996</v>
      </c>
    </row>
    <row r="153" spans="1:13">
      <c r="A153" s="717">
        <v>4.9000000000000004</v>
      </c>
      <c r="B153" s="716">
        <v>0.92210000000000003</v>
      </c>
      <c r="C153" s="716">
        <v>0.92210000000000003</v>
      </c>
      <c r="D153" s="716">
        <v>0.82389999999999997</v>
      </c>
      <c r="E153" s="716">
        <v>0.82389999999999997</v>
      </c>
      <c r="F153" s="716">
        <v>0.82389999999999997</v>
      </c>
      <c r="G153" s="716">
        <v>0.82389999999999997</v>
      </c>
      <c r="H153" s="716">
        <v>0.82389999999999997</v>
      </c>
      <c r="I153" s="716">
        <v>0.7409</v>
      </c>
      <c r="J153" s="716">
        <v>0.7409</v>
      </c>
      <c r="K153" s="716">
        <v>0.7409</v>
      </c>
      <c r="L153" s="716">
        <v>0.7409</v>
      </c>
      <c r="M153" s="716">
        <v>0.7409</v>
      </c>
    </row>
    <row r="154" spans="1:13">
      <c r="A154" s="717">
        <v>5</v>
      </c>
      <c r="B154" s="716">
        <v>0.91849999999999998</v>
      </c>
      <c r="C154" s="716">
        <v>0.91849999999999998</v>
      </c>
      <c r="D154" s="716">
        <v>0.82030000000000003</v>
      </c>
      <c r="E154" s="716">
        <v>0.82030000000000003</v>
      </c>
      <c r="F154" s="716">
        <v>0.82030000000000003</v>
      </c>
      <c r="G154" s="716">
        <v>0.82030000000000003</v>
      </c>
      <c r="H154" s="716">
        <v>0.82030000000000003</v>
      </c>
      <c r="I154" s="716">
        <v>0.73670000000000002</v>
      </c>
      <c r="J154" s="716">
        <v>0.73670000000000002</v>
      </c>
      <c r="K154" s="716">
        <v>0.73670000000000002</v>
      </c>
      <c r="L154" s="716">
        <v>0.73670000000000002</v>
      </c>
      <c r="M154" s="716">
        <v>0.73670000000000002</v>
      </c>
    </row>
    <row r="155" spans="1:13">
      <c r="A155" s="712">
        <v>5.0999999999999996</v>
      </c>
      <c r="B155" s="716">
        <v>0.91510000000000002</v>
      </c>
      <c r="C155" s="716">
        <v>0.91510000000000002</v>
      </c>
      <c r="D155" s="716">
        <v>0.81689999999999996</v>
      </c>
      <c r="E155" s="716">
        <v>0.81689999999999996</v>
      </c>
      <c r="F155" s="716">
        <v>0.81689999999999996</v>
      </c>
      <c r="G155" s="716">
        <v>0.81689999999999996</v>
      </c>
      <c r="H155" s="716">
        <v>0.81689999999999996</v>
      </c>
      <c r="I155" s="716">
        <v>0.73270000000000002</v>
      </c>
      <c r="J155" s="716">
        <v>0.73270000000000002</v>
      </c>
      <c r="K155" s="716">
        <v>0.73270000000000002</v>
      </c>
      <c r="L155" s="716">
        <v>0.73270000000000002</v>
      </c>
      <c r="M155" s="716">
        <v>0.73270000000000002</v>
      </c>
    </row>
    <row r="156" spans="1:13">
      <c r="A156" s="712">
        <v>5.2</v>
      </c>
      <c r="B156" s="716">
        <v>0.91190000000000004</v>
      </c>
      <c r="C156" s="716">
        <v>0.91190000000000004</v>
      </c>
      <c r="D156" s="716">
        <v>0.81359999999999999</v>
      </c>
      <c r="E156" s="716">
        <v>0.81359999999999999</v>
      </c>
      <c r="F156" s="716">
        <v>0.81359999999999999</v>
      </c>
      <c r="G156" s="716">
        <v>0.81359999999999999</v>
      </c>
      <c r="H156" s="716">
        <v>0.81359999999999999</v>
      </c>
      <c r="I156" s="716">
        <v>0.72889999999999999</v>
      </c>
      <c r="J156" s="716">
        <v>0.72889999999999999</v>
      </c>
      <c r="K156" s="716">
        <v>0.72889999999999999</v>
      </c>
      <c r="L156" s="716">
        <v>0.72889999999999999</v>
      </c>
      <c r="M156" s="716">
        <v>0.72889999999999999</v>
      </c>
    </row>
    <row r="157" spans="1:13">
      <c r="A157" s="712">
        <v>5.3</v>
      </c>
      <c r="B157" s="716">
        <v>0.90880000000000005</v>
      </c>
      <c r="C157" s="716">
        <v>0.90880000000000005</v>
      </c>
      <c r="D157" s="716">
        <v>0.8105</v>
      </c>
      <c r="E157" s="716">
        <v>0.8105</v>
      </c>
      <c r="F157" s="716">
        <v>0.8105</v>
      </c>
      <c r="G157" s="716">
        <v>0.8105</v>
      </c>
      <c r="H157" s="716">
        <v>0.8105</v>
      </c>
      <c r="I157" s="716">
        <v>0.72529999999999994</v>
      </c>
      <c r="J157" s="716">
        <v>0.72529999999999994</v>
      </c>
      <c r="K157" s="716">
        <v>0.72529999999999994</v>
      </c>
      <c r="L157" s="716">
        <v>0.72529999999999994</v>
      </c>
      <c r="M157" s="716">
        <v>0.72529999999999994</v>
      </c>
    </row>
    <row r="158" spans="1:13">
      <c r="A158" s="712">
        <v>5.4</v>
      </c>
      <c r="B158" s="716">
        <v>0.90580000000000005</v>
      </c>
      <c r="C158" s="716">
        <v>0.90580000000000005</v>
      </c>
      <c r="D158" s="716">
        <v>0.8075</v>
      </c>
      <c r="E158" s="716">
        <v>0.8075</v>
      </c>
      <c r="F158" s="716">
        <v>0.8075</v>
      </c>
      <c r="G158" s="716">
        <v>0.8075</v>
      </c>
      <c r="H158" s="716">
        <v>0.8075</v>
      </c>
      <c r="I158" s="716">
        <v>0.7218</v>
      </c>
      <c r="J158" s="716">
        <v>0.7218</v>
      </c>
      <c r="K158" s="716">
        <v>0.7218</v>
      </c>
      <c r="L158" s="716">
        <v>0.7218</v>
      </c>
      <c r="M158" s="716">
        <v>0.7218</v>
      </c>
    </row>
    <row r="159" spans="1:13">
      <c r="A159" s="712">
        <v>5.5</v>
      </c>
      <c r="B159" s="716">
        <v>0.90290000000000004</v>
      </c>
      <c r="C159" s="716">
        <v>0.90290000000000004</v>
      </c>
      <c r="D159" s="716">
        <v>0.80469999999999997</v>
      </c>
      <c r="E159" s="716">
        <v>0.80469999999999997</v>
      </c>
      <c r="F159" s="716">
        <v>0.80469999999999997</v>
      </c>
      <c r="G159" s="716">
        <v>0.80469999999999997</v>
      </c>
      <c r="H159" s="716">
        <v>0.80469999999999997</v>
      </c>
      <c r="I159" s="716">
        <v>0.71840000000000004</v>
      </c>
      <c r="J159" s="716">
        <v>0.71840000000000004</v>
      </c>
      <c r="K159" s="716">
        <v>0.71840000000000004</v>
      </c>
      <c r="L159" s="716">
        <v>0.71840000000000004</v>
      </c>
      <c r="M159" s="716">
        <v>0.71840000000000004</v>
      </c>
    </row>
    <row r="160" spans="1:13">
      <c r="A160" s="712">
        <v>5.6</v>
      </c>
      <c r="B160" s="716">
        <v>0.90010000000000001</v>
      </c>
      <c r="C160" s="716">
        <v>0.90010000000000001</v>
      </c>
      <c r="D160" s="716">
        <v>0.80200000000000005</v>
      </c>
      <c r="E160" s="716">
        <v>0.80200000000000005</v>
      </c>
      <c r="F160" s="716">
        <v>0.80200000000000005</v>
      </c>
      <c r="G160" s="716">
        <v>0.80200000000000005</v>
      </c>
      <c r="H160" s="716">
        <v>0.80200000000000005</v>
      </c>
      <c r="I160" s="716">
        <v>0.71509999999999996</v>
      </c>
      <c r="J160" s="716">
        <v>0.71509999999999996</v>
      </c>
      <c r="K160" s="716">
        <v>0.71509999999999996</v>
      </c>
      <c r="L160" s="716">
        <v>0.71509999999999996</v>
      </c>
      <c r="M160" s="716">
        <v>0.71509999999999996</v>
      </c>
    </row>
    <row r="161" spans="1:13">
      <c r="A161" s="717">
        <v>5.7</v>
      </c>
      <c r="B161" s="716">
        <v>0.89749999999999996</v>
      </c>
      <c r="C161" s="716">
        <v>0.89749999999999996</v>
      </c>
      <c r="D161" s="716">
        <v>0.79930000000000001</v>
      </c>
      <c r="E161" s="716">
        <v>0.79930000000000001</v>
      </c>
      <c r="F161" s="716">
        <v>0.79930000000000001</v>
      </c>
      <c r="G161" s="716">
        <v>0.79930000000000001</v>
      </c>
      <c r="H161" s="716">
        <v>0.79930000000000001</v>
      </c>
      <c r="I161" s="716">
        <v>0.71189999999999998</v>
      </c>
      <c r="J161" s="716">
        <v>0.71189999999999998</v>
      </c>
      <c r="K161" s="716">
        <v>0.71189999999999998</v>
      </c>
      <c r="L161" s="716">
        <v>0.71189999999999998</v>
      </c>
      <c r="M161" s="716">
        <v>0.71189999999999998</v>
      </c>
    </row>
    <row r="162" spans="1:13">
      <c r="A162" s="712">
        <v>5.8</v>
      </c>
      <c r="B162" s="716">
        <v>0.89500000000000002</v>
      </c>
      <c r="C162" s="716">
        <v>0.89500000000000002</v>
      </c>
      <c r="D162" s="716">
        <v>0.79679999999999995</v>
      </c>
      <c r="E162" s="716">
        <v>0.79679999999999995</v>
      </c>
      <c r="F162" s="716">
        <v>0.79679999999999995</v>
      </c>
      <c r="G162" s="716">
        <v>0.79679999999999995</v>
      </c>
      <c r="H162" s="716">
        <v>0.79679999999999995</v>
      </c>
      <c r="I162" s="716">
        <v>0.70879999999999999</v>
      </c>
      <c r="J162" s="716">
        <v>0.70879999999999999</v>
      </c>
      <c r="K162" s="716">
        <v>0.70879999999999999</v>
      </c>
      <c r="L162" s="716">
        <v>0.70879999999999999</v>
      </c>
      <c r="M162" s="716">
        <v>0.70879999999999999</v>
      </c>
    </row>
    <row r="163" spans="1:13">
      <c r="A163" s="712">
        <v>5.9</v>
      </c>
      <c r="B163" s="716">
        <v>0.89259999999999995</v>
      </c>
      <c r="C163" s="716">
        <v>0.89259999999999995</v>
      </c>
      <c r="D163" s="716">
        <v>0.7944</v>
      </c>
      <c r="E163" s="716">
        <v>0.7944</v>
      </c>
      <c r="F163" s="716">
        <v>0.7944</v>
      </c>
      <c r="G163" s="716">
        <v>0.7944</v>
      </c>
      <c r="H163" s="716">
        <v>0.7944</v>
      </c>
      <c r="I163" s="716">
        <v>0.70579999999999998</v>
      </c>
      <c r="J163" s="716">
        <v>0.70579999999999998</v>
      </c>
      <c r="K163" s="716">
        <v>0.70579999999999998</v>
      </c>
      <c r="L163" s="716">
        <v>0.70579999999999998</v>
      </c>
      <c r="M163" s="716">
        <v>0.70579999999999998</v>
      </c>
    </row>
    <row r="164" spans="1:13">
      <c r="A164" s="712">
        <v>6</v>
      </c>
      <c r="B164" s="716">
        <v>0.89029999999999998</v>
      </c>
      <c r="C164" s="716">
        <v>0.89029999999999998</v>
      </c>
      <c r="D164" s="716">
        <v>0.79200000000000004</v>
      </c>
      <c r="E164" s="716">
        <v>0.79200000000000004</v>
      </c>
      <c r="F164" s="716">
        <v>0.79200000000000004</v>
      </c>
      <c r="G164" s="716">
        <v>0.79200000000000004</v>
      </c>
      <c r="H164" s="716">
        <v>0.79200000000000004</v>
      </c>
      <c r="I164" s="716">
        <v>0.70289999999999997</v>
      </c>
      <c r="J164" s="716">
        <v>0.70289999999999997</v>
      </c>
      <c r="K164" s="716">
        <v>0.70289999999999997</v>
      </c>
      <c r="L164" s="716">
        <v>0.70289999999999997</v>
      </c>
      <c r="M164" s="716">
        <v>0.70289999999999997</v>
      </c>
    </row>
    <row r="165" spans="1:13">
      <c r="A165" s="712">
        <v>6.1</v>
      </c>
      <c r="B165" s="716">
        <v>0.8881</v>
      </c>
      <c r="C165" s="716">
        <v>0.8881</v>
      </c>
      <c r="D165" s="716">
        <v>0.78979999999999995</v>
      </c>
      <c r="E165" s="716">
        <v>0.78979999999999995</v>
      </c>
      <c r="F165" s="716">
        <v>0.78979999999999995</v>
      </c>
      <c r="G165" s="716">
        <v>0.78979999999999995</v>
      </c>
      <c r="H165" s="716">
        <v>0.78979999999999995</v>
      </c>
      <c r="I165" s="716">
        <v>0.70009999999999994</v>
      </c>
      <c r="J165" s="716">
        <v>0.70009999999999994</v>
      </c>
      <c r="K165" s="716">
        <v>0.70009999999999994</v>
      </c>
      <c r="L165" s="716">
        <v>0.70009999999999994</v>
      </c>
      <c r="M165" s="716">
        <v>0.70009999999999994</v>
      </c>
    </row>
    <row r="166" spans="1:13">
      <c r="A166" s="712">
        <v>6.2</v>
      </c>
      <c r="B166" s="716">
        <v>0.88600000000000001</v>
      </c>
      <c r="C166" s="716">
        <v>0.88600000000000001</v>
      </c>
      <c r="D166" s="716">
        <v>0.78759999999999997</v>
      </c>
      <c r="E166" s="716">
        <v>0.78759999999999997</v>
      </c>
      <c r="F166" s="716">
        <v>0.78759999999999997</v>
      </c>
      <c r="G166" s="716">
        <v>0.78759999999999997</v>
      </c>
      <c r="H166" s="716">
        <v>0.78759999999999997</v>
      </c>
      <c r="I166" s="716">
        <v>0.69740000000000002</v>
      </c>
      <c r="J166" s="716">
        <v>0.69740000000000002</v>
      </c>
      <c r="K166" s="716">
        <v>0.69740000000000002</v>
      </c>
      <c r="L166" s="716">
        <v>0.69740000000000002</v>
      </c>
      <c r="M166" s="716">
        <v>0.69740000000000002</v>
      </c>
    </row>
    <row r="167" spans="1:13">
      <c r="A167" s="712">
        <v>6.3</v>
      </c>
      <c r="B167" s="716">
        <v>0.88390000000000002</v>
      </c>
      <c r="C167" s="716">
        <v>0.88390000000000002</v>
      </c>
      <c r="D167" s="716">
        <v>0.78549999999999998</v>
      </c>
      <c r="E167" s="716">
        <v>0.78549999999999998</v>
      </c>
      <c r="F167" s="716">
        <v>0.78549999999999998</v>
      </c>
      <c r="G167" s="716">
        <v>0.78549999999999998</v>
      </c>
      <c r="H167" s="716">
        <v>0.78549999999999998</v>
      </c>
      <c r="I167" s="716">
        <v>0.69479999999999997</v>
      </c>
      <c r="J167" s="716">
        <v>0.69479999999999997</v>
      </c>
      <c r="K167" s="716">
        <v>0.69479999999999997</v>
      </c>
      <c r="L167" s="716">
        <v>0.69479999999999997</v>
      </c>
      <c r="M167" s="716">
        <v>0.69479999999999997</v>
      </c>
    </row>
    <row r="168" spans="1:13">
      <c r="A168" s="712">
        <v>6.4</v>
      </c>
      <c r="B168" s="716">
        <v>0.88190000000000002</v>
      </c>
      <c r="C168" s="716">
        <v>0.88190000000000002</v>
      </c>
      <c r="D168" s="716">
        <v>0.78339999999999999</v>
      </c>
      <c r="E168" s="716">
        <v>0.78339999999999999</v>
      </c>
      <c r="F168" s="716">
        <v>0.78339999999999999</v>
      </c>
      <c r="G168" s="716">
        <v>0.78339999999999999</v>
      </c>
      <c r="H168" s="716">
        <v>0.78339999999999999</v>
      </c>
      <c r="I168" s="716">
        <v>0.69230000000000003</v>
      </c>
      <c r="J168" s="716">
        <v>0.69230000000000003</v>
      </c>
      <c r="K168" s="716">
        <v>0.69230000000000003</v>
      </c>
      <c r="L168" s="716">
        <v>0.69230000000000003</v>
      </c>
      <c r="M168" s="716">
        <v>0.69230000000000003</v>
      </c>
    </row>
    <row r="169" spans="1:13">
      <c r="A169" s="712">
        <v>6.5</v>
      </c>
      <c r="B169" s="716">
        <v>0.88</v>
      </c>
      <c r="C169" s="716">
        <v>0.88</v>
      </c>
      <c r="D169" s="716">
        <v>0.78139999999999998</v>
      </c>
      <c r="E169" s="716">
        <v>0.78139999999999998</v>
      </c>
      <c r="F169" s="716">
        <v>0.78139999999999998</v>
      </c>
      <c r="G169" s="716">
        <v>0.78139999999999998</v>
      </c>
      <c r="H169" s="716">
        <v>0.78139999999999998</v>
      </c>
      <c r="I169" s="716">
        <v>0.68989999999999996</v>
      </c>
      <c r="J169" s="716">
        <v>0.68989999999999996</v>
      </c>
      <c r="K169" s="716">
        <v>0.68989999999999996</v>
      </c>
      <c r="L169" s="716">
        <v>0.68989999999999996</v>
      </c>
      <c r="M169" s="716">
        <v>0.68989999999999996</v>
      </c>
    </row>
    <row r="170" spans="1:13">
      <c r="A170" s="712">
        <v>6.6</v>
      </c>
      <c r="B170" s="716">
        <v>0.87809999999999999</v>
      </c>
      <c r="C170" s="716">
        <v>0.87809999999999999</v>
      </c>
      <c r="D170" s="716">
        <v>0.77949999999999997</v>
      </c>
      <c r="E170" s="716">
        <v>0.77949999999999997</v>
      </c>
      <c r="F170" s="716">
        <v>0.77949999999999997</v>
      </c>
      <c r="G170" s="716">
        <v>0.77949999999999997</v>
      </c>
      <c r="H170" s="716">
        <v>0.77949999999999997</v>
      </c>
      <c r="I170" s="716">
        <v>0.68759999999999999</v>
      </c>
      <c r="J170" s="716">
        <v>0.68759999999999999</v>
      </c>
      <c r="K170" s="716">
        <v>0.68759999999999999</v>
      </c>
      <c r="L170" s="716">
        <v>0.68759999999999999</v>
      </c>
      <c r="M170" s="716">
        <v>0.68759999999999999</v>
      </c>
    </row>
    <row r="171" spans="1:13">
      <c r="A171" s="712">
        <v>6.7</v>
      </c>
      <c r="B171" s="716">
        <v>0.87629999999999997</v>
      </c>
      <c r="C171" s="716">
        <v>0.87629999999999997</v>
      </c>
      <c r="D171" s="716">
        <v>0.77759999999999996</v>
      </c>
      <c r="E171" s="716">
        <v>0.77759999999999996</v>
      </c>
      <c r="F171" s="716">
        <v>0.77759999999999996</v>
      </c>
      <c r="G171" s="716">
        <v>0.77759999999999996</v>
      </c>
      <c r="H171" s="716">
        <v>0.77759999999999996</v>
      </c>
      <c r="I171" s="716">
        <v>0.68530000000000002</v>
      </c>
      <c r="J171" s="716">
        <v>0.68530000000000002</v>
      </c>
      <c r="K171" s="716">
        <v>0.68530000000000002</v>
      </c>
      <c r="L171" s="716">
        <v>0.68530000000000002</v>
      </c>
      <c r="M171" s="716">
        <v>0.68530000000000002</v>
      </c>
    </row>
    <row r="172" spans="1:13">
      <c r="A172" s="712">
        <v>6.8</v>
      </c>
      <c r="B172" s="716">
        <v>0.87450000000000006</v>
      </c>
      <c r="C172" s="716">
        <v>0.87450000000000006</v>
      </c>
      <c r="D172" s="716">
        <v>0.77569999999999995</v>
      </c>
      <c r="E172" s="716">
        <v>0.77569999999999995</v>
      </c>
      <c r="F172" s="716">
        <v>0.77569999999999995</v>
      </c>
      <c r="G172" s="716">
        <v>0.77569999999999995</v>
      </c>
      <c r="H172" s="716">
        <v>0.77569999999999995</v>
      </c>
      <c r="I172" s="716">
        <v>0.68310000000000004</v>
      </c>
      <c r="J172" s="716">
        <v>0.68310000000000004</v>
      </c>
      <c r="K172" s="716">
        <v>0.68310000000000004</v>
      </c>
      <c r="L172" s="716">
        <v>0.68310000000000004</v>
      </c>
      <c r="M172" s="716">
        <v>0.68310000000000004</v>
      </c>
    </row>
    <row r="173" spans="1:13">
      <c r="A173" s="712">
        <v>6.9</v>
      </c>
      <c r="B173" s="716">
        <v>0.87280000000000002</v>
      </c>
      <c r="C173" s="716">
        <v>0.87280000000000002</v>
      </c>
      <c r="D173" s="716">
        <v>0.77390000000000003</v>
      </c>
      <c r="E173" s="716">
        <v>0.77390000000000003</v>
      </c>
      <c r="F173" s="716">
        <v>0.77390000000000003</v>
      </c>
      <c r="G173" s="716">
        <v>0.77390000000000003</v>
      </c>
      <c r="H173" s="716">
        <v>0.77390000000000003</v>
      </c>
      <c r="I173" s="716">
        <v>0.68089999999999995</v>
      </c>
      <c r="J173" s="716">
        <v>0.68089999999999995</v>
      </c>
      <c r="K173" s="716">
        <v>0.68089999999999995</v>
      </c>
      <c r="L173" s="716">
        <v>0.68089999999999995</v>
      </c>
      <c r="M173" s="716">
        <v>0.68089999999999995</v>
      </c>
    </row>
    <row r="174" spans="1:13">
      <c r="A174" s="712">
        <v>7</v>
      </c>
      <c r="B174" s="716">
        <v>0.87109999999999999</v>
      </c>
      <c r="C174" s="716">
        <v>0.87109999999999999</v>
      </c>
      <c r="D174" s="716">
        <v>0.77210000000000001</v>
      </c>
      <c r="E174" s="716">
        <v>0.77210000000000001</v>
      </c>
      <c r="F174" s="716">
        <v>0.77210000000000001</v>
      </c>
      <c r="G174" s="716">
        <v>0.77210000000000001</v>
      </c>
      <c r="H174" s="716">
        <v>0.77210000000000001</v>
      </c>
      <c r="I174" s="716">
        <v>0.67879999999999996</v>
      </c>
      <c r="J174" s="716">
        <v>0.67879999999999996</v>
      </c>
      <c r="K174" s="716">
        <v>0.67879999999999996</v>
      </c>
      <c r="L174" s="716">
        <v>0.67879999999999996</v>
      </c>
      <c r="M174" s="716">
        <v>0.67879999999999996</v>
      </c>
    </row>
    <row r="175" spans="1:13">
      <c r="A175" s="712">
        <v>7.1</v>
      </c>
      <c r="B175" s="716">
        <v>0.86939999999999995</v>
      </c>
      <c r="C175" s="716">
        <v>0.86939999999999995</v>
      </c>
      <c r="D175" s="716">
        <v>0.77039999999999997</v>
      </c>
      <c r="E175" s="716">
        <v>0.77039999999999997</v>
      </c>
      <c r="F175" s="716">
        <v>0.77039999999999997</v>
      </c>
      <c r="G175" s="716">
        <v>0.77039999999999997</v>
      </c>
      <c r="H175" s="716">
        <v>0.77039999999999997</v>
      </c>
      <c r="I175" s="716">
        <v>0.67669999999999997</v>
      </c>
      <c r="J175" s="716">
        <v>0.67669999999999997</v>
      </c>
      <c r="K175" s="716">
        <v>0.67669999999999997</v>
      </c>
      <c r="L175" s="716">
        <v>0.67669999999999997</v>
      </c>
      <c r="M175" s="716">
        <v>0.67669999999999997</v>
      </c>
    </row>
    <row r="176" spans="1:13">
      <c r="A176" s="712">
        <v>7.2</v>
      </c>
      <c r="B176" s="716">
        <v>0.86770000000000003</v>
      </c>
      <c r="C176" s="716">
        <v>0.86770000000000003</v>
      </c>
      <c r="D176" s="716">
        <v>0.76870000000000005</v>
      </c>
      <c r="E176" s="716">
        <v>0.76870000000000005</v>
      </c>
      <c r="F176" s="716">
        <v>0.76870000000000005</v>
      </c>
      <c r="G176" s="716">
        <v>0.76870000000000005</v>
      </c>
      <c r="H176" s="716">
        <v>0.76870000000000005</v>
      </c>
      <c r="I176" s="716">
        <v>0.67469999999999997</v>
      </c>
      <c r="J176" s="716">
        <v>0.67469999999999997</v>
      </c>
      <c r="K176" s="716">
        <v>0.67469999999999997</v>
      </c>
      <c r="L176" s="716">
        <v>0.67469999999999997</v>
      </c>
      <c r="M176" s="716">
        <v>0.67469999999999997</v>
      </c>
    </row>
    <row r="177" spans="1:13">
      <c r="A177" s="712">
        <v>7.3</v>
      </c>
      <c r="B177" s="716">
        <v>0.86609999999999998</v>
      </c>
      <c r="C177" s="716">
        <v>0.86609999999999998</v>
      </c>
      <c r="D177" s="716">
        <v>0.76700000000000002</v>
      </c>
      <c r="E177" s="716">
        <v>0.76700000000000002</v>
      </c>
      <c r="F177" s="716">
        <v>0.76700000000000002</v>
      </c>
      <c r="G177" s="716">
        <v>0.76700000000000002</v>
      </c>
      <c r="H177" s="716">
        <v>0.76700000000000002</v>
      </c>
      <c r="I177" s="716">
        <v>0.67269999999999996</v>
      </c>
      <c r="J177" s="716">
        <v>0.67269999999999996</v>
      </c>
      <c r="K177" s="716">
        <v>0.67269999999999996</v>
      </c>
      <c r="L177" s="716">
        <v>0.67269999999999996</v>
      </c>
      <c r="M177" s="716">
        <v>0.67269999999999996</v>
      </c>
    </row>
    <row r="178" spans="1:13">
      <c r="A178" s="712">
        <v>7.4</v>
      </c>
      <c r="B178" s="716">
        <v>0.86450000000000005</v>
      </c>
      <c r="C178" s="716">
        <v>0.86450000000000005</v>
      </c>
      <c r="D178" s="716">
        <v>0.76529999999999998</v>
      </c>
      <c r="E178" s="716">
        <v>0.76529999999999998</v>
      </c>
      <c r="F178" s="716">
        <v>0.76529999999999998</v>
      </c>
      <c r="G178" s="716">
        <v>0.76529999999999998</v>
      </c>
      <c r="H178" s="716">
        <v>0.76529999999999998</v>
      </c>
      <c r="I178" s="716">
        <v>0.67079999999999995</v>
      </c>
      <c r="J178" s="716">
        <v>0.67079999999999995</v>
      </c>
      <c r="K178" s="716">
        <v>0.67079999999999995</v>
      </c>
      <c r="L178" s="716">
        <v>0.67079999999999995</v>
      </c>
      <c r="M178" s="716">
        <v>0.67079999999999995</v>
      </c>
    </row>
    <row r="179" spans="1:13">
      <c r="A179" s="712">
        <v>7.5</v>
      </c>
      <c r="B179" s="716">
        <v>0.86299999999999999</v>
      </c>
      <c r="C179" s="716">
        <v>0.86299999999999999</v>
      </c>
      <c r="D179" s="716">
        <v>0.76359999999999995</v>
      </c>
      <c r="E179" s="716">
        <v>0.76359999999999995</v>
      </c>
      <c r="F179" s="716">
        <v>0.76359999999999995</v>
      </c>
      <c r="G179" s="716">
        <v>0.76359999999999995</v>
      </c>
      <c r="H179" s="716">
        <v>0.76359999999999995</v>
      </c>
      <c r="I179" s="716">
        <v>0.66890000000000005</v>
      </c>
      <c r="J179" s="716">
        <v>0.66890000000000005</v>
      </c>
      <c r="K179" s="716">
        <v>0.66890000000000005</v>
      </c>
      <c r="L179" s="716">
        <v>0.66890000000000005</v>
      </c>
      <c r="M179" s="716">
        <v>0.66890000000000005</v>
      </c>
    </row>
    <row r="180" spans="1:13">
      <c r="A180" s="712">
        <v>7.6</v>
      </c>
      <c r="B180" s="716">
        <v>0.86150000000000004</v>
      </c>
      <c r="C180" s="716">
        <v>0.86150000000000004</v>
      </c>
      <c r="D180" s="716">
        <v>0.76200000000000001</v>
      </c>
      <c r="E180" s="716">
        <v>0.76200000000000001</v>
      </c>
      <c r="F180" s="716">
        <v>0.76200000000000001</v>
      </c>
      <c r="G180" s="716">
        <v>0.76200000000000001</v>
      </c>
      <c r="H180" s="716">
        <v>0.76200000000000001</v>
      </c>
      <c r="I180" s="716">
        <v>0.66700000000000004</v>
      </c>
      <c r="J180" s="716">
        <v>0.66700000000000004</v>
      </c>
      <c r="K180" s="716">
        <v>0.66700000000000004</v>
      </c>
      <c r="L180" s="716">
        <v>0.66700000000000004</v>
      </c>
      <c r="M180" s="716">
        <v>0.66700000000000004</v>
      </c>
    </row>
    <row r="181" spans="1:13">
      <c r="A181" s="712">
        <v>7.7</v>
      </c>
      <c r="B181" s="716">
        <v>0.86</v>
      </c>
      <c r="C181" s="716">
        <v>0.86</v>
      </c>
      <c r="D181" s="716">
        <v>0.76039999999999996</v>
      </c>
      <c r="E181" s="716">
        <v>0.76039999999999996</v>
      </c>
      <c r="F181" s="716">
        <v>0.76039999999999996</v>
      </c>
      <c r="G181" s="716">
        <v>0.76039999999999996</v>
      </c>
      <c r="H181" s="716">
        <v>0.76039999999999996</v>
      </c>
      <c r="I181" s="716">
        <v>0.66510000000000002</v>
      </c>
      <c r="J181" s="716">
        <v>0.66510000000000002</v>
      </c>
      <c r="K181" s="716">
        <v>0.66510000000000002</v>
      </c>
      <c r="L181" s="716">
        <v>0.66510000000000002</v>
      </c>
      <c r="M181" s="716">
        <v>0.66510000000000002</v>
      </c>
    </row>
    <row r="182" spans="1:13">
      <c r="A182" s="712">
        <v>7.8</v>
      </c>
      <c r="B182" s="716">
        <v>0.85850000000000004</v>
      </c>
      <c r="C182" s="716">
        <v>0.85850000000000004</v>
      </c>
      <c r="D182" s="716">
        <v>0.75880000000000003</v>
      </c>
      <c r="E182" s="716">
        <v>0.75880000000000003</v>
      </c>
      <c r="F182" s="716">
        <v>0.75880000000000003</v>
      </c>
      <c r="G182" s="716">
        <v>0.75880000000000003</v>
      </c>
      <c r="H182" s="716">
        <v>0.75880000000000003</v>
      </c>
      <c r="I182" s="716">
        <v>0.6633</v>
      </c>
      <c r="J182" s="716">
        <v>0.6633</v>
      </c>
      <c r="K182" s="716">
        <v>0.6633</v>
      </c>
      <c r="L182" s="716">
        <v>0.6633</v>
      </c>
      <c r="M182" s="716">
        <v>0.6633</v>
      </c>
    </row>
    <row r="183" spans="1:13">
      <c r="A183" s="712">
        <v>7.9</v>
      </c>
      <c r="B183" s="716">
        <v>0.85699999999999998</v>
      </c>
      <c r="C183" s="716">
        <v>0.85699999999999998</v>
      </c>
      <c r="D183" s="716">
        <v>0.75719999999999998</v>
      </c>
      <c r="E183" s="716">
        <v>0.75719999999999998</v>
      </c>
      <c r="F183" s="716">
        <v>0.75719999999999998</v>
      </c>
      <c r="G183" s="716">
        <v>0.75719999999999998</v>
      </c>
      <c r="H183" s="716">
        <v>0.75719999999999998</v>
      </c>
      <c r="I183" s="716">
        <v>0.66149999999999998</v>
      </c>
      <c r="J183" s="716">
        <v>0.66149999999999998</v>
      </c>
      <c r="K183" s="716">
        <v>0.66149999999999998</v>
      </c>
      <c r="L183" s="716">
        <v>0.66149999999999998</v>
      </c>
      <c r="M183" s="716">
        <v>0.66149999999999998</v>
      </c>
    </row>
    <row r="184" spans="1:13">
      <c r="A184" s="712">
        <v>8</v>
      </c>
      <c r="B184" s="716">
        <v>0.85550000000000004</v>
      </c>
      <c r="C184" s="716">
        <v>0.85550000000000004</v>
      </c>
      <c r="D184" s="716">
        <v>0.75570000000000004</v>
      </c>
      <c r="E184" s="716">
        <v>0.75570000000000004</v>
      </c>
      <c r="F184" s="716">
        <v>0.75570000000000004</v>
      </c>
      <c r="G184" s="716">
        <v>0.75570000000000004</v>
      </c>
      <c r="H184" s="716">
        <v>0.75570000000000004</v>
      </c>
      <c r="I184" s="716">
        <v>0.65969999999999995</v>
      </c>
      <c r="J184" s="716">
        <v>0.65969999999999995</v>
      </c>
      <c r="K184" s="716">
        <v>0.65969999999999995</v>
      </c>
      <c r="L184" s="716">
        <v>0.65969999999999995</v>
      </c>
      <c r="M184" s="716">
        <v>0.65969999999999995</v>
      </c>
    </row>
    <row r="185" spans="1:13">
      <c r="A185" s="712">
        <v>8.1</v>
      </c>
      <c r="B185" s="716">
        <v>0.85399999999999998</v>
      </c>
      <c r="C185" s="716">
        <v>0.85399999999999998</v>
      </c>
      <c r="D185" s="716">
        <v>0.75419999999999998</v>
      </c>
      <c r="E185" s="716">
        <v>0.75419999999999998</v>
      </c>
      <c r="F185" s="716">
        <v>0.75419999999999998</v>
      </c>
      <c r="G185" s="716">
        <v>0.75419999999999998</v>
      </c>
      <c r="H185" s="716">
        <v>0.75419999999999998</v>
      </c>
      <c r="I185" s="716">
        <v>0.65800000000000003</v>
      </c>
      <c r="J185" s="716">
        <v>0.65800000000000003</v>
      </c>
      <c r="K185" s="716">
        <v>0.65800000000000003</v>
      </c>
      <c r="L185" s="716">
        <v>0.65800000000000003</v>
      </c>
      <c r="M185" s="716">
        <v>0.65800000000000003</v>
      </c>
    </row>
    <row r="186" spans="1:13">
      <c r="A186" s="712">
        <v>8.1999999999999993</v>
      </c>
      <c r="B186" s="716">
        <v>0.85250000000000004</v>
      </c>
      <c r="C186" s="716">
        <v>0.85250000000000004</v>
      </c>
      <c r="D186" s="716">
        <v>0.75270000000000004</v>
      </c>
      <c r="E186" s="716">
        <v>0.75270000000000004</v>
      </c>
      <c r="F186" s="716">
        <v>0.75270000000000004</v>
      </c>
      <c r="G186" s="716">
        <v>0.75270000000000004</v>
      </c>
      <c r="H186" s="716">
        <v>0.75270000000000004</v>
      </c>
      <c r="I186" s="716">
        <v>0.65629999999999999</v>
      </c>
      <c r="J186" s="716">
        <v>0.65629999999999999</v>
      </c>
      <c r="K186" s="716">
        <v>0.65629999999999999</v>
      </c>
      <c r="L186" s="716">
        <v>0.65629999999999999</v>
      </c>
      <c r="M186" s="716">
        <v>0.65629999999999999</v>
      </c>
    </row>
    <row r="187" spans="1:13">
      <c r="A187" s="712">
        <v>8.3000000000000007</v>
      </c>
      <c r="B187" s="716">
        <v>0.85109999999999997</v>
      </c>
      <c r="C187" s="716">
        <v>0.85109999999999997</v>
      </c>
      <c r="D187" s="716">
        <v>0.75119999999999998</v>
      </c>
      <c r="E187" s="716">
        <v>0.75119999999999998</v>
      </c>
      <c r="F187" s="716">
        <v>0.75119999999999998</v>
      </c>
      <c r="G187" s="716">
        <v>0.75119999999999998</v>
      </c>
      <c r="H187" s="716">
        <v>0.75119999999999998</v>
      </c>
      <c r="I187" s="716">
        <v>0.65459999999999996</v>
      </c>
      <c r="J187" s="716">
        <v>0.65459999999999996</v>
      </c>
      <c r="K187" s="716">
        <v>0.65459999999999996</v>
      </c>
      <c r="L187" s="716">
        <v>0.65459999999999996</v>
      </c>
      <c r="M187" s="716">
        <v>0.65459999999999996</v>
      </c>
    </row>
    <row r="188" spans="1:13">
      <c r="A188" s="712">
        <v>8.4</v>
      </c>
      <c r="B188" s="716">
        <v>0.84970000000000001</v>
      </c>
      <c r="C188" s="716">
        <v>0.84970000000000001</v>
      </c>
      <c r="D188" s="716">
        <v>0.74970000000000003</v>
      </c>
      <c r="E188" s="716">
        <v>0.74970000000000003</v>
      </c>
      <c r="F188" s="716">
        <v>0.74970000000000003</v>
      </c>
      <c r="G188" s="716">
        <v>0.74970000000000003</v>
      </c>
      <c r="H188" s="716">
        <v>0.74970000000000003</v>
      </c>
      <c r="I188" s="716">
        <v>0.65300000000000002</v>
      </c>
      <c r="J188" s="716">
        <v>0.65300000000000002</v>
      </c>
      <c r="K188" s="716">
        <v>0.65300000000000002</v>
      </c>
      <c r="L188" s="716">
        <v>0.65300000000000002</v>
      </c>
      <c r="M188" s="716">
        <v>0.65300000000000002</v>
      </c>
    </row>
    <row r="189" spans="1:13">
      <c r="A189" s="712">
        <v>8.5</v>
      </c>
      <c r="B189" s="716">
        <v>0.84830000000000005</v>
      </c>
      <c r="C189" s="716">
        <v>0.84830000000000005</v>
      </c>
      <c r="D189" s="716">
        <v>0.74819999999999998</v>
      </c>
      <c r="E189" s="716">
        <v>0.74819999999999998</v>
      </c>
      <c r="F189" s="716">
        <v>0.74819999999999998</v>
      </c>
      <c r="G189" s="716">
        <v>0.74819999999999998</v>
      </c>
      <c r="H189" s="716">
        <v>0.74819999999999998</v>
      </c>
      <c r="I189" s="716">
        <v>0.65139999999999998</v>
      </c>
      <c r="J189" s="716">
        <v>0.65139999999999998</v>
      </c>
      <c r="K189" s="716">
        <v>0.65139999999999998</v>
      </c>
      <c r="L189" s="716">
        <v>0.65139999999999998</v>
      </c>
      <c r="M189" s="716">
        <v>0.65139999999999998</v>
      </c>
    </row>
    <row r="190" spans="1:13">
      <c r="A190" s="712">
        <v>8.6</v>
      </c>
      <c r="B190" s="716">
        <v>0.84689999999999999</v>
      </c>
      <c r="C190" s="716">
        <v>0.84689999999999999</v>
      </c>
      <c r="D190" s="716">
        <v>0.74670000000000003</v>
      </c>
      <c r="E190" s="716">
        <v>0.74670000000000003</v>
      </c>
      <c r="F190" s="716">
        <v>0.74670000000000003</v>
      </c>
      <c r="G190" s="716">
        <v>0.74670000000000003</v>
      </c>
      <c r="H190" s="716">
        <v>0.74670000000000003</v>
      </c>
      <c r="I190" s="716">
        <v>0.64980000000000004</v>
      </c>
      <c r="J190" s="716">
        <v>0.64980000000000004</v>
      </c>
      <c r="K190" s="716">
        <v>0.64980000000000004</v>
      </c>
      <c r="L190" s="716">
        <v>0.64980000000000004</v>
      </c>
      <c r="M190" s="716">
        <v>0.64980000000000004</v>
      </c>
    </row>
    <row r="191" spans="1:13">
      <c r="A191" s="712">
        <v>8.6999999999999993</v>
      </c>
      <c r="B191" s="716">
        <v>0.84550000000000003</v>
      </c>
      <c r="C191" s="716">
        <v>0.84550000000000003</v>
      </c>
      <c r="D191" s="716">
        <v>0.74519999999999997</v>
      </c>
      <c r="E191" s="716">
        <v>0.74519999999999997</v>
      </c>
      <c r="F191" s="716">
        <v>0.74519999999999997</v>
      </c>
      <c r="G191" s="716">
        <v>0.74519999999999997</v>
      </c>
      <c r="H191" s="716">
        <v>0.74519999999999997</v>
      </c>
      <c r="I191" s="716">
        <v>0.6482</v>
      </c>
      <c r="J191" s="716">
        <v>0.6482</v>
      </c>
      <c r="K191" s="716">
        <v>0.6482</v>
      </c>
      <c r="L191" s="716">
        <v>0.6482</v>
      </c>
      <c r="M191" s="716">
        <v>0.6482</v>
      </c>
    </row>
    <row r="192" spans="1:13">
      <c r="A192" s="712">
        <v>8.8000000000000007</v>
      </c>
      <c r="B192" s="716">
        <v>0.84409999999999996</v>
      </c>
      <c r="C192" s="716">
        <v>0.84409999999999996</v>
      </c>
      <c r="D192" s="716">
        <v>0.74370000000000003</v>
      </c>
      <c r="E192" s="716">
        <v>0.74370000000000003</v>
      </c>
      <c r="F192" s="716">
        <v>0.74370000000000003</v>
      </c>
      <c r="G192" s="716">
        <v>0.74370000000000003</v>
      </c>
      <c r="H192" s="716">
        <v>0.74370000000000003</v>
      </c>
      <c r="I192" s="716">
        <v>0.64659999999999995</v>
      </c>
      <c r="J192" s="716">
        <v>0.64659999999999995</v>
      </c>
      <c r="K192" s="716">
        <v>0.64659999999999995</v>
      </c>
      <c r="L192" s="716">
        <v>0.64659999999999995</v>
      </c>
      <c r="M192" s="716">
        <v>0.64659999999999995</v>
      </c>
    </row>
    <row r="193" spans="1:13">
      <c r="A193" s="712">
        <v>8.9</v>
      </c>
      <c r="B193" s="716">
        <v>0.84279999999999999</v>
      </c>
      <c r="C193" s="716">
        <v>0.84279999999999999</v>
      </c>
      <c r="D193" s="716">
        <v>0.74219999999999997</v>
      </c>
      <c r="E193" s="716">
        <v>0.74219999999999997</v>
      </c>
      <c r="F193" s="716">
        <v>0.74219999999999997</v>
      </c>
      <c r="G193" s="716">
        <v>0.74219999999999997</v>
      </c>
      <c r="H193" s="716">
        <v>0.74219999999999997</v>
      </c>
      <c r="I193" s="716">
        <v>0.64500000000000002</v>
      </c>
      <c r="J193" s="716">
        <v>0.64500000000000002</v>
      </c>
      <c r="K193" s="716">
        <v>0.64500000000000002</v>
      </c>
      <c r="L193" s="716">
        <v>0.64500000000000002</v>
      </c>
      <c r="M193" s="716">
        <v>0.64500000000000002</v>
      </c>
    </row>
    <row r="194" spans="1:13">
      <c r="A194" s="717">
        <v>9</v>
      </c>
      <c r="B194" s="716">
        <v>0.84150000000000003</v>
      </c>
      <c r="C194" s="716">
        <v>0.84150000000000003</v>
      </c>
      <c r="D194" s="716">
        <v>0.74070000000000003</v>
      </c>
      <c r="E194" s="716">
        <v>0.74070000000000003</v>
      </c>
      <c r="F194" s="716">
        <v>0.74070000000000003</v>
      </c>
      <c r="G194" s="716">
        <v>0.74070000000000003</v>
      </c>
      <c r="H194" s="716">
        <v>0.74070000000000003</v>
      </c>
      <c r="I194" s="716">
        <v>0.64349999999999996</v>
      </c>
      <c r="J194" s="716">
        <v>0.64349999999999996</v>
      </c>
      <c r="K194" s="716">
        <v>0.64349999999999996</v>
      </c>
      <c r="L194" s="716">
        <v>0.64349999999999996</v>
      </c>
      <c r="M194" s="716">
        <v>0.64349999999999996</v>
      </c>
    </row>
    <row r="195" spans="1:13">
      <c r="A195" s="717">
        <v>9.1</v>
      </c>
      <c r="B195" s="716">
        <v>0.84019999999999995</v>
      </c>
      <c r="C195" s="716">
        <v>0.84019999999999995</v>
      </c>
      <c r="D195" s="716">
        <v>0.73919999999999997</v>
      </c>
      <c r="E195" s="716">
        <v>0.73919999999999997</v>
      </c>
      <c r="F195" s="716">
        <v>0.73919999999999997</v>
      </c>
      <c r="G195" s="716">
        <v>0.73919999999999997</v>
      </c>
      <c r="H195" s="716">
        <v>0.73919999999999997</v>
      </c>
      <c r="I195" s="716">
        <v>0.64200000000000002</v>
      </c>
      <c r="J195" s="716">
        <v>0.64200000000000002</v>
      </c>
      <c r="K195" s="716">
        <v>0.64200000000000002</v>
      </c>
      <c r="L195" s="716">
        <v>0.64200000000000002</v>
      </c>
      <c r="M195" s="716">
        <v>0.64200000000000002</v>
      </c>
    </row>
    <row r="196" spans="1:13">
      <c r="A196" s="717">
        <v>9.1999999999999993</v>
      </c>
      <c r="B196" s="716">
        <v>0.83889999999999998</v>
      </c>
      <c r="C196" s="716">
        <v>0.83889999999999998</v>
      </c>
      <c r="D196" s="716">
        <v>0.73770000000000002</v>
      </c>
      <c r="E196" s="716">
        <v>0.73770000000000002</v>
      </c>
      <c r="F196" s="716">
        <v>0.73770000000000002</v>
      </c>
      <c r="G196" s="716">
        <v>0.73770000000000002</v>
      </c>
      <c r="H196" s="716">
        <v>0.73770000000000002</v>
      </c>
      <c r="I196" s="716">
        <v>0.64059999999999995</v>
      </c>
      <c r="J196" s="716">
        <v>0.64059999999999995</v>
      </c>
      <c r="K196" s="716">
        <v>0.64059999999999995</v>
      </c>
      <c r="L196" s="716">
        <v>0.64059999999999995</v>
      </c>
      <c r="M196" s="716">
        <v>0.64059999999999995</v>
      </c>
    </row>
    <row r="197" spans="1:13">
      <c r="A197" s="717">
        <v>9.3000000000000007</v>
      </c>
      <c r="B197" s="716">
        <v>0.83760000000000001</v>
      </c>
      <c r="C197" s="716">
        <v>0.83760000000000001</v>
      </c>
      <c r="D197" s="716">
        <v>0.73629999999999995</v>
      </c>
      <c r="E197" s="716">
        <v>0.73629999999999995</v>
      </c>
      <c r="F197" s="716">
        <v>0.73629999999999995</v>
      </c>
      <c r="G197" s="716">
        <v>0.73629999999999995</v>
      </c>
      <c r="H197" s="716">
        <v>0.73629999999999995</v>
      </c>
      <c r="I197" s="716">
        <v>0.63919999999999999</v>
      </c>
      <c r="J197" s="716">
        <v>0.63919999999999999</v>
      </c>
      <c r="K197" s="716">
        <v>0.63919999999999999</v>
      </c>
      <c r="L197" s="716">
        <v>0.63919999999999999</v>
      </c>
      <c r="M197" s="716">
        <v>0.63919999999999999</v>
      </c>
    </row>
    <row r="198" spans="1:13">
      <c r="A198" s="717">
        <v>9.4</v>
      </c>
      <c r="B198" s="716">
        <v>0.83630000000000004</v>
      </c>
      <c r="C198" s="716">
        <v>0.83630000000000004</v>
      </c>
      <c r="D198" s="716">
        <v>0.7349</v>
      </c>
      <c r="E198" s="716">
        <v>0.7349</v>
      </c>
      <c r="F198" s="716">
        <v>0.7349</v>
      </c>
      <c r="G198" s="716">
        <v>0.7349</v>
      </c>
      <c r="H198" s="716">
        <v>0.7349</v>
      </c>
      <c r="I198" s="716">
        <v>0.63780000000000003</v>
      </c>
      <c r="J198" s="716">
        <v>0.63780000000000003</v>
      </c>
      <c r="K198" s="716">
        <v>0.63780000000000003</v>
      </c>
      <c r="L198" s="716">
        <v>0.63780000000000003</v>
      </c>
      <c r="M198" s="716">
        <v>0.63780000000000003</v>
      </c>
    </row>
    <row r="199" spans="1:13">
      <c r="A199" s="717">
        <v>9.5</v>
      </c>
      <c r="B199" s="716">
        <v>0.83499999999999996</v>
      </c>
      <c r="C199" s="716">
        <v>0.83499999999999996</v>
      </c>
      <c r="D199" s="716">
        <v>0.73350000000000004</v>
      </c>
      <c r="E199" s="716">
        <v>0.73350000000000004</v>
      </c>
      <c r="F199" s="716">
        <v>0.73350000000000004</v>
      </c>
      <c r="G199" s="716">
        <v>0.73350000000000004</v>
      </c>
      <c r="H199" s="716">
        <v>0.73350000000000004</v>
      </c>
      <c r="I199" s="716">
        <v>0.63639999999999997</v>
      </c>
      <c r="J199" s="716">
        <v>0.63639999999999997</v>
      </c>
      <c r="K199" s="716">
        <v>0.63639999999999997</v>
      </c>
      <c r="L199" s="716">
        <v>0.63639999999999997</v>
      </c>
      <c r="M199" s="716">
        <v>0.63639999999999997</v>
      </c>
    </row>
    <row r="200" spans="1:13">
      <c r="A200" s="717">
        <v>9.6</v>
      </c>
      <c r="B200" s="716">
        <v>0.83379999999999999</v>
      </c>
      <c r="C200" s="716">
        <v>0.83379999999999999</v>
      </c>
      <c r="D200" s="716">
        <v>0.73209999999999997</v>
      </c>
      <c r="E200" s="716">
        <v>0.73209999999999997</v>
      </c>
      <c r="F200" s="716">
        <v>0.73209999999999997</v>
      </c>
      <c r="G200" s="716">
        <v>0.73209999999999997</v>
      </c>
      <c r="H200" s="716">
        <v>0.73209999999999997</v>
      </c>
      <c r="I200" s="716">
        <v>0.63500000000000001</v>
      </c>
      <c r="J200" s="716">
        <v>0.63500000000000001</v>
      </c>
      <c r="K200" s="716">
        <v>0.63500000000000001</v>
      </c>
      <c r="L200" s="716">
        <v>0.63500000000000001</v>
      </c>
      <c r="M200" s="716">
        <v>0.63500000000000001</v>
      </c>
    </row>
    <row r="201" spans="1:13">
      <c r="A201" s="717">
        <v>9.6999999999999993</v>
      </c>
      <c r="B201" s="716">
        <v>0.83260000000000001</v>
      </c>
      <c r="C201" s="716">
        <v>0.83260000000000001</v>
      </c>
      <c r="D201" s="716">
        <v>0.73070000000000002</v>
      </c>
      <c r="E201" s="716">
        <v>0.73070000000000002</v>
      </c>
      <c r="F201" s="716">
        <v>0.73070000000000002</v>
      </c>
      <c r="G201" s="716">
        <v>0.73070000000000002</v>
      </c>
      <c r="H201" s="716">
        <v>0.73070000000000002</v>
      </c>
      <c r="I201" s="716">
        <v>0.63360000000000005</v>
      </c>
      <c r="J201" s="716">
        <v>0.63360000000000005</v>
      </c>
      <c r="K201" s="716">
        <v>0.63360000000000005</v>
      </c>
      <c r="L201" s="716">
        <v>0.63360000000000005</v>
      </c>
      <c r="M201" s="716">
        <v>0.63360000000000005</v>
      </c>
    </row>
    <row r="202" spans="1:13">
      <c r="A202" s="717">
        <v>9.8000000000000007</v>
      </c>
      <c r="B202" s="716">
        <v>0.83140000000000003</v>
      </c>
      <c r="C202" s="716">
        <v>0.83140000000000003</v>
      </c>
      <c r="D202" s="716">
        <v>0.72929999999999995</v>
      </c>
      <c r="E202" s="716">
        <v>0.72929999999999995</v>
      </c>
      <c r="F202" s="716">
        <v>0.72929999999999995</v>
      </c>
      <c r="G202" s="716">
        <v>0.72929999999999995</v>
      </c>
      <c r="H202" s="716">
        <v>0.72929999999999995</v>
      </c>
      <c r="I202" s="716">
        <v>0.63219999999999998</v>
      </c>
      <c r="J202" s="716">
        <v>0.63219999999999998</v>
      </c>
      <c r="K202" s="716">
        <v>0.63219999999999998</v>
      </c>
      <c r="L202" s="716">
        <v>0.63219999999999998</v>
      </c>
      <c r="M202" s="716">
        <v>0.63219999999999998</v>
      </c>
    </row>
    <row r="203" spans="1:13">
      <c r="A203" s="717">
        <v>9.9</v>
      </c>
      <c r="B203" s="716">
        <v>0.83020000000000005</v>
      </c>
      <c r="C203" s="716">
        <v>0.83020000000000005</v>
      </c>
      <c r="D203" s="716">
        <v>0.72799999999999998</v>
      </c>
      <c r="E203" s="716">
        <v>0.72799999999999998</v>
      </c>
      <c r="F203" s="716">
        <v>0.72799999999999998</v>
      </c>
      <c r="G203" s="716">
        <v>0.72799999999999998</v>
      </c>
      <c r="H203" s="716">
        <v>0.72799999999999998</v>
      </c>
      <c r="I203" s="716">
        <v>0.63080000000000003</v>
      </c>
      <c r="J203" s="716">
        <v>0.63080000000000003</v>
      </c>
      <c r="K203" s="716">
        <v>0.63080000000000003</v>
      </c>
      <c r="L203" s="716">
        <v>0.63080000000000003</v>
      </c>
      <c r="M203" s="716">
        <v>0.63080000000000003</v>
      </c>
    </row>
    <row r="204" spans="1:13">
      <c r="A204" s="717">
        <v>10</v>
      </c>
      <c r="B204" s="716">
        <v>0.82899999999999996</v>
      </c>
      <c r="C204" s="716">
        <v>0.82899999999999996</v>
      </c>
      <c r="D204" s="716">
        <v>0.72670000000000001</v>
      </c>
      <c r="E204" s="716">
        <v>0.72670000000000001</v>
      </c>
      <c r="F204" s="716">
        <v>0.72670000000000001</v>
      </c>
      <c r="G204" s="716">
        <v>0.72670000000000001</v>
      </c>
      <c r="H204" s="716">
        <v>0.72670000000000001</v>
      </c>
      <c r="I204" s="716">
        <v>0.62939999999999996</v>
      </c>
      <c r="J204" s="716">
        <v>0.62939999999999996</v>
      </c>
      <c r="K204" s="716">
        <v>0.62939999999999996</v>
      </c>
      <c r="L204" s="716">
        <v>0.62939999999999996</v>
      </c>
      <c r="M204" s="716">
        <v>0.62939999999999996</v>
      </c>
    </row>
    <row r="205" spans="1:13" ht="15.6">
      <c r="A205" s="710" t="s">
        <v>527</v>
      </c>
      <c r="B205" s="711"/>
      <c r="C205" s="711"/>
      <c r="D205" s="711"/>
      <c r="E205" s="711"/>
      <c r="F205" s="711"/>
      <c r="G205" s="711"/>
      <c r="H205" s="711"/>
      <c r="I205" s="711"/>
      <c r="J205" s="711"/>
      <c r="K205" s="711"/>
      <c r="L205" s="711"/>
      <c r="M205" s="711"/>
    </row>
    <row r="206" spans="1:13">
      <c r="A206" s="712" t="s">
        <v>524</v>
      </c>
      <c r="B206" s="713" t="s">
        <v>106</v>
      </c>
      <c r="C206" s="713" t="s">
        <v>107</v>
      </c>
      <c r="D206" s="713" t="s">
        <v>108</v>
      </c>
      <c r="E206" s="713" t="s">
        <v>109</v>
      </c>
      <c r="F206" s="713" t="s">
        <v>110</v>
      </c>
      <c r="G206" s="713" t="s">
        <v>111</v>
      </c>
      <c r="H206" s="714" t="s">
        <v>112</v>
      </c>
      <c r="I206" s="714" t="s">
        <v>113</v>
      </c>
      <c r="J206" s="715" t="s">
        <v>114</v>
      </c>
      <c r="K206" s="715" t="s">
        <v>115</v>
      </c>
      <c r="L206" s="715" t="s">
        <v>116</v>
      </c>
      <c r="M206" s="715" t="s">
        <v>117</v>
      </c>
    </row>
    <row r="207" spans="1:13">
      <c r="A207" s="712">
        <v>0.1</v>
      </c>
      <c r="B207" s="716">
        <v>12.172000000000001</v>
      </c>
      <c r="C207" s="716">
        <v>12.172000000000001</v>
      </c>
      <c r="D207" s="716">
        <v>12.375999999999999</v>
      </c>
      <c r="E207" s="716">
        <v>12.375999999999999</v>
      </c>
      <c r="F207" s="716">
        <v>12.375999999999999</v>
      </c>
      <c r="G207" s="716">
        <v>12.375999999999999</v>
      </c>
      <c r="H207" s="716">
        <v>12.375999999999999</v>
      </c>
      <c r="I207" s="716">
        <v>11.071999999999999</v>
      </c>
      <c r="J207" s="716">
        <v>11.071999999999999</v>
      </c>
      <c r="K207" s="716">
        <v>11.071999999999999</v>
      </c>
      <c r="L207" s="716">
        <v>11.071999999999999</v>
      </c>
      <c r="M207" s="716">
        <v>11.071999999999999</v>
      </c>
    </row>
    <row r="208" spans="1:13">
      <c r="A208" s="712">
        <v>0.2</v>
      </c>
      <c r="B208" s="716">
        <v>6.0860000000000003</v>
      </c>
      <c r="C208" s="716">
        <v>6.0860000000000003</v>
      </c>
      <c r="D208" s="716">
        <v>6.1879999999999997</v>
      </c>
      <c r="E208" s="716">
        <v>6.1879999999999997</v>
      </c>
      <c r="F208" s="716">
        <v>6.1879999999999997</v>
      </c>
      <c r="G208" s="716">
        <v>6.1879999999999997</v>
      </c>
      <c r="H208" s="716">
        <v>6.1879999999999997</v>
      </c>
      <c r="I208" s="716">
        <v>5.5359999999999996</v>
      </c>
      <c r="J208" s="716">
        <v>5.5359999999999996</v>
      </c>
      <c r="K208" s="716">
        <v>5.5359999999999996</v>
      </c>
      <c r="L208" s="716">
        <v>5.5359999999999996</v>
      </c>
      <c r="M208" s="716">
        <v>5.5359999999999996</v>
      </c>
    </row>
    <row r="209" spans="1:13">
      <c r="A209" s="712">
        <v>0.3</v>
      </c>
      <c r="B209" s="716">
        <v>4.0572999999999997</v>
      </c>
      <c r="C209" s="716">
        <v>4.0572999999999997</v>
      </c>
      <c r="D209" s="716">
        <v>4.1253000000000002</v>
      </c>
      <c r="E209" s="716">
        <v>4.1253000000000002</v>
      </c>
      <c r="F209" s="716">
        <v>4.1253000000000002</v>
      </c>
      <c r="G209" s="716">
        <v>4.1253000000000002</v>
      </c>
      <c r="H209" s="716">
        <v>4.1253000000000002</v>
      </c>
      <c r="I209" s="716">
        <v>3.6907000000000001</v>
      </c>
      <c r="J209" s="716">
        <v>3.6907000000000001</v>
      </c>
      <c r="K209" s="716">
        <v>3.6907000000000001</v>
      </c>
      <c r="L209" s="716">
        <v>3.6907000000000001</v>
      </c>
      <c r="M209" s="716">
        <v>3.6907000000000001</v>
      </c>
    </row>
    <row r="210" spans="1:13">
      <c r="A210" s="712">
        <v>0.4</v>
      </c>
      <c r="B210" s="716">
        <v>3.0430000000000001</v>
      </c>
      <c r="C210" s="716">
        <v>3.0430000000000001</v>
      </c>
      <c r="D210" s="716">
        <v>3.0939999999999999</v>
      </c>
      <c r="E210" s="716">
        <v>3.0939999999999999</v>
      </c>
      <c r="F210" s="716">
        <v>3.0939999999999999</v>
      </c>
      <c r="G210" s="716">
        <v>3.0939999999999999</v>
      </c>
      <c r="H210" s="716">
        <v>3.0939999999999999</v>
      </c>
      <c r="I210" s="716">
        <v>2.7679999999999998</v>
      </c>
      <c r="J210" s="716">
        <v>2.7679999999999998</v>
      </c>
      <c r="K210" s="716">
        <v>2.7679999999999998</v>
      </c>
      <c r="L210" s="716">
        <v>2.7679999999999998</v>
      </c>
      <c r="M210" s="716">
        <v>2.7679999999999998</v>
      </c>
    </row>
    <row r="211" spans="1:13">
      <c r="A211" s="712">
        <v>0.5</v>
      </c>
      <c r="B211" s="716">
        <v>2.4344000000000001</v>
      </c>
      <c r="C211" s="716">
        <v>2.4344000000000001</v>
      </c>
      <c r="D211" s="716">
        <v>2.4752000000000001</v>
      </c>
      <c r="E211" s="716">
        <v>2.4752000000000001</v>
      </c>
      <c r="F211" s="716">
        <v>2.4752000000000001</v>
      </c>
      <c r="G211" s="716">
        <v>2.4752000000000001</v>
      </c>
      <c r="H211" s="716">
        <v>2.4752000000000001</v>
      </c>
      <c r="I211" s="716">
        <v>2.2143999999999999</v>
      </c>
      <c r="J211" s="716">
        <v>2.2143999999999999</v>
      </c>
      <c r="K211" s="716">
        <v>2.2143999999999999</v>
      </c>
      <c r="L211" s="716">
        <v>2.2143999999999999</v>
      </c>
      <c r="M211" s="716">
        <v>2.2143999999999999</v>
      </c>
    </row>
    <row r="212" spans="1:13">
      <c r="A212" s="712">
        <v>0.6</v>
      </c>
      <c r="B212" s="716">
        <v>2.0287000000000002</v>
      </c>
      <c r="C212" s="716">
        <v>2.0287000000000002</v>
      </c>
      <c r="D212" s="716">
        <v>2.0627</v>
      </c>
      <c r="E212" s="716">
        <v>2.0627</v>
      </c>
      <c r="F212" s="716">
        <v>2.0627</v>
      </c>
      <c r="G212" s="716">
        <v>2.0627</v>
      </c>
      <c r="H212" s="716">
        <v>2.0627</v>
      </c>
      <c r="I212" s="716">
        <v>1.8452999999999999</v>
      </c>
      <c r="J212" s="716">
        <v>1.8452999999999999</v>
      </c>
      <c r="K212" s="716">
        <v>1.8452999999999999</v>
      </c>
      <c r="L212" s="716">
        <v>1.8452999999999999</v>
      </c>
      <c r="M212" s="716">
        <v>1.8452999999999999</v>
      </c>
    </row>
    <row r="213" spans="1:13">
      <c r="A213" s="712">
        <v>0.7</v>
      </c>
      <c r="B213" s="716">
        <v>1.7388999999999999</v>
      </c>
      <c r="C213" s="716">
        <v>1.7388999999999999</v>
      </c>
      <c r="D213" s="716">
        <v>1.768</v>
      </c>
      <c r="E213" s="716">
        <v>1.768</v>
      </c>
      <c r="F213" s="716">
        <v>1.768</v>
      </c>
      <c r="G213" s="716">
        <v>1.768</v>
      </c>
      <c r="H213" s="716">
        <v>1.768</v>
      </c>
      <c r="I213" s="716">
        <v>1.5817000000000001</v>
      </c>
      <c r="J213" s="716">
        <v>1.5817000000000001</v>
      </c>
      <c r="K213" s="716">
        <v>1.5817000000000001</v>
      </c>
      <c r="L213" s="716">
        <v>1.5817000000000001</v>
      </c>
      <c r="M213" s="716">
        <v>1.5817000000000001</v>
      </c>
    </row>
    <row r="214" spans="1:13">
      <c r="A214" s="712">
        <v>0.8</v>
      </c>
      <c r="B214" s="716">
        <v>1.5215000000000001</v>
      </c>
      <c r="C214" s="716">
        <v>1.5215000000000001</v>
      </c>
      <c r="D214" s="716">
        <v>1.5469999999999999</v>
      </c>
      <c r="E214" s="716">
        <v>1.5469999999999999</v>
      </c>
      <c r="F214" s="716">
        <v>1.5469999999999999</v>
      </c>
      <c r="G214" s="716">
        <v>1.5469999999999999</v>
      </c>
      <c r="H214" s="716">
        <v>1.5469999999999999</v>
      </c>
      <c r="I214" s="716">
        <v>1.3839999999999999</v>
      </c>
      <c r="J214" s="716">
        <v>1.3839999999999999</v>
      </c>
      <c r="K214" s="716">
        <v>1.3839999999999999</v>
      </c>
      <c r="L214" s="716">
        <v>1.3839999999999999</v>
      </c>
      <c r="M214" s="716">
        <v>1.3839999999999999</v>
      </c>
    </row>
    <row r="215" spans="1:13">
      <c r="A215" s="712">
        <v>0.9</v>
      </c>
      <c r="B215" s="716">
        <v>1.3524</v>
      </c>
      <c r="C215" s="716">
        <v>1.3524</v>
      </c>
      <c r="D215" s="716">
        <v>1.3751</v>
      </c>
      <c r="E215" s="716">
        <v>1.3751</v>
      </c>
      <c r="F215" s="716">
        <v>1.3751</v>
      </c>
      <c r="G215" s="716">
        <v>1.3751</v>
      </c>
      <c r="H215" s="716">
        <v>1.3751</v>
      </c>
      <c r="I215" s="716">
        <v>1.2302</v>
      </c>
      <c r="J215" s="716">
        <v>1.2302</v>
      </c>
      <c r="K215" s="716">
        <v>1.2302</v>
      </c>
      <c r="L215" s="716">
        <v>1.2302</v>
      </c>
      <c r="M215" s="716">
        <v>1.2302</v>
      </c>
    </row>
    <row r="216" spans="1:13">
      <c r="A216" s="712">
        <v>1</v>
      </c>
      <c r="B216" s="716">
        <v>1.2172000000000001</v>
      </c>
      <c r="C216" s="716">
        <v>1.2172000000000001</v>
      </c>
      <c r="D216" s="716">
        <v>1.2376</v>
      </c>
      <c r="E216" s="716">
        <v>1.2376</v>
      </c>
      <c r="F216" s="716">
        <v>1.2376</v>
      </c>
      <c r="G216" s="716">
        <v>1.2376</v>
      </c>
      <c r="H216" s="716">
        <v>1.2376</v>
      </c>
      <c r="I216" s="716">
        <v>1.1072</v>
      </c>
      <c r="J216" s="716">
        <v>1.1072</v>
      </c>
      <c r="K216" s="716">
        <v>1.1072</v>
      </c>
      <c r="L216" s="716">
        <v>1.1072</v>
      </c>
      <c r="M216" s="716">
        <v>1.1072</v>
      </c>
    </row>
    <row r="217" spans="1:13">
      <c r="A217" s="712">
        <v>1.1000000000000001</v>
      </c>
      <c r="B217" s="716">
        <v>1.198</v>
      </c>
      <c r="C217" s="716">
        <v>1.198</v>
      </c>
      <c r="D217" s="716">
        <v>1.2156</v>
      </c>
      <c r="E217" s="716">
        <v>1.2156</v>
      </c>
      <c r="F217" s="716">
        <v>1.2156</v>
      </c>
      <c r="G217" s="716">
        <v>1.2156</v>
      </c>
      <c r="H217" s="716">
        <v>1.2156</v>
      </c>
      <c r="I217" s="716">
        <v>1.0829</v>
      </c>
      <c r="J217" s="716">
        <v>1.0829</v>
      </c>
      <c r="K217" s="716">
        <v>1.0829</v>
      </c>
      <c r="L217" s="716">
        <v>1.0829</v>
      </c>
      <c r="M217" s="716">
        <v>1.0829</v>
      </c>
    </row>
    <row r="218" spans="1:13">
      <c r="A218" s="712">
        <v>1.2</v>
      </c>
      <c r="B218" s="716">
        <v>1.1795</v>
      </c>
      <c r="C218" s="716">
        <v>1.1795</v>
      </c>
      <c r="D218" s="716">
        <v>1.1947000000000001</v>
      </c>
      <c r="E218" s="716">
        <v>1.1947000000000001</v>
      </c>
      <c r="F218" s="716">
        <v>1.1947000000000001</v>
      </c>
      <c r="G218" s="716">
        <v>1.1947000000000001</v>
      </c>
      <c r="H218" s="716">
        <v>1.1947000000000001</v>
      </c>
      <c r="I218" s="716">
        <v>1.0601</v>
      </c>
      <c r="J218" s="716">
        <v>1.0601</v>
      </c>
      <c r="K218" s="716">
        <v>1.0601</v>
      </c>
      <c r="L218" s="716">
        <v>1.0601</v>
      </c>
      <c r="M218" s="716">
        <v>1.0601</v>
      </c>
    </row>
    <row r="219" spans="1:13">
      <c r="A219" s="712">
        <v>1.3</v>
      </c>
      <c r="B219" s="716">
        <v>1.1617999999999999</v>
      </c>
      <c r="C219" s="716">
        <v>1.1617999999999999</v>
      </c>
      <c r="D219" s="716">
        <v>1.1748000000000001</v>
      </c>
      <c r="E219" s="716">
        <v>1.1748000000000001</v>
      </c>
      <c r="F219" s="716">
        <v>1.1748000000000001</v>
      </c>
      <c r="G219" s="716">
        <v>1.1748000000000001</v>
      </c>
      <c r="H219" s="716">
        <v>1.1748000000000001</v>
      </c>
      <c r="I219" s="716">
        <v>1.0387999999999999</v>
      </c>
      <c r="J219" s="716">
        <v>1.0387999999999999</v>
      </c>
      <c r="K219" s="716">
        <v>1.0387999999999999</v>
      </c>
      <c r="L219" s="716">
        <v>1.0387999999999999</v>
      </c>
      <c r="M219" s="716">
        <v>1.0387999999999999</v>
      </c>
    </row>
    <row r="220" spans="1:13">
      <c r="A220" s="712">
        <v>1.4</v>
      </c>
      <c r="B220" s="716">
        <v>1.1448</v>
      </c>
      <c r="C220" s="716">
        <v>1.1448</v>
      </c>
      <c r="D220" s="716">
        <v>1.1557999999999999</v>
      </c>
      <c r="E220" s="716">
        <v>1.1557999999999999</v>
      </c>
      <c r="F220" s="716">
        <v>1.1557999999999999</v>
      </c>
      <c r="G220" s="716">
        <v>1.1557999999999999</v>
      </c>
      <c r="H220" s="716">
        <v>1.1557999999999999</v>
      </c>
      <c r="I220" s="716">
        <v>1.0187999999999999</v>
      </c>
      <c r="J220" s="716">
        <v>1.0187999999999999</v>
      </c>
      <c r="K220" s="716">
        <v>1.0187999999999999</v>
      </c>
      <c r="L220" s="716">
        <v>1.0187999999999999</v>
      </c>
      <c r="M220" s="716">
        <v>1.0187999999999999</v>
      </c>
    </row>
    <row r="221" spans="1:13">
      <c r="A221" s="712">
        <v>1.5</v>
      </c>
      <c r="B221" s="716">
        <v>1.1285000000000001</v>
      </c>
      <c r="C221" s="716">
        <v>1.1285000000000001</v>
      </c>
      <c r="D221" s="716">
        <v>1.1377999999999999</v>
      </c>
      <c r="E221" s="716">
        <v>1.1377999999999999</v>
      </c>
      <c r="F221" s="716">
        <v>1.1377999999999999</v>
      </c>
      <c r="G221" s="716">
        <v>1.1377999999999999</v>
      </c>
      <c r="H221" s="716">
        <v>1.1377999999999999</v>
      </c>
      <c r="I221" s="716">
        <v>1</v>
      </c>
      <c r="J221" s="716">
        <v>1</v>
      </c>
      <c r="K221" s="716">
        <v>1</v>
      </c>
      <c r="L221" s="716">
        <v>1</v>
      </c>
      <c r="M221" s="716">
        <v>1</v>
      </c>
    </row>
    <row r="222" spans="1:13">
      <c r="A222" s="712">
        <v>1.6</v>
      </c>
      <c r="B222" s="716">
        <v>1.1129</v>
      </c>
      <c r="C222" s="716">
        <v>1.1129</v>
      </c>
      <c r="D222" s="716">
        <v>1.1206</v>
      </c>
      <c r="E222" s="716">
        <v>1.1206</v>
      </c>
      <c r="F222" s="716">
        <v>1.1206</v>
      </c>
      <c r="G222" s="716">
        <v>1.1206</v>
      </c>
      <c r="H222" s="716">
        <v>1.1206</v>
      </c>
      <c r="I222" s="716">
        <v>0.98240000000000005</v>
      </c>
      <c r="J222" s="716">
        <v>0.98240000000000005</v>
      </c>
      <c r="K222" s="716">
        <v>0.98240000000000005</v>
      </c>
      <c r="L222" s="716">
        <v>0.98240000000000005</v>
      </c>
      <c r="M222" s="716">
        <v>0.98240000000000005</v>
      </c>
    </row>
    <row r="223" spans="1:13">
      <c r="A223" s="712">
        <v>1.7</v>
      </c>
      <c r="B223" s="716">
        <v>1.0980000000000001</v>
      </c>
      <c r="C223" s="716">
        <v>1.0980000000000001</v>
      </c>
      <c r="D223" s="716">
        <v>1.1043000000000001</v>
      </c>
      <c r="E223" s="716">
        <v>1.1043000000000001</v>
      </c>
      <c r="F223" s="716">
        <v>1.1043000000000001</v>
      </c>
      <c r="G223" s="716">
        <v>1.1043000000000001</v>
      </c>
      <c r="H223" s="716">
        <v>1.1043000000000001</v>
      </c>
      <c r="I223" s="716">
        <v>0.96579999999999999</v>
      </c>
      <c r="J223" s="716">
        <v>0.96579999999999999</v>
      </c>
      <c r="K223" s="716">
        <v>0.96579999999999999</v>
      </c>
      <c r="L223" s="716">
        <v>0.96579999999999999</v>
      </c>
      <c r="M223" s="716">
        <v>0.96579999999999999</v>
      </c>
    </row>
    <row r="224" spans="1:13">
      <c r="A224" s="712">
        <v>1.8</v>
      </c>
      <c r="B224" s="716">
        <v>1.0835999999999999</v>
      </c>
      <c r="C224" s="716">
        <v>1.0835999999999999</v>
      </c>
      <c r="D224" s="716">
        <v>1.0888</v>
      </c>
      <c r="E224" s="716">
        <v>1.0888</v>
      </c>
      <c r="F224" s="716">
        <v>1.0888</v>
      </c>
      <c r="G224" s="716">
        <v>1.0888</v>
      </c>
      <c r="H224" s="716">
        <v>1.0888</v>
      </c>
      <c r="I224" s="716">
        <v>0.95030000000000003</v>
      </c>
      <c r="J224" s="716">
        <v>0.95030000000000003</v>
      </c>
      <c r="K224" s="716">
        <v>0.95030000000000003</v>
      </c>
      <c r="L224" s="716">
        <v>0.95030000000000003</v>
      </c>
      <c r="M224" s="716">
        <v>0.95030000000000003</v>
      </c>
    </row>
    <row r="225" spans="1:13">
      <c r="A225" s="712">
        <v>1.9</v>
      </c>
      <c r="B225" s="716">
        <v>1.0698000000000001</v>
      </c>
      <c r="C225" s="716">
        <v>1.0698000000000001</v>
      </c>
      <c r="D225" s="716">
        <v>1.0741000000000001</v>
      </c>
      <c r="E225" s="716">
        <v>1.0741000000000001</v>
      </c>
      <c r="F225" s="716">
        <v>1.0741000000000001</v>
      </c>
      <c r="G225" s="716">
        <v>1.0741000000000001</v>
      </c>
      <c r="H225" s="716">
        <v>1.0741000000000001</v>
      </c>
      <c r="I225" s="716">
        <v>0.93610000000000004</v>
      </c>
      <c r="J225" s="716">
        <v>0.93610000000000004</v>
      </c>
      <c r="K225" s="716">
        <v>0.93610000000000004</v>
      </c>
      <c r="L225" s="716">
        <v>0.93610000000000004</v>
      </c>
      <c r="M225" s="716">
        <v>0.93610000000000004</v>
      </c>
    </row>
    <row r="226" spans="1:13">
      <c r="A226" s="712">
        <v>2</v>
      </c>
      <c r="B226" s="716">
        <v>1.0568</v>
      </c>
      <c r="C226" s="716">
        <v>1.0568</v>
      </c>
      <c r="D226" s="716">
        <v>1.0601</v>
      </c>
      <c r="E226" s="716">
        <v>1.0601</v>
      </c>
      <c r="F226" s="716">
        <v>1.0601</v>
      </c>
      <c r="G226" s="716">
        <v>1.0601</v>
      </c>
      <c r="H226" s="716">
        <v>1.0601</v>
      </c>
      <c r="I226" s="716">
        <v>0.9224</v>
      </c>
      <c r="J226" s="716">
        <v>0.9224</v>
      </c>
      <c r="K226" s="716">
        <v>0.9224</v>
      </c>
      <c r="L226" s="716">
        <v>0.9224</v>
      </c>
      <c r="M226" s="716">
        <v>0.9224</v>
      </c>
    </row>
    <row r="227" spans="1:13">
      <c r="A227" s="717">
        <v>2.1</v>
      </c>
      <c r="B227" s="716">
        <v>1.0443</v>
      </c>
      <c r="C227" s="716">
        <v>1.0443</v>
      </c>
      <c r="D227" s="716">
        <v>1.0468</v>
      </c>
      <c r="E227" s="716">
        <v>1.0468</v>
      </c>
      <c r="F227" s="716">
        <v>1.0468</v>
      </c>
      <c r="G227" s="716">
        <v>1.0468</v>
      </c>
      <c r="H227" s="716">
        <v>1.0468</v>
      </c>
      <c r="I227" s="716">
        <v>0.90959999999999996</v>
      </c>
      <c r="J227" s="716">
        <v>0.90959999999999996</v>
      </c>
      <c r="K227" s="716">
        <v>0.90959999999999996</v>
      </c>
      <c r="L227" s="716">
        <v>0.90959999999999996</v>
      </c>
      <c r="M227" s="716">
        <v>0.90959999999999996</v>
      </c>
    </row>
    <row r="228" spans="1:13">
      <c r="A228" s="717">
        <v>2.2000000000000002</v>
      </c>
      <c r="B228" s="716">
        <v>1.0325</v>
      </c>
      <c r="C228" s="716">
        <v>1.0325</v>
      </c>
      <c r="D228" s="716">
        <v>1.0342</v>
      </c>
      <c r="E228" s="716">
        <v>1.0342</v>
      </c>
      <c r="F228" s="716">
        <v>1.0342</v>
      </c>
      <c r="G228" s="716">
        <v>1.0342</v>
      </c>
      <c r="H228" s="716">
        <v>1.0342</v>
      </c>
      <c r="I228" s="716">
        <v>0.89749999999999996</v>
      </c>
      <c r="J228" s="716">
        <v>0.89749999999999996</v>
      </c>
      <c r="K228" s="716">
        <v>0.89749999999999996</v>
      </c>
      <c r="L228" s="716">
        <v>0.89749999999999996</v>
      </c>
      <c r="M228" s="716">
        <v>0.89749999999999996</v>
      </c>
    </row>
    <row r="229" spans="1:13">
      <c r="A229" s="717">
        <v>2.2999999999999998</v>
      </c>
      <c r="B229" s="716">
        <v>1.0209999999999999</v>
      </c>
      <c r="C229" s="716">
        <v>1.0209999999999999</v>
      </c>
      <c r="D229" s="716">
        <v>1.0222</v>
      </c>
      <c r="E229" s="716">
        <v>1.0222</v>
      </c>
      <c r="F229" s="716">
        <v>1.0222</v>
      </c>
      <c r="G229" s="716">
        <v>1.0222</v>
      </c>
      <c r="H229" s="716">
        <v>1.0222</v>
      </c>
      <c r="I229" s="716">
        <v>0.88619999999999999</v>
      </c>
      <c r="J229" s="716">
        <v>0.88619999999999999</v>
      </c>
      <c r="K229" s="716">
        <v>0.88619999999999999</v>
      </c>
      <c r="L229" s="716">
        <v>0.88619999999999999</v>
      </c>
      <c r="M229" s="716">
        <v>0.88619999999999999</v>
      </c>
    </row>
    <row r="230" spans="1:13">
      <c r="A230" s="717">
        <v>2.4</v>
      </c>
      <c r="B230" s="716">
        <v>1.0102</v>
      </c>
      <c r="C230" s="716">
        <v>1.0102</v>
      </c>
      <c r="D230" s="716">
        <v>1.0107999999999999</v>
      </c>
      <c r="E230" s="716">
        <v>1.0107999999999999</v>
      </c>
      <c r="F230" s="716">
        <v>1.0107999999999999</v>
      </c>
      <c r="G230" s="716">
        <v>1.0107999999999999</v>
      </c>
      <c r="H230" s="716">
        <v>1.0107999999999999</v>
      </c>
      <c r="I230" s="716">
        <v>0.87529999999999997</v>
      </c>
      <c r="J230" s="716">
        <v>0.87529999999999997</v>
      </c>
      <c r="K230" s="716">
        <v>0.87529999999999997</v>
      </c>
      <c r="L230" s="716">
        <v>0.87529999999999997</v>
      </c>
      <c r="M230" s="716">
        <v>0.87529999999999997</v>
      </c>
    </row>
    <row r="231" spans="1:13">
      <c r="A231" s="717">
        <v>2.5</v>
      </c>
      <c r="B231" s="716">
        <v>1</v>
      </c>
      <c r="C231" s="716">
        <v>1</v>
      </c>
      <c r="D231" s="716">
        <v>1</v>
      </c>
      <c r="E231" s="716">
        <v>1</v>
      </c>
      <c r="F231" s="716">
        <v>1</v>
      </c>
      <c r="G231" s="716">
        <v>1</v>
      </c>
      <c r="H231" s="716">
        <v>1</v>
      </c>
      <c r="I231" s="716">
        <v>0.86509999999999998</v>
      </c>
      <c r="J231" s="716">
        <v>0.86509999999999998</v>
      </c>
      <c r="K231" s="716">
        <v>0.86509999999999998</v>
      </c>
      <c r="L231" s="716">
        <v>0.86509999999999998</v>
      </c>
      <c r="M231" s="716">
        <v>0.86509999999999998</v>
      </c>
    </row>
    <row r="232" spans="1:13">
      <c r="A232" s="717">
        <v>2.6</v>
      </c>
      <c r="B232" s="716">
        <v>0.99029999999999996</v>
      </c>
      <c r="C232" s="716">
        <v>0.99029999999999996</v>
      </c>
      <c r="D232" s="716">
        <v>0.98970000000000002</v>
      </c>
      <c r="E232" s="716">
        <v>0.98970000000000002</v>
      </c>
      <c r="F232" s="716">
        <v>0.98970000000000002</v>
      </c>
      <c r="G232" s="716">
        <v>0.98970000000000002</v>
      </c>
      <c r="H232" s="716">
        <v>0.98970000000000002</v>
      </c>
      <c r="I232" s="716">
        <v>0.85529999999999995</v>
      </c>
      <c r="J232" s="716">
        <v>0.85529999999999995</v>
      </c>
      <c r="K232" s="716">
        <v>0.85529999999999995</v>
      </c>
      <c r="L232" s="716">
        <v>0.85529999999999995</v>
      </c>
      <c r="M232" s="716">
        <v>0.85529999999999995</v>
      </c>
    </row>
    <row r="233" spans="1:13">
      <c r="A233" s="717">
        <v>2.7</v>
      </c>
      <c r="B233" s="716">
        <v>0.98109999999999997</v>
      </c>
      <c r="C233" s="716">
        <v>0.98109999999999997</v>
      </c>
      <c r="D233" s="716">
        <v>0.97989999999999999</v>
      </c>
      <c r="E233" s="716">
        <v>0.97989999999999999</v>
      </c>
      <c r="F233" s="716">
        <v>0.97989999999999999</v>
      </c>
      <c r="G233" s="716">
        <v>0.97989999999999999</v>
      </c>
      <c r="H233" s="716">
        <v>0.97989999999999999</v>
      </c>
      <c r="I233" s="716">
        <v>0.84599999999999997</v>
      </c>
      <c r="J233" s="716">
        <v>0.84599999999999997</v>
      </c>
      <c r="K233" s="716">
        <v>0.84599999999999997</v>
      </c>
      <c r="L233" s="716">
        <v>0.84599999999999997</v>
      </c>
      <c r="M233" s="716">
        <v>0.84599999999999997</v>
      </c>
    </row>
    <row r="234" spans="1:13">
      <c r="A234" s="717">
        <v>2.8</v>
      </c>
      <c r="B234" s="716">
        <v>0.97240000000000004</v>
      </c>
      <c r="C234" s="716">
        <v>0.97240000000000004</v>
      </c>
      <c r="D234" s="716">
        <v>0.97060000000000002</v>
      </c>
      <c r="E234" s="716">
        <v>0.97060000000000002</v>
      </c>
      <c r="F234" s="716">
        <v>0.97060000000000002</v>
      </c>
      <c r="G234" s="716">
        <v>0.97060000000000002</v>
      </c>
      <c r="H234" s="716">
        <v>0.97060000000000002</v>
      </c>
      <c r="I234" s="716">
        <v>0.83709999999999996</v>
      </c>
      <c r="J234" s="716">
        <v>0.83709999999999996</v>
      </c>
      <c r="K234" s="716">
        <v>0.83709999999999996</v>
      </c>
      <c r="L234" s="716">
        <v>0.83709999999999996</v>
      </c>
      <c r="M234" s="716">
        <v>0.83709999999999996</v>
      </c>
    </row>
    <row r="235" spans="1:13">
      <c r="A235" s="717">
        <v>2.9</v>
      </c>
      <c r="B235" s="716">
        <v>0.96419999999999995</v>
      </c>
      <c r="C235" s="716">
        <v>0.96419999999999995</v>
      </c>
      <c r="D235" s="716">
        <v>0.96179999999999999</v>
      </c>
      <c r="E235" s="716">
        <v>0.96179999999999999</v>
      </c>
      <c r="F235" s="716">
        <v>0.96179999999999999</v>
      </c>
      <c r="G235" s="716">
        <v>0.96179999999999999</v>
      </c>
      <c r="H235" s="716">
        <v>0.96179999999999999</v>
      </c>
      <c r="I235" s="716">
        <v>0.82850000000000001</v>
      </c>
      <c r="J235" s="716">
        <v>0.82850000000000001</v>
      </c>
      <c r="K235" s="716">
        <v>0.82850000000000001</v>
      </c>
      <c r="L235" s="716">
        <v>0.82850000000000001</v>
      </c>
      <c r="M235" s="716">
        <v>0.82850000000000001</v>
      </c>
    </row>
    <row r="236" spans="1:13">
      <c r="A236" s="717">
        <v>3</v>
      </c>
      <c r="B236" s="716">
        <v>0.95640000000000003</v>
      </c>
      <c r="C236" s="716">
        <v>0.95640000000000003</v>
      </c>
      <c r="D236" s="716">
        <v>0.95340000000000003</v>
      </c>
      <c r="E236" s="716">
        <v>0.95340000000000003</v>
      </c>
      <c r="F236" s="716">
        <v>0.95340000000000003</v>
      </c>
      <c r="G236" s="716">
        <v>0.95340000000000003</v>
      </c>
      <c r="H236" s="716">
        <v>0.95340000000000003</v>
      </c>
      <c r="I236" s="716">
        <v>0.82040000000000002</v>
      </c>
      <c r="J236" s="716">
        <v>0.82040000000000002</v>
      </c>
      <c r="K236" s="716">
        <v>0.82040000000000002</v>
      </c>
      <c r="L236" s="716">
        <v>0.82040000000000002</v>
      </c>
      <c r="M236" s="716">
        <v>0.82040000000000002</v>
      </c>
    </row>
    <row r="237" spans="1:13">
      <c r="A237" s="717">
        <v>3.1</v>
      </c>
      <c r="B237" s="716">
        <v>0.94899999999999995</v>
      </c>
      <c r="C237" s="716">
        <v>0.94899999999999995</v>
      </c>
      <c r="D237" s="716">
        <v>0.94550000000000001</v>
      </c>
      <c r="E237" s="716">
        <v>0.94550000000000001</v>
      </c>
      <c r="F237" s="716">
        <v>0.94550000000000001</v>
      </c>
      <c r="G237" s="716">
        <v>0.94550000000000001</v>
      </c>
      <c r="H237" s="716">
        <v>0.94550000000000001</v>
      </c>
      <c r="I237" s="716">
        <v>0.81259999999999999</v>
      </c>
      <c r="J237" s="716">
        <v>0.81259999999999999</v>
      </c>
      <c r="K237" s="716">
        <v>0.81259999999999999</v>
      </c>
      <c r="L237" s="716">
        <v>0.81259999999999999</v>
      </c>
      <c r="M237" s="716">
        <v>0.81259999999999999</v>
      </c>
    </row>
    <row r="238" spans="1:13">
      <c r="A238" s="717">
        <v>3.2</v>
      </c>
      <c r="B238" s="716">
        <v>0.94199999999999995</v>
      </c>
      <c r="C238" s="716">
        <v>0.94199999999999995</v>
      </c>
      <c r="D238" s="716">
        <v>0.93789999999999996</v>
      </c>
      <c r="E238" s="716">
        <v>0.93789999999999996</v>
      </c>
      <c r="F238" s="716">
        <v>0.93789999999999996</v>
      </c>
      <c r="G238" s="716">
        <v>0.93789999999999996</v>
      </c>
      <c r="H238" s="716">
        <v>0.93789999999999996</v>
      </c>
      <c r="I238" s="716">
        <v>0.80530000000000002</v>
      </c>
      <c r="J238" s="716">
        <v>0.80530000000000002</v>
      </c>
      <c r="K238" s="716">
        <v>0.80530000000000002</v>
      </c>
      <c r="L238" s="716">
        <v>0.80530000000000002</v>
      </c>
      <c r="M238" s="716">
        <v>0.80530000000000002</v>
      </c>
    </row>
    <row r="239" spans="1:13">
      <c r="A239" s="717">
        <v>3.3</v>
      </c>
      <c r="B239" s="716">
        <v>0.93540000000000001</v>
      </c>
      <c r="C239" s="716">
        <v>0.93540000000000001</v>
      </c>
      <c r="D239" s="716">
        <v>0.93069999999999997</v>
      </c>
      <c r="E239" s="716">
        <v>0.93069999999999997</v>
      </c>
      <c r="F239" s="716">
        <v>0.93069999999999997</v>
      </c>
      <c r="G239" s="716">
        <v>0.93069999999999997</v>
      </c>
      <c r="H239" s="716">
        <v>0.93069999999999997</v>
      </c>
      <c r="I239" s="716">
        <v>0.79820000000000002</v>
      </c>
      <c r="J239" s="716">
        <v>0.79820000000000002</v>
      </c>
      <c r="K239" s="716">
        <v>0.79820000000000002</v>
      </c>
      <c r="L239" s="716">
        <v>0.79820000000000002</v>
      </c>
      <c r="M239" s="716">
        <v>0.79820000000000002</v>
      </c>
    </row>
    <row r="240" spans="1:13">
      <c r="A240" s="717">
        <v>3.4</v>
      </c>
      <c r="B240" s="716">
        <v>0.92920000000000003</v>
      </c>
      <c r="C240" s="716">
        <v>0.92920000000000003</v>
      </c>
      <c r="D240" s="716">
        <v>0.92390000000000005</v>
      </c>
      <c r="E240" s="716">
        <v>0.92390000000000005</v>
      </c>
      <c r="F240" s="716">
        <v>0.92390000000000005</v>
      </c>
      <c r="G240" s="716">
        <v>0.92390000000000005</v>
      </c>
      <c r="H240" s="716">
        <v>0.92390000000000005</v>
      </c>
      <c r="I240" s="716">
        <v>0.79139999999999999</v>
      </c>
      <c r="J240" s="716">
        <v>0.79139999999999999</v>
      </c>
      <c r="K240" s="716">
        <v>0.79139999999999999</v>
      </c>
      <c r="L240" s="716">
        <v>0.79139999999999999</v>
      </c>
      <c r="M240" s="716">
        <v>0.79139999999999999</v>
      </c>
    </row>
    <row r="241" spans="1:13">
      <c r="A241" s="717">
        <v>3.5</v>
      </c>
      <c r="B241" s="716">
        <v>0.9234</v>
      </c>
      <c r="C241" s="716">
        <v>0.9234</v>
      </c>
      <c r="D241" s="716">
        <v>0.91749999999999998</v>
      </c>
      <c r="E241" s="716">
        <v>0.91749999999999998</v>
      </c>
      <c r="F241" s="716">
        <v>0.91749999999999998</v>
      </c>
      <c r="G241" s="716">
        <v>0.91749999999999998</v>
      </c>
      <c r="H241" s="716">
        <v>0.91749999999999998</v>
      </c>
      <c r="I241" s="716">
        <v>0.78490000000000004</v>
      </c>
      <c r="J241" s="716">
        <v>0.78490000000000004</v>
      </c>
      <c r="K241" s="716">
        <v>0.78490000000000004</v>
      </c>
      <c r="L241" s="716">
        <v>0.78490000000000004</v>
      </c>
      <c r="M241" s="716">
        <v>0.78490000000000004</v>
      </c>
    </row>
    <row r="242" spans="1:13">
      <c r="A242" s="717">
        <v>3.6</v>
      </c>
      <c r="B242" s="716">
        <v>0.91790000000000005</v>
      </c>
      <c r="C242" s="716">
        <v>0.91790000000000005</v>
      </c>
      <c r="D242" s="716">
        <v>0.91139999999999999</v>
      </c>
      <c r="E242" s="716">
        <v>0.91139999999999999</v>
      </c>
      <c r="F242" s="716">
        <v>0.91139999999999999</v>
      </c>
      <c r="G242" s="716">
        <v>0.91139999999999999</v>
      </c>
      <c r="H242" s="716">
        <v>0.91139999999999999</v>
      </c>
      <c r="I242" s="716">
        <v>0.77880000000000005</v>
      </c>
      <c r="J242" s="716">
        <v>0.77880000000000005</v>
      </c>
      <c r="K242" s="716">
        <v>0.77880000000000005</v>
      </c>
      <c r="L242" s="716">
        <v>0.77880000000000005</v>
      </c>
      <c r="M242" s="716">
        <v>0.77880000000000005</v>
      </c>
    </row>
    <row r="243" spans="1:13">
      <c r="A243" s="717">
        <v>3.7</v>
      </c>
      <c r="B243" s="716">
        <v>0.91269999999999996</v>
      </c>
      <c r="C243" s="716">
        <v>0.91269999999999996</v>
      </c>
      <c r="D243" s="716">
        <v>0.90559999999999996</v>
      </c>
      <c r="E243" s="716">
        <v>0.90559999999999996</v>
      </c>
      <c r="F243" s="716">
        <v>0.90559999999999996</v>
      </c>
      <c r="G243" s="716">
        <v>0.90559999999999996</v>
      </c>
      <c r="H243" s="716">
        <v>0.90559999999999996</v>
      </c>
      <c r="I243" s="716">
        <v>0.77300000000000002</v>
      </c>
      <c r="J243" s="716">
        <v>0.77300000000000002</v>
      </c>
      <c r="K243" s="716">
        <v>0.77300000000000002</v>
      </c>
      <c r="L243" s="716">
        <v>0.77300000000000002</v>
      </c>
      <c r="M243" s="716">
        <v>0.77300000000000002</v>
      </c>
    </row>
    <row r="244" spans="1:13">
      <c r="A244" s="717">
        <v>3.8</v>
      </c>
      <c r="B244" s="716">
        <v>0.90780000000000005</v>
      </c>
      <c r="C244" s="716">
        <v>0.90780000000000005</v>
      </c>
      <c r="D244" s="716">
        <v>0.90010000000000001</v>
      </c>
      <c r="E244" s="716">
        <v>0.90010000000000001</v>
      </c>
      <c r="F244" s="716">
        <v>0.90010000000000001</v>
      </c>
      <c r="G244" s="716">
        <v>0.90010000000000001</v>
      </c>
      <c r="H244" s="716">
        <v>0.90010000000000001</v>
      </c>
      <c r="I244" s="716">
        <v>0.76739999999999997</v>
      </c>
      <c r="J244" s="716">
        <v>0.76739999999999997</v>
      </c>
      <c r="K244" s="716">
        <v>0.76739999999999997</v>
      </c>
      <c r="L244" s="716">
        <v>0.76739999999999997</v>
      </c>
      <c r="M244" s="716">
        <v>0.76739999999999997</v>
      </c>
    </row>
    <row r="245" spans="1:13">
      <c r="A245" s="717">
        <v>3.9</v>
      </c>
      <c r="B245" s="716">
        <v>0.9032</v>
      </c>
      <c r="C245" s="716">
        <v>0.9032</v>
      </c>
      <c r="D245" s="716">
        <v>0.89490000000000003</v>
      </c>
      <c r="E245" s="716">
        <v>0.89490000000000003</v>
      </c>
      <c r="F245" s="716">
        <v>0.89490000000000003</v>
      </c>
      <c r="G245" s="716">
        <v>0.89490000000000003</v>
      </c>
      <c r="H245" s="716">
        <v>0.89490000000000003</v>
      </c>
      <c r="I245" s="716">
        <v>0.7621</v>
      </c>
      <c r="J245" s="716">
        <v>0.7621</v>
      </c>
      <c r="K245" s="716">
        <v>0.7621</v>
      </c>
      <c r="L245" s="716">
        <v>0.7621</v>
      </c>
      <c r="M245" s="716">
        <v>0.7621</v>
      </c>
    </row>
    <row r="246" spans="1:13">
      <c r="A246" s="717">
        <v>4</v>
      </c>
      <c r="B246" s="716">
        <v>0.89890000000000003</v>
      </c>
      <c r="C246" s="716">
        <v>0.89890000000000003</v>
      </c>
      <c r="D246" s="716">
        <v>0.89</v>
      </c>
      <c r="E246" s="716">
        <v>0.89</v>
      </c>
      <c r="F246" s="716">
        <v>0.89</v>
      </c>
      <c r="G246" s="716">
        <v>0.89</v>
      </c>
      <c r="H246" s="716">
        <v>0.89</v>
      </c>
      <c r="I246" s="716">
        <v>0.7571</v>
      </c>
      <c r="J246" s="716">
        <v>0.7571</v>
      </c>
      <c r="K246" s="716">
        <v>0.7571</v>
      </c>
      <c r="L246" s="716">
        <v>0.7571</v>
      </c>
      <c r="M246" s="716">
        <v>0.7571</v>
      </c>
    </row>
    <row r="247" spans="1:13">
      <c r="A247" s="717">
        <v>4.0999999999999996</v>
      </c>
      <c r="B247" s="716">
        <v>0.89480000000000004</v>
      </c>
      <c r="C247" s="716">
        <v>0.89480000000000004</v>
      </c>
      <c r="D247" s="716">
        <v>0.88539999999999996</v>
      </c>
      <c r="E247" s="716">
        <v>0.88539999999999996</v>
      </c>
      <c r="F247" s="716">
        <v>0.88539999999999996</v>
      </c>
      <c r="G247" s="716">
        <v>0.88539999999999996</v>
      </c>
      <c r="H247" s="716">
        <v>0.88539999999999996</v>
      </c>
      <c r="I247" s="716">
        <v>0.75229999999999997</v>
      </c>
      <c r="J247" s="716">
        <v>0.75229999999999997</v>
      </c>
      <c r="K247" s="716">
        <v>0.75229999999999997</v>
      </c>
      <c r="L247" s="716">
        <v>0.75229999999999997</v>
      </c>
      <c r="M247" s="716">
        <v>0.75229999999999997</v>
      </c>
    </row>
    <row r="248" spans="1:13">
      <c r="A248" s="717">
        <v>4.2</v>
      </c>
      <c r="B248" s="716">
        <v>0.89100000000000001</v>
      </c>
      <c r="C248" s="716">
        <v>0.89100000000000001</v>
      </c>
      <c r="D248" s="716">
        <v>0.88109999999999999</v>
      </c>
      <c r="E248" s="716">
        <v>0.88109999999999999</v>
      </c>
      <c r="F248" s="716">
        <v>0.88109999999999999</v>
      </c>
      <c r="G248" s="716">
        <v>0.88109999999999999</v>
      </c>
      <c r="H248" s="716">
        <v>0.88109999999999999</v>
      </c>
      <c r="I248" s="716">
        <v>0.74780000000000002</v>
      </c>
      <c r="J248" s="716">
        <v>0.74780000000000002</v>
      </c>
      <c r="K248" s="716">
        <v>0.74780000000000002</v>
      </c>
      <c r="L248" s="716">
        <v>0.74780000000000002</v>
      </c>
      <c r="M248" s="716">
        <v>0.74780000000000002</v>
      </c>
    </row>
    <row r="249" spans="1:13">
      <c r="A249" s="717">
        <v>4.3</v>
      </c>
      <c r="B249" s="716">
        <v>0.88739999999999997</v>
      </c>
      <c r="C249" s="716">
        <v>0.88739999999999997</v>
      </c>
      <c r="D249" s="716">
        <v>0.877</v>
      </c>
      <c r="E249" s="716">
        <v>0.877</v>
      </c>
      <c r="F249" s="716">
        <v>0.877</v>
      </c>
      <c r="G249" s="716">
        <v>0.877</v>
      </c>
      <c r="H249" s="716">
        <v>0.877</v>
      </c>
      <c r="I249" s="716">
        <v>0.74329999999999996</v>
      </c>
      <c r="J249" s="716">
        <v>0.74329999999999996</v>
      </c>
      <c r="K249" s="716">
        <v>0.74329999999999996</v>
      </c>
      <c r="L249" s="716">
        <v>0.74329999999999996</v>
      </c>
      <c r="M249" s="716">
        <v>0.74329999999999996</v>
      </c>
    </row>
    <row r="250" spans="1:13">
      <c r="A250" s="717">
        <v>4.4000000000000004</v>
      </c>
      <c r="B250" s="716">
        <v>0.88400000000000001</v>
      </c>
      <c r="C250" s="716">
        <v>0.88400000000000001</v>
      </c>
      <c r="D250" s="716">
        <v>0.87309999999999999</v>
      </c>
      <c r="E250" s="716">
        <v>0.87309999999999999</v>
      </c>
      <c r="F250" s="716">
        <v>0.87309999999999999</v>
      </c>
      <c r="G250" s="716">
        <v>0.87309999999999999</v>
      </c>
      <c r="H250" s="716">
        <v>0.87309999999999999</v>
      </c>
      <c r="I250" s="716">
        <v>0.73909999999999998</v>
      </c>
      <c r="J250" s="716">
        <v>0.73909999999999998</v>
      </c>
      <c r="K250" s="716">
        <v>0.73909999999999998</v>
      </c>
      <c r="L250" s="716">
        <v>0.73909999999999998</v>
      </c>
      <c r="M250" s="716">
        <v>0.73909999999999998</v>
      </c>
    </row>
    <row r="251" spans="1:13">
      <c r="A251" s="717">
        <v>4.5</v>
      </c>
      <c r="B251" s="716">
        <v>0.88080000000000003</v>
      </c>
      <c r="C251" s="716">
        <v>0.88080000000000003</v>
      </c>
      <c r="D251" s="716">
        <v>0.86939999999999995</v>
      </c>
      <c r="E251" s="716">
        <v>0.86939999999999995</v>
      </c>
      <c r="F251" s="716">
        <v>0.86939999999999995</v>
      </c>
      <c r="G251" s="716">
        <v>0.86939999999999995</v>
      </c>
      <c r="H251" s="716">
        <v>0.86939999999999995</v>
      </c>
      <c r="I251" s="716">
        <v>0.73499999999999999</v>
      </c>
      <c r="J251" s="716">
        <v>0.73499999999999999</v>
      </c>
      <c r="K251" s="716">
        <v>0.73499999999999999</v>
      </c>
      <c r="L251" s="716">
        <v>0.73499999999999999</v>
      </c>
      <c r="M251" s="716">
        <v>0.73499999999999999</v>
      </c>
    </row>
    <row r="252" spans="1:13">
      <c r="A252" s="717">
        <v>4.5999999999999996</v>
      </c>
      <c r="B252" s="716">
        <v>0.87780000000000002</v>
      </c>
      <c r="C252" s="716">
        <v>0.87780000000000002</v>
      </c>
      <c r="D252" s="716">
        <v>0.8659</v>
      </c>
      <c r="E252" s="716">
        <v>0.8659</v>
      </c>
      <c r="F252" s="716">
        <v>0.8659</v>
      </c>
      <c r="G252" s="716">
        <v>0.8659</v>
      </c>
      <c r="H252" s="716">
        <v>0.8659</v>
      </c>
      <c r="I252" s="716">
        <v>0.73109999999999997</v>
      </c>
      <c r="J252" s="716">
        <v>0.73109999999999997</v>
      </c>
      <c r="K252" s="716">
        <v>0.73109999999999997</v>
      </c>
      <c r="L252" s="716">
        <v>0.73109999999999997</v>
      </c>
      <c r="M252" s="716">
        <v>0.73109999999999997</v>
      </c>
    </row>
    <row r="253" spans="1:13">
      <c r="A253" s="717">
        <v>4.7</v>
      </c>
      <c r="B253" s="716">
        <v>0.875</v>
      </c>
      <c r="C253" s="716">
        <v>0.875</v>
      </c>
      <c r="D253" s="716">
        <v>0.86260000000000003</v>
      </c>
      <c r="E253" s="716">
        <v>0.86260000000000003</v>
      </c>
      <c r="F253" s="716">
        <v>0.86260000000000003</v>
      </c>
      <c r="G253" s="716">
        <v>0.86260000000000003</v>
      </c>
      <c r="H253" s="716">
        <v>0.86260000000000003</v>
      </c>
      <c r="I253" s="716">
        <v>0.72750000000000004</v>
      </c>
      <c r="J253" s="716">
        <v>0.72750000000000004</v>
      </c>
      <c r="K253" s="716">
        <v>0.72750000000000004</v>
      </c>
      <c r="L253" s="716">
        <v>0.72750000000000004</v>
      </c>
      <c r="M253" s="716">
        <v>0.72750000000000004</v>
      </c>
    </row>
    <row r="254" spans="1:13">
      <c r="A254" s="717">
        <v>4.8</v>
      </c>
      <c r="B254" s="716">
        <v>0.87229999999999996</v>
      </c>
      <c r="C254" s="716">
        <v>0.87229999999999996</v>
      </c>
      <c r="D254" s="716">
        <v>0.85950000000000004</v>
      </c>
      <c r="E254" s="716">
        <v>0.85950000000000004</v>
      </c>
      <c r="F254" s="716">
        <v>0.85950000000000004</v>
      </c>
      <c r="G254" s="716">
        <v>0.85950000000000004</v>
      </c>
      <c r="H254" s="716">
        <v>0.85950000000000004</v>
      </c>
      <c r="I254" s="716">
        <v>0.72399999999999998</v>
      </c>
      <c r="J254" s="716">
        <v>0.72399999999999998</v>
      </c>
      <c r="K254" s="716">
        <v>0.72399999999999998</v>
      </c>
      <c r="L254" s="716">
        <v>0.72399999999999998</v>
      </c>
      <c r="M254" s="716">
        <v>0.72399999999999998</v>
      </c>
    </row>
    <row r="255" spans="1:13">
      <c r="A255" s="717">
        <v>4.9000000000000004</v>
      </c>
      <c r="B255" s="716">
        <v>0.86980000000000002</v>
      </c>
      <c r="C255" s="716">
        <v>0.86980000000000002</v>
      </c>
      <c r="D255" s="716">
        <v>0.85660000000000003</v>
      </c>
      <c r="E255" s="716">
        <v>0.85660000000000003</v>
      </c>
      <c r="F255" s="716">
        <v>0.85660000000000003</v>
      </c>
      <c r="G255" s="716">
        <v>0.85660000000000003</v>
      </c>
      <c r="H255" s="716">
        <v>0.85660000000000003</v>
      </c>
      <c r="I255" s="716">
        <v>0.7208</v>
      </c>
      <c r="J255" s="716">
        <v>0.7208</v>
      </c>
      <c r="K255" s="716">
        <v>0.7208</v>
      </c>
      <c r="L255" s="716">
        <v>0.7208</v>
      </c>
      <c r="M255" s="716">
        <v>0.7208</v>
      </c>
    </row>
    <row r="256" spans="1:13">
      <c r="A256" s="717">
        <v>5</v>
      </c>
      <c r="B256" s="716">
        <v>0.86739999999999995</v>
      </c>
      <c r="C256" s="716">
        <v>0.86739999999999995</v>
      </c>
      <c r="D256" s="716">
        <v>0.8538</v>
      </c>
      <c r="E256" s="716">
        <v>0.8538</v>
      </c>
      <c r="F256" s="716">
        <v>0.8538</v>
      </c>
      <c r="G256" s="716">
        <v>0.8538</v>
      </c>
      <c r="H256" s="716">
        <v>0.8538</v>
      </c>
      <c r="I256" s="716">
        <v>0.71760000000000002</v>
      </c>
      <c r="J256" s="716">
        <v>0.71760000000000002</v>
      </c>
      <c r="K256" s="716">
        <v>0.71760000000000002</v>
      </c>
      <c r="L256" s="716">
        <v>0.71760000000000002</v>
      </c>
      <c r="M256" s="716">
        <v>0.71760000000000002</v>
      </c>
    </row>
    <row r="257" spans="1:13">
      <c r="A257" s="712">
        <v>5.0999999999999996</v>
      </c>
      <c r="B257" s="716">
        <v>0.86519999999999997</v>
      </c>
      <c r="C257" s="716">
        <v>0.86519999999999997</v>
      </c>
      <c r="D257" s="716">
        <v>0.85109999999999997</v>
      </c>
      <c r="E257" s="716">
        <v>0.85109999999999997</v>
      </c>
      <c r="F257" s="716">
        <v>0.85109999999999997</v>
      </c>
      <c r="G257" s="716">
        <v>0.85109999999999997</v>
      </c>
      <c r="H257" s="716">
        <v>0.85109999999999997</v>
      </c>
      <c r="I257" s="716">
        <v>0.7147</v>
      </c>
      <c r="J257" s="716">
        <v>0.7147</v>
      </c>
      <c r="K257" s="716">
        <v>0.7147</v>
      </c>
      <c r="L257" s="716">
        <v>0.7147</v>
      </c>
      <c r="M257" s="716">
        <v>0.7147</v>
      </c>
    </row>
    <row r="258" spans="1:13">
      <c r="A258" s="712">
        <v>5.2</v>
      </c>
      <c r="B258" s="716">
        <v>0.86309999999999998</v>
      </c>
      <c r="C258" s="716">
        <v>0.86309999999999998</v>
      </c>
      <c r="D258" s="716">
        <v>0.84860000000000002</v>
      </c>
      <c r="E258" s="716">
        <v>0.84860000000000002</v>
      </c>
      <c r="F258" s="716">
        <v>0.84860000000000002</v>
      </c>
      <c r="G258" s="716">
        <v>0.84860000000000002</v>
      </c>
      <c r="H258" s="716">
        <v>0.84860000000000002</v>
      </c>
      <c r="I258" s="716">
        <v>0.71189999999999998</v>
      </c>
      <c r="J258" s="716">
        <v>0.71189999999999998</v>
      </c>
      <c r="K258" s="716">
        <v>0.71189999999999998</v>
      </c>
      <c r="L258" s="716">
        <v>0.71189999999999998</v>
      </c>
      <c r="M258" s="716">
        <v>0.71189999999999998</v>
      </c>
    </row>
    <row r="259" spans="1:13">
      <c r="A259" s="712">
        <v>5.3</v>
      </c>
      <c r="B259" s="716">
        <v>0.86119999999999997</v>
      </c>
      <c r="C259" s="716">
        <v>0.86119999999999997</v>
      </c>
      <c r="D259" s="716">
        <v>0.84619999999999995</v>
      </c>
      <c r="E259" s="716">
        <v>0.84619999999999995</v>
      </c>
      <c r="F259" s="716">
        <v>0.84619999999999995</v>
      </c>
      <c r="G259" s="716">
        <v>0.84619999999999995</v>
      </c>
      <c r="H259" s="716">
        <v>0.84619999999999995</v>
      </c>
      <c r="I259" s="716">
        <v>0.70909999999999995</v>
      </c>
      <c r="J259" s="716">
        <v>0.70909999999999995</v>
      </c>
      <c r="K259" s="716">
        <v>0.70909999999999995</v>
      </c>
      <c r="L259" s="716">
        <v>0.70909999999999995</v>
      </c>
      <c r="M259" s="716">
        <v>0.70909999999999995</v>
      </c>
    </row>
    <row r="260" spans="1:13">
      <c r="A260" s="712">
        <v>5.4</v>
      </c>
      <c r="B260" s="716">
        <v>0.85940000000000005</v>
      </c>
      <c r="C260" s="716">
        <v>0.85940000000000005</v>
      </c>
      <c r="D260" s="716">
        <v>0.84389999999999998</v>
      </c>
      <c r="E260" s="716">
        <v>0.84389999999999998</v>
      </c>
      <c r="F260" s="716">
        <v>0.84389999999999998</v>
      </c>
      <c r="G260" s="716">
        <v>0.84389999999999998</v>
      </c>
      <c r="H260" s="716">
        <v>0.84389999999999998</v>
      </c>
      <c r="I260" s="716">
        <v>0.70650000000000002</v>
      </c>
      <c r="J260" s="716">
        <v>0.70650000000000002</v>
      </c>
      <c r="K260" s="716">
        <v>0.70650000000000002</v>
      </c>
      <c r="L260" s="716">
        <v>0.70650000000000002</v>
      </c>
      <c r="M260" s="716">
        <v>0.70650000000000002</v>
      </c>
    </row>
    <row r="261" spans="1:13">
      <c r="A261" s="712">
        <v>5.5</v>
      </c>
      <c r="B261" s="716">
        <v>0.85770000000000002</v>
      </c>
      <c r="C261" s="716">
        <v>0.85770000000000002</v>
      </c>
      <c r="D261" s="716">
        <v>0.84179999999999999</v>
      </c>
      <c r="E261" s="716">
        <v>0.84179999999999999</v>
      </c>
      <c r="F261" s="716">
        <v>0.84179999999999999</v>
      </c>
      <c r="G261" s="716">
        <v>0.84179999999999999</v>
      </c>
      <c r="H261" s="716">
        <v>0.84179999999999999</v>
      </c>
      <c r="I261" s="716">
        <v>0.70399999999999996</v>
      </c>
      <c r="J261" s="716">
        <v>0.70399999999999996</v>
      </c>
      <c r="K261" s="716">
        <v>0.70399999999999996</v>
      </c>
      <c r="L261" s="716">
        <v>0.70399999999999996</v>
      </c>
      <c r="M261" s="716">
        <v>0.70399999999999996</v>
      </c>
    </row>
    <row r="262" spans="1:13">
      <c r="A262" s="712">
        <v>5.6</v>
      </c>
      <c r="B262" s="716">
        <v>0.85599999999999998</v>
      </c>
      <c r="C262" s="716">
        <v>0.85599999999999998</v>
      </c>
      <c r="D262" s="716">
        <v>0.83979999999999999</v>
      </c>
      <c r="E262" s="716">
        <v>0.83979999999999999</v>
      </c>
      <c r="F262" s="716">
        <v>0.83979999999999999</v>
      </c>
      <c r="G262" s="716">
        <v>0.83979999999999999</v>
      </c>
      <c r="H262" s="716">
        <v>0.83979999999999999</v>
      </c>
      <c r="I262" s="716">
        <v>0.7016</v>
      </c>
      <c r="J262" s="716">
        <v>0.7016</v>
      </c>
      <c r="K262" s="716">
        <v>0.7016</v>
      </c>
      <c r="L262" s="716">
        <v>0.7016</v>
      </c>
      <c r="M262" s="716">
        <v>0.7016</v>
      </c>
    </row>
    <row r="263" spans="1:13">
      <c r="A263" s="717">
        <v>5.7</v>
      </c>
      <c r="B263" s="716">
        <v>0.85440000000000005</v>
      </c>
      <c r="C263" s="716">
        <v>0.85440000000000005</v>
      </c>
      <c r="D263" s="716">
        <v>0.83789999999999998</v>
      </c>
      <c r="E263" s="716">
        <v>0.83789999999999998</v>
      </c>
      <c r="F263" s="716">
        <v>0.83789999999999998</v>
      </c>
      <c r="G263" s="716">
        <v>0.83789999999999998</v>
      </c>
      <c r="H263" s="716">
        <v>0.83789999999999998</v>
      </c>
      <c r="I263" s="716">
        <v>0.69940000000000002</v>
      </c>
      <c r="J263" s="716">
        <v>0.69940000000000002</v>
      </c>
      <c r="K263" s="716">
        <v>0.69940000000000002</v>
      </c>
      <c r="L263" s="716">
        <v>0.69940000000000002</v>
      </c>
      <c r="M263" s="716">
        <v>0.69940000000000002</v>
      </c>
    </row>
    <row r="264" spans="1:13">
      <c r="A264" s="712">
        <v>5.8</v>
      </c>
      <c r="B264" s="716">
        <v>0.85289999999999999</v>
      </c>
      <c r="C264" s="716">
        <v>0.85289999999999999</v>
      </c>
      <c r="D264" s="716">
        <v>0.83599999999999997</v>
      </c>
      <c r="E264" s="716">
        <v>0.83599999999999997</v>
      </c>
      <c r="F264" s="716">
        <v>0.83599999999999997</v>
      </c>
      <c r="G264" s="716">
        <v>0.83599999999999997</v>
      </c>
      <c r="H264" s="716">
        <v>0.83599999999999997</v>
      </c>
      <c r="I264" s="716">
        <v>0.69720000000000004</v>
      </c>
      <c r="J264" s="716">
        <v>0.69720000000000004</v>
      </c>
      <c r="K264" s="716">
        <v>0.69720000000000004</v>
      </c>
      <c r="L264" s="716">
        <v>0.69720000000000004</v>
      </c>
      <c r="M264" s="716">
        <v>0.69720000000000004</v>
      </c>
    </row>
    <row r="265" spans="1:13">
      <c r="A265" s="712">
        <v>5.9</v>
      </c>
      <c r="B265" s="716">
        <v>0.85150000000000003</v>
      </c>
      <c r="C265" s="716">
        <v>0.85150000000000003</v>
      </c>
      <c r="D265" s="716">
        <v>0.83430000000000004</v>
      </c>
      <c r="E265" s="716">
        <v>0.83430000000000004</v>
      </c>
      <c r="F265" s="716">
        <v>0.83430000000000004</v>
      </c>
      <c r="G265" s="716">
        <v>0.83430000000000004</v>
      </c>
      <c r="H265" s="716">
        <v>0.83430000000000004</v>
      </c>
      <c r="I265" s="716">
        <v>0.69520000000000004</v>
      </c>
      <c r="J265" s="716">
        <v>0.69520000000000004</v>
      </c>
      <c r="K265" s="716">
        <v>0.69520000000000004</v>
      </c>
      <c r="L265" s="716">
        <v>0.69520000000000004</v>
      </c>
      <c r="M265" s="716">
        <v>0.69520000000000004</v>
      </c>
    </row>
    <row r="266" spans="1:13">
      <c r="A266" s="712">
        <v>6</v>
      </c>
      <c r="B266" s="716">
        <v>0.85019999999999996</v>
      </c>
      <c r="C266" s="716">
        <v>0.85019999999999996</v>
      </c>
      <c r="D266" s="716">
        <v>0.8327</v>
      </c>
      <c r="E266" s="716">
        <v>0.8327</v>
      </c>
      <c r="F266" s="716">
        <v>0.8327</v>
      </c>
      <c r="G266" s="716">
        <v>0.8327</v>
      </c>
      <c r="H266" s="716">
        <v>0.8327</v>
      </c>
      <c r="I266" s="716">
        <v>0.69320000000000004</v>
      </c>
      <c r="J266" s="716">
        <v>0.69320000000000004</v>
      </c>
      <c r="K266" s="716">
        <v>0.69320000000000004</v>
      </c>
      <c r="L266" s="716">
        <v>0.69320000000000004</v>
      </c>
      <c r="M266" s="716">
        <v>0.69320000000000004</v>
      </c>
    </row>
    <row r="267" spans="1:13">
      <c r="A267" s="712">
        <v>6.1</v>
      </c>
      <c r="B267" s="716">
        <v>0.84899999999999998</v>
      </c>
      <c r="C267" s="716">
        <v>0.84899999999999998</v>
      </c>
      <c r="D267" s="716">
        <v>0.83109999999999995</v>
      </c>
      <c r="E267" s="716">
        <v>0.83109999999999995</v>
      </c>
      <c r="F267" s="716">
        <v>0.83109999999999995</v>
      </c>
      <c r="G267" s="716">
        <v>0.83109999999999995</v>
      </c>
      <c r="H267" s="716">
        <v>0.83109999999999995</v>
      </c>
      <c r="I267" s="716">
        <v>0.69130000000000003</v>
      </c>
      <c r="J267" s="716">
        <v>0.69130000000000003</v>
      </c>
      <c r="K267" s="716">
        <v>0.69130000000000003</v>
      </c>
      <c r="L267" s="716">
        <v>0.69130000000000003</v>
      </c>
      <c r="M267" s="716">
        <v>0.69130000000000003</v>
      </c>
    </row>
    <row r="268" spans="1:13">
      <c r="A268" s="712">
        <v>6.2</v>
      </c>
      <c r="B268" s="716">
        <v>0.8478</v>
      </c>
      <c r="C268" s="716">
        <v>0.8478</v>
      </c>
      <c r="D268" s="716">
        <v>0.8296</v>
      </c>
      <c r="E268" s="716">
        <v>0.8296</v>
      </c>
      <c r="F268" s="716">
        <v>0.8296</v>
      </c>
      <c r="G268" s="716">
        <v>0.8296</v>
      </c>
      <c r="H268" s="716">
        <v>0.8296</v>
      </c>
      <c r="I268" s="716">
        <v>0.68940000000000001</v>
      </c>
      <c r="J268" s="716">
        <v>0.68940000000000001</v>
      </c>
      <c r="K268" s="716">
        <v>0.68940000000000001</v>
      </c>
      <c r="L268" s="716">
        <v>0.68940000000000001</v>
      </c>
      <c r="M268" s="716">
        <v>0.68940000000000001</v>
      </c>
    </row>
    <row r="269" spans="1:13">
      <c r="A269" s="712">
        <v>6.3</v>
      </c>
      <c r="B269" s="716">
        <v>0.84670000000000001</v>
      </c>
      <c r="C269" s="716">
        <v>0.84670000000000001</v>
      </c>
      <c r="D269" s="716">
        <v>0.82820000000000005</v>
      </c>
      <c r="E269" s="716">
        <v>0.82820000000000005</v>
      </c>
      <c r="F269" s="716">
        <v>0.82820000000000005</v>
      </c>
      <c r="G269" s="716">
        <v>0.82820000000000005</v>
      </c>
      <c r="H269" s="716">
        <v>0.82820000000000005</v>
      </c>
      <c r="I269" s="716">
        <v>0.68769999999999998</v>
      </c>
      <c r="J269" s="716">
        <v>0.68769999999999998</v>
      </c>
      <c r="K269" s="716">
        <v>0.68769999999999998</v>
      </c>
      <c r="L269" s="716">
        <v>0.68769999999999998</v>
      </c>
      <c r="M269" s="716">
        <v>0.68769999999999998</v>
      </c>
    </row>
    <row r="270" spans="1:13">
      <c r="A270" s="712">
        <v>6.4</v>
      </c>
      <c r="B270" s="716">
        <v>0.84570000000000001</v>
      </c>
      <c r="C270" s="716">
        <v>0.84570000000000001</v>
      </c>
      <c r="D270" s="716">
        <v>0.82689999999999997</v>
      </c>
      <c r="E270" s="716">
        <v>0.82689999999999997</v>
      </c>
      <c r="F270" s="716">
        <v>0.82689999999999997</v>
      </c>
      <c r="G270" s="716">
        <v>0.82689999999999997</v>
      </c>
      <c r="H270" s="716">
        <v>0.82689999999999997</v>
      </c>
      <c r="I270" s="716">
        <v>0.68610000000000004</v>
      </c>
      <c r="J270" s="716">
        <v>0.68610000000000004</v>
      </c>
      <c r="K270" s="716">
        <v>0.68610000000000004</v>
      </c>
      <c r="L270" s="716">
        <v>0.68610000000000004</v>
      </c>
      <c r="M270" s="716">
        <v>0.68610000000000004</v>
      </c>
    </row>
    <row r="271" spans="1:13">
      <c r="A271" s="712">
        <v>6.5</v>
      </c>
      <c r="B271" s="716">
        <v>0.84470000000000001</v>
      </c>
      <c r="C271" s="716">
        <v>0.84470000000000001</v>
      </c>
      <c r="D271" s="716">
        <v>0.82569999999999999</v>
      </c>
      <c r="E271" s="716">
        <v>0.82569999999999999</v>
      </c>
      <c r="F271" s="716">
        <v>0.82569999999999999</v>
      </c>
      <c r="G271" s="716">
        <v>0.82569999999999999</v>
      </c>
      <c r="H271" s="716">
        <v>0.82569999999999999</v>
      </c>
      <c r="I271" s="716">
        <v>0.68440000000000001</v>
      </c>
      <c r="J271" s="716">
        <v>0.68440000000000001</v>
      </c>
      <c r="K271" s="716">
        <v>0.68440000000000001</v>
      </c>
      <c r="L271" s="716">
        <v>0.68440000000000001</v>
      </c>
      <c r="M271" s="716">
        <v>0.68440000000000001</v>
      </c>
    </row>
    <row r="272" spans="1:13">
      <c r="A272" s="712">
        <v>6.6</v>
      </c>
      <c r="B272" s="716">
        <v>0.84370000000000001</v>
      </c>
      <c r="C272" s="716">
        <v>0.84370000000000001</v>
      </c>
      <c r="D272" s="716">
        <v>0.82450000000000001</v>
      </c>
      <c r="E272" s="716">
        <v>0.82450000000000001</v>
      </c>
      <c r="F272" s="716">
        <v>0.82450000000000001</v>
      </c>
      <c r="G272" s="716">
        <v>0.82450000000000001</v>
      </c>
      <c r="H272" s="716">
        <v>0.82450000000000001</v>
      </c>
      <c r="I272" s="716">
        <v>0.68289999999999995</v>
      </c>
      <c r="J272" s="716">
        <v>0.68289999999999995</v>
      </c>
      <c r="K272" s="716">
        <v>0.68289999999999995</v>
      </c>
      <c r="L272" s="716">
        <v>0.68289999999999995</v>
      </c>
      <c r="M272" s="716">
        <v>0.68289999999999995</v>
      </c>
    </row>
    <row r="273" spans="1:13">
      <c r="A273" s="712">
        <v>6.7</v>
      </c>
      <c r="B273" s="716">
        <v>0.8427</v>
      </c>
      <c r="C273" s="716">
        <v>0.8427</v>
      </c>
      <c r="D273" s="716">
        <v>0.82330000000000003</v>
      </c>
      <c r="E273" s="716">
        <v>0.82330000000000003</v>
      </c>
      <c r="F273" s="716">
        <v>0.82330000000000003</v>
      </c>
      <c r="G273" s="716">
        <v>0.82330000000000003</v>
      </c>
      <c r="H273" s="716">
        <v>0.82330000000000003</v>
      </c>
      <c r="I273" s="716">
        <v>0.68130000000000002</v>
      </c>
      <c r="J273" s="716">
        <v>0.68130000000000002</v>
      </c>
      <c r="K273" s="716">
        <v>0.68130000000000002</v>
      </c>
      <c r="L273" s="716">
        <v>0.68130000000000002</v>
      </c>
      <c r="M273" s="716">
        <v>0.68130000000000002</v>
      </c>
    </row>
    <row r="274" spans="1:13">
      <c r="A274" s="712">
        <v>6.8</v>
      </c>
      <c r="B274" s="716">
        <v>0.84179999999999999</v>
      </c>
      <c r="C274" s="716">
        <v>0.84179999999999999</v>
      </c>
      <c r="D274" s="716">
        <v>0.82210000000000005</v>
      </c>
      <c r="E274" s="716">
        <v>0.82210000000000005</v>
      </c>
      <c r="F274" s="716">
        <v>0.82210000000000005</v>
      </c>
      <c r="G274" s="716">
        <v>0.82210000000000005</v>
      </c>
      <c r="H274" s="716">
        <v>0.82210000000000005</v>
      </c>
      <c r="I274" s="716">
        <v>0.67979999999999996</v>
      </c>
      <c r="J274" s="716">
        <v>0.67979999999999996</v>
      </c>
      <c r="K274" s="716">
        <v>0.67979999999999996</v>
      </c>
      <c r="L274" s="716">
        <v>0.67979999999999996</v>
      </c>
      <c r="M274" s="716">
        <v>0.67979999999999996</v>
      </c>
    </row>
    <row r="275" spans="1:13">
      <c r="A275" s="712">
        <v>6.9</v>
      </c>
      <c r="B275" s="716">
        <v>0.84089999999999998</v>
      </c>
      <c r="C275" s="716">
        <v>0.84089999999999998</v>
      </c>
      <c r="D275" s="716">
        <v>0.82099999999999995</v>
      </c>
      <c r="E275" s="716">
        <v>0.82099999999999995</v>
      </c>
      <c r="F275" s="716">
        <v>0.82099999999999995</v>
      </c>
      <c r="G275" s="716">
        <v>0.82099999999999995</v>
      </c>
      <c r="H275" s="716">
        <v>0.82099999999999995</v>
      </c>
      <c r="I275" s="716">
        <v>0.67849999999999999</v>
      </c>
      <c r="J275" s="716">
        <v>0.67849999999999999</v>
      </c>
      <c r="K275" s="716">
        <v>0.67849999999999999</v>
      </c>
      <c r="L275" s="716">
        <v>0.67849999999999999</v>
      </c>
      <c r="M275" s="716">
        <v>0.67849999999999999</v>
      </c>
    </row>
    <row r="276" spans="1:13">
      <c r="A276" s="712">
        <v>7</v>
      </c>
      <c r="B276" s="716">
        <v>0.84009999999999996</v>
      </c>
      <c r="C276" s="716">
        <v>0.84009999999999996</v>
      </c>
      <c r="D276" s="716">
        <v>0.81989999999999996</v>
      </c>
      <c r="E276" s="716">
        <v>0.81989999999999996</v>
      </c>
      <c r="F276" s="716">
        <v>0.81989999999999996</v>
      </c>
      <c r="G276" s="716">
        <v>0.81989999999999996</v>
      </c>
      <c r="H276" s="716">
        <v>0.81989999999999996</v>
      </c>
      <c r="I276" s="716">
        <v>0.67720000000000002</v>
      </c>
      <c r="J276" s="716">
        <v>0.67720000000000002</v>
      </c>
      <c r="K276" s="716">
        <v>0.67720000000000002</v>
      </c>
      <c r="L276" s="716">
        <v>0.67720000000000002</v>
      </c>
      <c r="M276" s="716">
        <v>0.67720000000000002</v>
      </c>
    </row>
    <row r="277" spans="1:13">
      <c r="A277" s="712">
        <v>7.1</v>
      </c>
      <c r="B277" s="716">
        <v>0.83930000000000005</v>
      </c>
      <c r="C277" s="716">
        <v>0.83930000000000005</v>
      </c>
      <c r="D277" s="716">
        <v>0.81889999999999996</v>
      </c>
      <c r="E277" s="716">
        <v>0.81889999999999996</v>
      </c>
      <c r="F277" s="716">
        <v>0.81889999999999996</v>
      </c>
      <c r="G277" s="716">
        <v>0.81889999999999996</v>
      </c>
      <c r="H277" s="716">
        <v>0.81889999999999996</v>
      </c>
      <c r="I277" s="716">
        <v>0.67589999999999995</v>
      </c>
      <c r="J277" s="716">
        <v>0.67589999999999995</v>
      </c>
      <c r="K277" s="716">
        <v>0.67589999999999995</v>
      </c>
      <c r="L277" s="716">
        <v>0.67589999999999995</v>
      </c>
      <c r="M277" s="716">
        <v>0.67589999999999995</v>
      </c>
    </row>
    <row r="278" spans="1:13">
      <c r="A278" s="712">
        <v>7.2</v>
      </c>
      <c r="B278" s="716">
        <v>0.83850000000000002</v>
      </c>
      <c r="C278" s="716">
        <v>0.83850000000000002</v>
      </c>
      <c r="D278" s="716">
        <v>0.81789999999999996</v>
      </c>
      <c r="E278" s="716">
        <v>0.81789999999999996</v>
      </c>
      <c r="F278" s="716">
        <v>0.81789999999999996</v>
      </c>
      <c r="G278" s="716">
        <v>0.81789999999999996</v>
      </c>
      <c r="H278" s="716">
        <v>0.81789999999999996</v>
      </c>
      <c r="I278" s="716">
        <v>0.67459999999999998</v>
      </c>
      <c r="J278" s="716">
        <v>0.67459999999999998</v>
      </c>
      <c r="K278" s="716">
        <v>0.67459999999999998</v>
      </c>
      <c r="L278" s="716">
        <v>0.67459999999999998</v>
      </c>
      <c r="M278" s="716">
        <v>0.67459999999999998</v>
      </c>
    </row>
    <row r="279" spans="1:13">
      <c r="A279" s="712">
        <v>7.3</v>
      </c>
      <c r="B279" s="716">
        <v>0.8377</v>
      </c>
      <c r="C279" s="716">
        <v>0.8377</v>
      </c>
      <c r="D279" s="716">
        <v>0.81689999999999996</v>
      </c>
      <c r="E279" s="716">
        <v>0.81689999999999996</v>
      </c>
      <c r="F279" s="716">
        <v>0.81689999999999996</v>
      </c>
      <c r="G279" s="716">
        <v>0.81689999999999996</v>
      </c>
      <c r="H279" s="716">
        <v>0.81689999999999996</v>
      </c>
      <c r="I279" s="716">
        <v>0.6734</v>
      </c>
      <c r="J279" s="716">
        <v>0.6734</v>
      </c>
      <c r="K279" s="716">
        <v>0.6734</v>
      </c>
      <c r="L279" s="716">
        <v>0.6734</v>
      </c>
      <c r="M279" s="716">
        <v>0.6734</v>
      </c>
    </row>
    <row r="280" spans="1:13">
      <c r="A280" s="712">
        <v>7.4</v>
      </c>
      <c r="B280" s="716">
        <v>0.83699999999999997</v>
      </c>
      <c r="C280" s="716">
        <v>0.83699999999999997</v>
      </c>
      <c r="D280" s="716">
        <v>0.81599999999999995</v>
      </c>
      <c r="E280" s="716">
        <v>0.81599999999999995</v>
      </c>
      <c r="F280" s="716">
        <v>0.81599999999999995</v>
      </c>
      <c r="G280" s="716">
        <v>0.81599999999999995</v>
      </c>
      <c r="H280" s="716">
        <v>0.81599999999999995</v>
      </c>
      <c r="I280" s="716">
        <v>0.67210000000000003</v>
      </c>
      <c r="J280" s="716">
        <v>0.67210000000000003</v>
      </c>
      <c r="K280" s="716">
        <v>0.67210000000000003</v>
      </c>
      <c r="L280" s="716">
        <v>0.67210000000000003</v>
      </c>
      <c r="M280" s="716">
        <v>0.67210000000000003</v>
      </c>
    </row>
    <row r="281" spans="1:13">
      <c r="A281" s="712">
        <v>7.5</v>
      </c>
      <c r="B281" s="716">
        <v>0.83630000000000004</v>
      </c>
      <c r="C281" s="716">
        <v>0.83630000000000004</v>
      </c>
      <c r="D281" s="716">
        <v>0.81510000000000005</v>
      </c>
      <c r="E281" s="716">
        <v>0.81510000000000005</v>
      </c>
      <c r="F281" s="716">
        <v>0.81510000000000005</v>
      </c>
      <c r="G281" s="716">
        <v>0.81510000000000005</v>
      </c>
      <c r="H281" s="716">
        <v>0.81510000000000005</v>
      </c>
      <c r="I281" s="716">
        <v>0.67090000000000005</v>
      </c>
      <c r="J281" s="716">
        <v>0.67090000000000005</v>
      </c>
      <c r="K281" s="716">
        <v>0.67090000000000005</v>
      </c>
      <c r="L281" s="716">
        <v>0.67090000000000005</v>
      </c>
      <c r="M281" s="716">
        <v>0.67090000000000005</v>
      </c>
    </row>
    <row r="282" spans="1:13">
      <c r="A282" s="712">
        <v>7.6</v>
      </c>
      <c r="B282" s="716">
        <v>0.83560000000000001</v>
      </c>
      <c r="C282" s="716">
        <v>0.83560000000000001</v>
      </c>
      <c r="D282" s="716">
        <v>0.81420000000000003</v>
      </c>
      <c r="E282" s="716">
        <v>0.81420000000000003</v>
      </c>
      <c r="F282" s="716">
        <v>0.81420000000000003</v>
      </c>
      <c r="G282" s="716">
        <v>0.81420000000000003</v>
      </c>
      <c r="H282" s="716">
        <v>0.81420000000000003</v>
      </c>
      <c r="I282" s="716">
        <v>0.66979999999999995</v>
      </c>
      <c r="J282" s="716">
        <v>0.66979999999999995</v>
      </c>
      <c r="K282" s="716">
        <v>0.66979999999999995</v>
      </c>
      <c r="L282" s="716">
        <v>0.66979999999999995</v>
      </c>
      <c r="M282" s="716">
        <v>0.66979999999999995</v>
      </c>
    </row>
    <row r="283" spans="1:13">
      <c r="A283" s="712">
        <v>7.7</v>
      </c>
      <c r="B283" s="716">
        <v>0.83489999999999998</v>
      </c>
      <c r="C283" s="716">
        <v>0.83489999999999998</v>
      </c>
      <c r="D283" s="716">
        <v>0.81330000000000002</v>
      </c>
      <c r="E283" s="716">
        <v>0.81330000000000002</v>
      </c>
      <c r="F283" s="716">
        <v>0.81330000000000002</v>
      </c>
      <c r="G283" s="716">
        <v>0.81330000000000002</v>
      </c>
      <c r="H283" s="716">
        <v>0.81330000000000002</v>
      </c>
      <c r="I283" s="716">
        <v>0.66869999999999996</v>
      </c>
      <c r="J283" s="716">
        <v>0.66869999999999996</v>
      </c>
      <c r="K283" s="716">
        <v>0.66869999999999996</v>
      </c>
      <c r="L283" s="716">
        <v>0.66869999999999996</v>
      </c>
      <c r="M283" s="716">
        <v>0.66869999999999996</v>
      </c>
    </row>
    <row r="284" spans="1:13">
      <c r="A284" s="712">
        <v>7.8</v>
      </c>
      <c r="B284" s="716">
        <v>0.83420000000000005</v>
      </c>
      <c r="C284" s="716">
        <v>0.83420000000000005</v>
      </c>
      <c r="D284" s="716">
        <v>0.81240000000000001</v>
      </c>
      <c r="E284" s="716">
        <v>0.81240000000000001</v>
      </c>
      <c r="F284" s="716">
        <v>0.81240000000000001</v>
      </c>
      <c r="G284" s="716">
        <v>0.81240000000000001</v>
      </c>
      <c r="H284" s="716">
        <v>0.81240000000000001</v>
      </c>
      <c r="I284" s="716">
        <v>0.66759999999999997</v>
      </c>
      <c r="J284" s="716">
        <v>0.66759999999999997</v>
      </c>
      <c r="K284" s="716">
        <v>0.66759999999999997</v>
      </c>
      <c r="L284" s="716">
        <v>0.66759999999999997</v>
      </c>
      <c r="M284" s="716">
        <v>0.66759999999999997</v>
      </c>
    </row>
    <row r="285" spans="1:13">
      <c r="A285" s="712">
        <v>7.9</v>
      </c>
      <c r="B285" s="716">
        <v>0.83350000000000002</v>
      </c>
      <c r="C285" s="716">
        <v>0.83350000000000002</v>
      </c>
      <c r="D285" s="716">
        <v>0.81159999999999999</v>
      </c>
      <c r="E285" s="716">
        <v>0.81159999999999999</v>
      </c>
      <c r="F285" s="716">
        <v>0.81159999999999999</v>
      </c>
      <c r="G285" s="716">
        <v>0.81159999999999999</v>
      </c>
      <c r="H285" s="716">
        <v>0.81159999999999999</v>
      </c>
      <c r="I285" s="716">
        <v>0.66649999999999998</v>
      </c>
      <c r="J285" s="716">
        <v>0.66649999999999998</v>
      </c>
      <c r="K285" s="716">
        <v>0.66649999999999998</v>
      </c>
      <c r="L285" s="716">
        <v>0.66649999999999998</v>
      </c>
      <c r="M285" s="716">
        <v>0.66649999999999998</v>
      </c>
    </row>
    <row r="286" spans="1:13">
      <c r="A286" s="712">
        <v>8</v>
      </c>
      <c r="B286" s="716">
        <v>0.83279999999999998</v>
      </c>
      <c r="C286" s="716">
        <v>0.83279999999999998</v>
      </c>
      <c r="D286" s="716">
        <v>0.81079999999999997</v>
      </c>
      <c r="E286" s="716">
        <v>0.81079999999999997</v>
      </c>
      <c r="F286" s="716">
        <v>0.81079999999999997</v>
      </c>
      <c r="G286" s="716">
        <v>0.81079999999999997</v>
      </c>
      <c r="H286" s="716">
        <v>0.81079999999999997</v>
      </c>
      <c r="I286" s="716">
        <v>0.66549999999999998</v>
      </c>
      <c r="J286" s="716">
        <v>0.66549999999999998</v>
      </c>
      <c r="K286" s="716">
        <v>0.66549999999999998</v>
      </c>
      <c r="L286" s="716">
        <v>0.66549999999999998</v>
      </c>
      <c r="M286" s="716">
        <v>0.66549999999999998</v>
      </c>
    </row>
    <row r="287" spans="1:13">
      <c r="A287" s="712">
        <v>8.1</v>
      </c>
      <c r="B287" s="716">
        <v>0.83220000000000005</v>
      </c>
      <c r="C287" s="716">
        <v>0.83220000000000005</v>
      </c>
      <c r="D287" s="716">
        <v>0.81</v>
      </c>
      <c r="E287" s="716">
        <v>0.81</v>
      </c>
      <c r="F287" s="716">
        <v>0.81</v>
      </c>
      <c r="G287" s="716">
        <v>0.81</v>
      </c>
      <c r="H287" s="716">
        <v>0.81</v>
      </c>
      <c r="I287" s="716">
        <v>0.66439999999999999</v>
      </c>
      <c r="J287" s="716">
        <v>0.66439999999999999</v>
      </c>
      <c r="K287" s="716">
        <v>0.66439999999999999</v>
      </c>
      <c r="L287" s="716">
        <v>0.66439999999999999</v>
      </c>
      <c r="M287" s="716">
        <v>0.66439999999999999</v>
      </c>
    </row>
    <row r="288" spans="1:13">
      <c r="A288" s="712">
        <v>8.1999999999999993</v>
      </c>
      <c r="B288" s="716">
        <v>0.83160000000000001</v>
      </c>
      <c r="C288" s="716">
        <v>0.83160000000000001</v>
      </c>
      <c r="D288" s="716">
        <v>0.80920000000000003</v>
      </c>
      <c r="E288" s="716">
        <v>0.80920000000000003</v>
      </c>
      <c r="F288" s="716">
        <v>0.80920000000000003</v>
      </c>
      <c r="G288" s="716">
        <v>0.80920000000000003</v>
      </c>
      <c r="H288" s="716">
        <v>0.80920000000000003</v>
      </c>
      <c r="I288" s="716">
        <v>0.66339999999999999</v>
      </c>
      <c r="J288" s="716">
        <v>0.66339999999999999</v>
      </c>
      <c r="K288" s="716">
        <v>0.66339999999999999</v>
      </c>
      <c r="L288" s="716">
        <v>0.66339999999999999</v>
      </c>
      <c r="M288" s="716">
        <v>0.66339999999999999</v>
      </c>
    </row>
    <row r="289" spans="1:13">
      <c r="A289" s="712">
        <v>8.3000000000000007</v>
      </c>
      <c r="B289" s="716">
        <v>0.83099999999999996</v>
      </c>
      <c r="C289" s="716">
        <v>0.83099999999999996</v>
      </c>
      <c r="D289" s="716">
        <v>0.80840000000000001</v>
      </c>
      <c r="E289" s="716">
        <v>0.80840000000000001</v>
      </c>
      <c r="F289" s="716">
        <v>0.80840000000000001</v>
      </c>
      <c r="G289" s="716">
        <v>0.80840000000000001</v>
      </c>
      <c r="H289" s="716">
        <v>0.80840000000000001</v>
      </c>
      <c r="I289" s="716">
        <v>0.66239999999999999</v>
      </c>
      <c r="J289" s="716">
        <v>0.66239999999999999</v>
      </c>
      <c r="K289" s="716">
        <v>0.66239999999999999</v>
      </c>
      <c r="L289" s="716">
        <v>0.66239999999999999</v>
      </c>
      <c r="M289" s="716">
        <v>0.66239999999999999</v>
      </c>
    </row>
    <row r="290" spans="1:13">
      <c r="A290" s="712">
        <v>8.4</v>
      </c>
      <c r="B290" s="716">
        <v>0.83040000000000003</v>
      </c>
      <c r="C290" s="716">
        <v>0.83040000000000003</v>
      </c>
      <c r="D290" s="716">
        <v>0.80759999999999998</v>
      </c>
      <c r="E290" s="716">
        <v>0.80759999999999998</v>
      </c>
      <c r="F290" s="716">
        <v>0.80759999999999998</v>
      </c>
      <c r="G290" s="716">
        <v>0.80759999999999998</v>
      </c>
      <c r="H290" s="716">
        <v>0.80759999999999998</v>
      </c>
      <c r="I290" s="716">
        <v>0.66139999999999999</v>
      </c>
      <c r="J290" s="716">
        <v>0.66139999999999999</v>
      </c>
      <c r="K290" s="716">
        <v>0.66139999999999999</v>
      </c>
      <c r="L290" s="716">
        <v>0.66139999999999999</v>
      </c>
      <c r="M290" s="716">
        <v>0.66139999999999999</v>
      </c>
    </row>
    <row r="291" spans="1:13">
      <c r="A291" s="712">
        <v>8.5</v>
      </c>
      <c r="B291" s="716">
        <v>0.82979999999999998</v>
      </c>
      <c r="C291" s="716">
        <v>0.82979999999999998</v>
      </c>
      <c r="D291" s="716">
        <v>0.80679999999999996</v>
      </c>
      <c r="E291" s="716">
        <v>0.80679999999999996</v>
      </c>
      <c r="F291" s="716">
        <v>0.80679999999999996</v>
      </c>
      <c r="G291" s="716">
        <v>0.80679999999999996</v>
      </c>
      <c r="H291" s="716">
        <v>0.80679999999999996</v>
      </c>
      <c r="I291" s="716">
        <v>0.66049999999999998</v>
      </c>
      <c r="J291" s="716">
        <v>0.66049999999999998</v>
      </c>
      <c r="K291" s="716">
        <v>0.66049999999999998</v>
      </c>
      <c r="L291" s="716">
        <v>0.66049999999999998</v>
      </c>
      <c r="M291" s="716">
        <v>0.66049999999999998</v>
      </c>
    </row>
    <row r="292" spans="1:13">
      <c r="A292" s="712">
        <v>8.6</v>
      </c>
      <c r="B292" s="716">
        <v>0.82920000000000005</v>
      </c>
      <c r="C292" s="716">
        <v>0.82920000000000005</v>
      </c>
      <c r="D292" s="716">
        <v>0.80600000000000005</v>
      </c>
      <c r="E292" s="716">
        <v>0.80600000000000005</v>
      </c>
      <c r="F292" s="716">
        <v>0.80600000000000005</v>
      </c>
      <c r="G292" s="716">
        <v>0.80600000000000005</v>
      </c>
      <c r="H292" s="716">
        <v>0.80600000000000005</v>
      </c>
      <c r="I292" s="716">
        <v>0.65949999999999998</v>
      </c>
      <c r="J292" s="716">
        <v>0.65949999999999998</v>
      </c>
      <c r="K292" s="716">
        <v>0.65949999999999998</v>
      </c>
      <c r="L292" s="716">
        <v>0.65949999999999998</v>
      </c>
      <c r="M292" s="716">
        <v>0.65949999999999998</v>
      </c>
    </row>
    <row r="293" spans="1:13">
      <c r="A293" s="712">
        <v>8.6999999999999993</v>
      </c>
      <c r="B293" s="716">
        <v>0.8286</v>
      </c>
      <c r="C293" s="716">
        <v>0.8286</v>
      </c>
      <c r="D293" s="716">
        <v>0.80520000000000003</v>
      </c>
      <c r="E293" s="716">
        <v>0.80520000000000003</v>
      </c>
      <c r="F293" s="716">
        <v>0.80520000000000003</v>
      </c>
      <c r="G293" s="716">
        <v>0.80520000000000003</v>
      </c>
      <c r="H293" s="716">
        <v>0.80520000000000003</v>
      </c>
      <c r="I293" s="716">
        <v>0.65859999999999996</v>
      </c>
      <c r="J293" s="716">
        <v>0.65859999999999996</v>
      </c>
      <c r="K293" s="716">
        <v>0.65859999999999996</v>
      </c>
      <c r="L293" s="716">
        <v>0.65859999999999996</v>
      </c>
      <c r="M293" s="716">
        <v>0.65859999999999996</v>
      </c>
    </row>
    <row r="294" spans="1:13">
      <c r="A294" s="712">
        <v>8.8000000000000007</v>
      </c>
      <c r="B294" s="716">
        <v>0.82799999999999996</v>
      </c>
      <c r="C294" s="716">
        <v>0.82799999999999996</v>
      </c>
      <c r="D294" s="716">
        <v>0.8044</v>
      </c>
      <c r="E294" s="716">
        <v>0.8044</v>
      </c>
      <c r="F294" s="716">
        <v>0.8044</v>
      </c>
      <c r="G294" s="716">
        <v>0.8044</v>
      </c>
      <c r="H294" s="716">
        <v>0.8044</v>
      </c>
      <c r="I294" s="716">
        <v>0.65759999999999996</v>
      </c>
      <c r="J294" s="716">
        <v>0.65759999999999996</v>
      </c>
      <c r="K294" s="716">
        <v>0.65759999999999996</v>
      </c>
      <c r="L294" s="716">
        <v>0.65759999999999996</v>
      </c>
      <c r="M294" s="716">
        <v>0.65759999999999996</v>
      </c>
    </row>
    <row r="295" spans="1:13">
      <c r="A295" s="712">
        <v>8.9</v>
      </c>
      <c r="B295" s="716">
        <v>0.82740000000000002</v>
      </c>
      <c r="C295" s="716">
        <v>0.82740000000000002</v>
      </c>
      <c r="D295" s="716">
        <v>0.80359999999999998</v>
      </c>
      <c r="E295" s="716">
        <v>0.80359999999999998</v>
      </c>
      <c r="F295" s="716">
        <v>0.80359999999999998</v>
      </c>
      <c r="G295" s="716">
        <v>0.80359999999999998</v>
      </c>
      <c r="H295" s="716">
        <v>0.80359999999999998</v>
      </c>
      <c r="I295" s="716">
        <v>0.65669999999999995</v>
      </c>
      <c r="J295" s="716">
        <v>0.65669999999999995</v>
      </c>
      <c r="K295" s="716">
        <v>0.65669999999999995</v>
      </c>
      <c r="L295" s="716">
        <v>0.65669999999999995</v>
      </c>
      <c r="M295" s="716">
        <v>0.65669999999999995</v>
      </c>
    </row>
    <row r="296" spans="1:13">
      <c r="A296" s="717">
        <v>9</v>
      </c>
      <c r="B296" s="716">
        <v>0.82679999999999998</v>
      </c>
      <c r="C296" s="716">
        <v>0.82679999999999998</v>
      </c>
      <c r="D296" s="716">
        <v>0.80279999999999996</v>
      </c>
      <c r="E296" s="716">
        <v>0.80279999999999996</v>
      </c>
      <c r="F296" s="716">
        <v>0.80279999999999996</v>
      </c>
      <c r="G296" s="716">
        <v>0.80279999999999996</v>
      </c>
      <c r="H296" s="716">
        <v>0.80279999999999996</v>
      </c>
      <c r="I296" s="716">
        <v>0.65569999999999995</v>
      </c>
      <c r="J296" s="716">
        <v>0.65569999999999995</v>
      </c>
      <c r="K296" s="716">
        <v>0.65569999999999995</v>
      </c>
      <c r="L296" s="716">
        <v>0.65569999999999995</v>
      </c>
      <c r="M296" s="716">
        <v>0.65569999999999995</v>
      </c>
    </row>
    <row r="297" spans="1:13">
      <c r="A297" s="717">
        <v>9.1</v>
      </c>
      <c r="B297" s="716">
        <v>0.82620000000000005</v>
      </c>
      <c r="C297" s="716">
        <v>0.82620000000000005</v>
      </c>
      <c r="D297" s="716">
        <v>0.80200000000000005</v>
      </c>
      <c r="E297" s="716">
        <v>0.80200000000000005</v>
      </c>
      <c r="F297" s="716">
        <v>0.80200000000000005</v>
      </c>
      <c r="G297" s="716">
        <v>0.80200000000000005</v>
      </c>
      <c r="H297" s="716">
        <v>0.80200000000000005</v>
      </c>
      <c r="I297" s="716">
        <v>0.65480000000000005</v>
      </c>
      <c r="J297" s="716">
        <v>0.65480000000000005</v>
      </c>
      <c r="K297" s="716">
        <v>0.65480000000000005</v>
      </c>
      <c r="L297" s="716">
        <v>0.65480000000000005</v>
      </c>
      <c r="M297" s="716">
        <v>0.65480000000000005</v>
      </c>
    </row>
    <row r="298" spans="1:13">
      <c r="A298" s="717">
        <v>9.1999999999999993</v>
      </c>
      <c r="B298" s="716">
        <v>0.8256</v>
      </c>
      <c r="C298" s="716">
        <v>0.8256</v>
      </c>
      <c r="D298" s="716">
        <v>0.80120000000000002</v>
      </c>
      <c r="E298" s="716">
        <v>0.80120000000000002</v>
      </c>
      <c r="F298" s="716">
        <v>0.80120000000000002</v>
      </c>
      <c r="G298" s="716">
        <v>0.80120000000000002</v>
      </c>
      <c r="H298" s="716">
        <v>0.80120000000000002</v>
      </c>
      <c r="I298" s="716">
        <v>0.65380000000000005</v>
      </c>
      <c r="J298" s="716">
        <v>0.65380000000000005</v>
      </c>
      <c r="K298" s="716">
        <v>0.65380000000000005</v>
      </c>
      <c r="L298" s="716">
        <v>0.65380000000000005</v>
      </c>
      <c r="M298" s="716">
        <v>0.65380000000000005</v>
      </c>
    </row>
    <row r="299" spans="1:13">
      <c r="A299" s="717">
        <v>9.3000000000000007</v>
      </c>
      <c r="B299" s="716">
        <v>0.82499999999999996</v>
      </c>
      <c r="C299" s="716">
        <v>0.82499999999999996</v>
      </c>
      <c r="D299" s="716">
        <v>0.8004</v>
      </c>
      <c r="E299" s="716">
        <v>0.8004</v>
      </c>
      <c r="F299" s="716">
        <v>0.8004</v>
      </c>
      <c r="G299" s="716">
        <v>0.8004</v>
      </c>
      <c r="H299" s="716">
        <v>0.8004</v>
      </c>
      <c r="I299" s="716">
        <v>0.65290000000000004</v>
      </c>
      <c r="J299" s="716">
        <v>0.65290000000000004</v>
      </c>
      <c r="K299" s="716">
        <v>0.65290000000000004</v>
      </c>
      <c r="L299" s="716">
        <v>0.65290000000000004</v>
      </c>
      <c r="M299" s="716">
        <v>0.65290000000000004</v>
      </c>
    </row>
    <row r="300" spans="1:13">
      <c r="A300" s="717">
        <v>9.4</v>
      </c>
      <c r="B300" s="716">
        <v>0.82440000000000002</v>
      </c>
      <c r="C300" s="716">
        <v>0.82440000000000002</v>
      </c>
      <c r="D300" s="716">
        <v>0.79959999999999998</v>
      </c>
      <c r="E300" s="716">
        <v>0.79959999999999998</v>
      </c>
      <c r="F300" s="716">
        <v>0.79959999999999998</v>
      </c>
      <c r="G300" s="716">
        <v>0.79959999999999998</v>
      </c>
      <c r="H300" s="716">
        <v>0.79959999999999998</v>
      </c>
      <c r="I300" s="716">
        <v>0.65190000000000003</v>
      </c>
      <c r="J300" s="716">
        <v>0.65190000000000003</v>
      </c>
      <c r="K300" s="716">
        <v>0.65190000000000003</v>
      </c>
      <c r="L300" s="716">
        <v>0.65190000000000003</v>
      </c>
      <c r="M300" s="716">
        <v>0.65190000000000003</v>
      </c>
    </row>
    <row r="301" spans="1:13">
      <c r="A301" s="717">
        <v>9.5</v>
      </c>
      <c r="B301" s="716">
        <v>0.82379999999999998</v>
      </c>
      <c r="C301" s="716">
        <v>0.82379999999999998</v>
      </c>
      <c r="D301" s="716">
        <v>0.79879999999999995</v>
      </c>
      <c r="E301" s="716">
        <v>0.79879999999999995</v>
      </c>
      <c r="F301" s="716">
        <v>0.79879999999999995</v>
      </c>
      <c r="G301" s="716">
        <v>0.79879999999999995</v>
      </c>
      <c r="H301" s="716">
        <v>0.79879999999999995</v>
      </c>
      <c r="I301" s="716">
        <v>0.65100000000000002</v>
      </c>
      <c r="J301" s="716">
        <v>0.65100000000000002</v>
      </c>
      <c r="K301" s="716">
        <v>0.65100000000000002</v>
      </c>
      <c r="L301" s="716">
        <v>0.65100000000000002</v>
      </c>
      <c r="M301" s="716">
        <v>0.65100000000000002</v>
      </c>
    </row>
    <row r="302" spans="1:13">
      <c r="A302" s="717">
        <v>9.6</v>
      </c>
      <c r="B302" s="716">
        <v>0.82320000000000004</v>
      </c>
      <c r="C302" s="716">
        <v>0.82320000000000004</v>
      </c>
      <c r="D302" s="716">
        <v>0.79800000000000004</v>
      </c>
      <c r="E302" s="716">
        <v>0.79800000000000004</v>
      </c>
      <c r="F302" s="716">
        <v>0.79800000000000004</v>
      </c>
      <c r="G302" s="716">
        <v>0.79800000000000004</v>
      </c>
      <c r="H302" s="716">
        <v>0.79800000000000004</v>
      </c>
      <c r="I302" s="716">
        <v>0.65</v>
      </c>
      <c r="J302" s="716">
        <v>0.65</v>
      </c>
      <c r="K302" s="716">
        <v>0.65</v>
      </c>
      <c r="L302" s="716">
        <v>0.65</v>
      </c>
      <c r="M302" s="716">
        <v>0.65</v>
      </c>
    </row>
    <row r="303" spans="1:13">
      <c r="A303" s="717">
        <v>9.6999999999999993</v>
      </c>
      <c r="B303" s="716">
        <v>0.8226</v>
      </c>
      <c r="C303" s="716">
        <v>0.8226</v>
      </c>
      <c r="D303" s="716">
        <v>0.79720000000000002</v>
      </c>
      <c r="E303" s="716">
        <v>0.79720000000000002</v>
      </c>
      <c r="F303" s="716">
        <v>0.79720000000000002</v>
      </c>
      <c r="G303" s="716">
        <v>0.79720000000000002</v>
      </c>
      <c r="H303" s="716">
        <v>0.79720000000000002</v>
      </c>
      <c r="I303" s="716">
        <v>0.64900000000000002</v>
      </c>
      <c r="J303" s="716">
        <v>0.64900000000000002</v>
      </c>
      <c r="K303" s="716">
        <v>0.64900000000000002</v>
      </c>
      <c r="L303" s="716">
        <v>0.64900000000000002</v>
      </c>
      <c r="M303" s="716">
        <v>0.64900000000000002</v>
      </c>
    </row>
    <row r="304" spans="1:13">
      <c r="A304" s="717">
        <v>9.8000000000000007</v>
      </c>
      <c r="B304" s="716">
        <v>0.82199999999999995</v>
      </c>
      <c r="C304" s="716">
        <v>0.82199999999999995</v>
      </c>
      <c r="D304" s="716">
        <v>0.7964</v>
      </c>
      <c r="E304" s="716">
        <v>0.7964</v>
      </c>
      <c r="F304" s="716">
        <v>0.7964</v>
      </c>
      <c r="G304" s="716">
        <v>0.7964</v>
      </c>
      <c r="H304" s="716">
        <v>0.7964</v>
      </c>
      <c r="I304" s="716">
        <v>0.64810000000000001</v>
      </c>
      <c r="J304" s="716">
        <v>0.64810000000000001</v>
      </c>
      <c r="K304" s="716">
        <v>0.64810000000000001</v>
      </c>
      <c r="L304" s="716">
        <v>0.64810000000000001</v>
      </c>
      <c r="M304" s="716">
        <v>0.64810000000000001</v>
      </c>
    </row>
    <row r="305" spans="1:13">
      <c r="A305" s="717">
        <v>9.9</v>
      </c>
      <c r="B305" s="716">
        <v>0.82140000000000002</v>
      </c>
      <c r="C305" s="716">
        <v>0.82140000000000002</v>
      </c>
      <c r="D305" s="716">
        <v>0.79559999999999997</v>
      </c>
      <c r="E305" s="716">
        <v>0.79559999999999997</v>
      </c>
      <c r="F305" s="716">
        <v>0.79559999999999997</v>
      </c>
      <c r="G305" s="716">
        <v>0.79559999999999997</v>
      </c>
      <c r="H305" s="716">
        <v>0.79559999999999997</v>
      </c>
      <c r="I305" s="716">
        <v>0.64710000000000001</v>
      </c>
      <c r="J305" s="716">
        <v>0.64710000000000001</v>
      </c>
      <c r="K305" s="716">
        <v>0.64710000000000001</v>
      </c>
      <c r="L305" s="716">
        <v>0.64710000000000001</v>
      </c>
      <c r="M305" s="716">
        <v>0.64710000000000001</v>
      </c>
    </row>
    <row r="306" spans="1:13">
      <c r="A306" s="717">
        <v>10</v>
      </c>
      <c r="B306" s="716">
        <v>0.82079999999999997</v>
      </c>
      <c r="C306" s="716">
        <v>0.82079999999999997</v>
      </c>
      <c r="D306" s="716">
        <v>0.79479999999999995</v>
      </c>
      <c r="E306" s="716">
        <v>0.79479999999999995</v>
      </c>
      <c r="F306" s="716">
        <v>0.79479999999999995</v>
      </c>
      <c r="G306" s="716">
        <v>0.79479999999999995</v>
      </c>
      <c r="H306" s="716">
        <v>0.79479999999999995</v>
      </c>
      <c r="I306" s="716">
        <v>0.6462</v>
      </c>
      <c r="J306" s="716">
        <v>0.6462</v>
      </c>
      <c r="K306" s="716">
        <v>0.6462</v>
      </c>
      <c r="L306" s="716">
        <v>0.6462</v>
      </c>
      <c r="M306" s="716">
        <v>0.6462</v>
      </c>
    </row>
    <row r="307" spans="1:13" ht="15.6">
      <c r="A307" s="710" t="s">
        <v>528</v>
      </c>
      <c r="B307" s="711"/>
      <c r="C307" s="711"/>
      <c r="D307" s="711"/>
      <c r="E307" s="711"/>
      <c r="F307" s="711"/>
      <c r="G307" s="711"/>
      <c r="H307" s="711"/>
      <c r="I307" s="711"/>
      <c r="J307" s="711"/>
      <c r="K307" s="711"/>
      <c r="L307" s="711"/>
      <c r="M307" s="711"/>
    </row>
    <row r="308" spans="1:13">
      <c r="A308" s="712" t="s">
        <v>524</v>
      </c>
      <c r="B308" s="713" t="s">
        <v>106</v>
      </c>
      <c r="C308" s="713" t="s">
        <v>107</v>
      </c>
      <c r="D308" s="713" t="s">
        <v>108</v>
      </c>
      <c r="E308" s="713" t="s">
        <v>109</v>
      </c>
      <c r="F308" s="713" t="s">
        <v>110</v>
      </c>
      <c r="G308" s="713" t="s">
        <v>111</v>
      </c>
      <c r="H308" s="714" t="s">
        <v>112</v>
      </c>
      <c r="I308" s="714" t="s">
        <v>113</v>
      </c>
      <c r="J308" s="715" t="s">
        <v>114</v>
      </c>
      <c r="K308" s="715" t="s">
        <v>115</v>
      </c>
      <c r="L308" s="715" t="s">
        <v>116</v>
      </c>
      <c r="M308" s="715" t="s">
        <v>117</v>
      </c>
    </row>
    <row r="309" spans="1:13">
      <c r="A309" s="712">
        <v>0.1</v>
      </c>
      <c r="B309" s="716">
        <v>11.506</v>
      </c>
      <c r="C309" s="716">
        <v>11.506</v>
      </c>
      <c r="D309" s="716">
        <v>12.015000000000001</v>
      </c>
      <c r="E309" s="716">
        <v>12.015000000000001</v>
      </c>
      <c r="F309" s="716">
        <v>12.015000000000001</v>
      </c>
      <c r="G309" s="716">
        <v>11.118</v>
      </c>
      <c r="H309" s="716">
        <v>11.118</v>
      </c>
      <c r="I309" s="716">
        <v>10</v>
      </c>
      <c r="J309" s="716">
        <v>10</v>
      </c>
      <c r="K309" s="716">
        <v>10</v>
      </c>
      <c r="L309" s="716">
        <v>10</v>
      </c>
      <c r="M309" s="716">
        <v>10</v>
      </c>
    </row>
    <row r="310" spans="1:13">
      <c r="A310" s="712">
        <v>0.2</v>
      </c>
      <c r="B310" s="716">
        <v>5.7530000000000001</v>
      </c>
      <c r="C310" s="716">
        <v>5.7530000000000001</v>
      </c>
      <c r="D310" s="716">
        <v>6.0075000000000003</v>
      </c>
      <c r="E310" s="716">
        <v>6.0075000000000003</v>
      </c>
      <c r="F310" s="716">
        <v>6.0075000000000003</v>
      </c>
      <c r="G310" s="716">
        <v>5.5590000000000002</v>
      </c>
      <c r="H310" s="716">
        <v>5.5590000000000002</v>
      </c>
      <c r="I310" s="716">
        <v>5</v>
      </c>
      <c r="J310" s="716">
        <v>5</v>
      </c>
      <c r="K310" s="716">
        <v>5</v>
      </c>
      <c r="L310" s="716">
        <v>5</v>
      </c>
      <c r="M310" s="716">
        <v>5</v>
      </c>
    </row>
    <row r="311" spans="1:13">
      <c r="A311" s="712">
        <v>0.3</v>
      </c>
      <c r="B311" s="716">
        <v>3.8353000000000002</v>
      </c>
      <c r="C311" s="716">
        <v>3.8353000000000002</v>
      </c>
      <c r="D311" s="716">
        <v>4.0049999999999999</v>
      </c>
      <c r="E311" s="716">
        <v>4.0049999999999999</v>
      </c>
      <c r="F311" s="716">
        <v>4.0049999999999999</v>
      </c>
      <c r="G311" s="716">
        <v>3.706</v>
      </c>
      <c r="H311" s="716">
        <v>3.706</v>
      </c>
      <c r="I311" s="716">
        <v>3.3332999999999999</v>
      </c>
      <c r="J311" s="716">
        <v>3.3332999999999999</v>
      </c>
      <c r="K311" s="716">
        <v>3.3332999999999999</v>
      </c>
      <c r="L311" s="716">
        <v>3.3332999999999999</v>
      </c>
      <c r="M311" s="716">
        <v>3.3332999999999999</v>
      </c>
    </row>
    <row r="312" spans="1:13">
      <c r="A312" s="712">
        <v>0.4</v>
      </c>
      <c r="B312" s="716">
        <v>2.8765000000000001</v>
      </c>
      <c r="C312" s="716">
        <v>2.8765000000000001</v>
      </c>
      <c r="D312" s="716">
        <v>3.0038</v>
      </c>
      <c r="E312" s="716">
        <v>3.0038</v>
      </c>
      <c r="F312" s="716">
        <v>3.0038</v>
      </c>
      <c r="G312" s="716">
        <v>2.7795000000000001</v>
      </c>
      <c r="H312" s="716">
        <v>2.7795000000000001</v>
      </c>
      <c r="I312" s="716">
        <v>2.5</v>
      </c>
      <c r="J312" s="716">
        <v>2.5</v>
      </c>
      <c r="K312" s="716">
        <v>2.5</v>
      </c>
      <c r="L312" s="716">
        <v>2.5</v>
      </c>
      <c r="M312" s="716">
        <v>2.5</v>
      </c>
    </row>
    <row r="313" spans="1:13">
      <c r="A313" s="712">
        <v>0.5</v>
      </c>
      <c r="B313" s="716">
        <v>2.3012000000000001</v>
      </c>
      <c r="C313" s="716">
        <v>2.3012000000000001</v>
      </c>
      <c r="D313" s="716">
        <v>2.403</v>
      </c>
      <c r="E313" s="716">
        <v>2.403</v>
      </c>
      <c r="F313" s="716">
        <v>2.403</v>
      </c>
      <c r="G313" s="716">
        <v>2.2235999999999998</v>
      </c>
      <c r="H313" s="716">
        <v>2.2235999999999998</v>
      </c>
      <c r="I313" s="716">
        <v>2</v>
      </c>
      <c r="J313" s="716">
        <v>2</v>
      </c>
      <c r="K313" s="716">
        <v>2</v>
      </c>
      <c r="L313" s="716">
        <v>2</v>
      </c>
      <c r="M313" s="716">
        <v>2</v>
      </c>
    </row>
    <row r="314" spans="1:13">
      <c r="A314" s="712">
        <v>0.6</v>
      </c>
      <c r="B314" s="716">
        <v>1.9177</v>
      </c>
      <c r="C314" s="716">
        <v>1.9177</v>
      </c>
      <c r="D314" s="716">
        <v>2.0024999999999999</v>
      </c>
      <c r="E314" s="716">
        <v>2.0024999999999999</v>
      </c>
      <c r="F314" s="716">
        <v>2.0024999999999999</v>
      </c>
      <c r="G314" s="716">
        <v>1.853</v>
      </c>
      <c r="H314" s="716">
        <v>1.853</v>
      </c>
      <c r="I314" s="716">
        <v>1.6667000000000001</v>
      </c>
      <c r="J314" s="716">
        <v>1.6667000000000001</v>
      </c>
      <c r="K314" s="716">
        <v>1.6667000000000001</v>
      </c>
      <c r="L314" s="716">
        <v>1.6667000000000001</v>
      </c>
      <c r="M314" s="716">
        <v>1.6667000000000001</v>
      </c>
    </row>
    <row r="315" spans="1:13">
      <c r="A315" s="712">
        <v>0.7</v>
      </c>
      <c r="B315" s="716">
        <v>1.6436999999999999</v>
      </c>
      <c r="C315" s="716">
        <v>1.6436999999999999</v>
      </c>
      <c r="D315" s="716">
        <v>1.7163999999999999</v>
      </c>
      <c r="E315" s="716">
        <v>1.7163999999999999</v>
      </c>
      <c r="F315" s="716">
        <v>1.7163999999999999</v>
      </c>
      <c r="G315" s="716">
        <v>1.5883</v>
      </c>
      <c r="H315" s="716">
        <v>1.5883</v>
      </c>
      <c r="I315" s="716">
        <v>1.4286000000000001</v>
      </c>
      <c r="J315" s="716">
        <v>1.4286000000000001</v>
      </c>
      <c r="K315" s="716">
        <v>1.4286000000000001</v>
      </c>
      <c r="L315" s="716">
        <v>1.4286000000000001</v>
      </c>
      <c r="M315" s="716">
        <v>1.4286000000000001</v>
      </c>
    </row>
    <row r="316" spans="1:13">
      <c r="A316" s="712">
        <v>0.8</v>
      </c>
      <c r="B316" s="716">
        <v>1.4382999999999999</v>
      </c>
      <c r="C316" s="716">
        <v>1.4382999999999999</v>
      </c>
      <c r="D316" s="716">
        <v>1.5019</v>
      </c>
      <c r="E316" s="716">
        <v>1.5019</v>
      </c>
      <c r="F316" s="716">
        <v>1.5019</v>
      </c>
      <c r="G316" s="716">
        <v>1.3897999999999999</v>
      </c>
      <c r="H316" s="716">
        <v>1.3897999999999999</v>
      </c>
      <c r="I316" s="716">
        <v>1.25</v>
      </c>
      <c r="J316" s="716">
        <v>1.25</v>
      </c>
      <c r="K316" s="716">
        <v>1.25</v>
      </c>
      <c r="L316" s="716">
        <v>1.25</v>
      </c>
      <c r="M316" s="716">
        <v>1.25</v>
      </c>
    </row>
    <row r="317" spans="1:13">
      <c r="A317" s="712">
        <v>0.9</v>
      </c>
      <c r="B317" s="716">
        <v>1.2784</v>
      </c>
      <c r="C317" s="716">
        <v>1.2784</v>
      </c>
      <c r="D317" s="716">
        <v>1.335</v>
      </c>
      <c r="E317" s="716">
        <v>1.335</v>
      </c>
      <c r="F317" s="716">
        <v>1.335</v>
      </c>
      <c r="G317" s="716">
        <v>1.2353000000000001</v>
      </c>
      <c r="H317" s="716">
        <v>1.2353000000000001</v>
      </c>
      <c r="I317" s="716">
        <v>1.1111</v>
      </c>
      <c r="J317" s="716">
        <v>1.1111</v>
      </c>
      <c r="K317" s="716">
        <v>1.1111</v>
      </c>
      <c r="L317" s="716">
        <v>1.1111</v>
      </c>
      <c r="M317" s="716">
        <v>1.1111</v>
      </c>
    </row>
    <row r="318" spans="1:13">
      <c r="A318" s="712">
        <v>1</v>
      </c>
      <c r="B318" s="716">
        <v>1.1506000000000001</v>
      </c>
      <c r="C318" s="716">
        <v>1.1506000000000001</v>
      </c>
      <c r="D318" s="716">
        <v>1.2015</v>
      </c>
      <c r="E318" s="716">
        <v>1.2015</v>
      </c>
      <c r="F318" s="716">
        <v>1.2015</v>
      </c>
      <c r="G318" s="716">
        <v>1.1117999999999999</v>
      </c>
      <c r="H318" s="716">
        <v>1.1117999999999999</v>
      </c>
      <c r="I318" s="716">
        <v>1</v>
      </c>
      <c r="J318" s="716">
        <v>1</v>
      </c>
      <c r="K318" s="716">
        <v>1</v>
      </c>
      <c r="L318" s="716">
        <v>1</v>
      </c>
      <c r="M318" s="716">
        <v>1</v>
      </c>
    </row>
    <row r="319" spans="1:13">
      <c r="A319" s="712">
        <v>1.1000000000000001</v>
      </c>
      <c r="B319" s="716">
        <v>1.1158999999999999</v>
      </c>
      <c r="C319" s="716">
        <v>1.1158999999999999</v>
      </c>
      <c r="D319" s="716">
        <v>1.1440999999999999</v>
      </c>
      <c r="E319" s="716">
        <v>1.1440999999999999</v>
      </c>
      <c r="F319" s="716">
        <v>1.1440999999999999</v>
      </c>
      <c r="G319" s="716">
        <v>1.0492999999999999</v>
      </c>
      <c r="H319" s="716">
        <v>1.0492999999999999</v>
      </c>
      <c r="I319" s="716">
        <v>0.93730000000000002</v>
      </c>
      <c r="J319" s="716">
        <v>0.93730000000000002</v>
      </c>
      <c r="K319" s="716">
        <v>0.93730000000000002</v>
      </c>
      <c r="L319" s="716">
        <v>0.93730000000000002</v>
      </c>
      <c r="M319" s="716">
        <v>0.93730000000000002</v>
      </c>
    </row>
    <row r="320" spans="1:13">
      <c r="A320" s="712">
        <v>1.2</v>
      </c>
      <c r="B320" s="716">
        <v>1.0837000000000001</v>
      </c>
      <c r="C320" s="716">
        <v>1.0837000000000001</v>
      </c>
      <c r="D320" s="716">
        <v>1.0972999999999999</v>
      </c>
      <c r="E320" s="716">
        <v>1.0972999999999999</v>
      </c>
      <c r="F320" s="716">
        <v>1.0972999999999999</v>
      </c>
      <c r="G320" s="716">
        <v>1</v>
      </c>
      <c r="H320" s="716">
        <v>1</v>
      </c>
      <c r="I320" s="716">
        <v>0.88890000000000002</v>
      </c>
      <c r="J320" s="716">
        <v>0.88890000000000002</v>
      </c>
      <c r="K320" s="716">
        <v>0.88890000000000002</v>
      </c>
      <c r="L320" s="716">
        <v>0.88890000000000002</v>
      </c>
      <c r="M320" s="716">
        <v>0.88890000000000002</v>
      </c>
    </row>
    <row r="321" spans="1:13">
      <c r="A321" s="712">
        <v>1.3</v>
      </c>
      <c r="B321" s="716">
        <v>1.0538000000000001</v>
      </c>
      <c r="C321" s="716">
        <v>1.0538000000000001</v>
      </c>
      <c r="D321" s="716">
        <v>1.0589999999999999</v>
      </c>
      <c r="E321" s="716">
        <v>1.0589999999999999</v>
      </c>
      <c r="F321" s="716">
        <v>1.0589999999999999</v>
      </c>
      <c r="G321" s="716">
        <v>0.96140000000000003</v>
      </c>
      <c r="H321" s="716">
        <v>0.96140000000000003</v>
      </c>
      <c r="I321" s="716">
        <v>0.85209999999999997</v>
      </c>
      <c r="J321" s="716">
        <v>0.85209999999999997</v>
      </c>
      <c r="K321" s="716">
        <v>0.85209999999999997</v>
      </c>
      <c r="L321" s="716">
        <v>0.85209999999999997</v>
      </c>
      <c r="M321" s="716">
        <v>0.85209999999999997</v>
      </c>
    </row>
    <row r="322" spans="1:13">
      <c r="A322" s="712">
        <v>1.4</v>
      </c>
      <c r="B322" s="716">
        <v>1.026</v>
      </c>
      <c r="C322" s="716">
        <v>1.026</v>
      </c>
      <c r="D322" s="716">
        <v>1.0271999999999999</v>
      </c>
      <c r="E322" s="716">
        <v>1.0271999999999999</v>
      </c>
      <c r="F322" s="716">
        <v>1.0271999999999999</v>
      </c>
      <c r="G322" s="716">
        <v>0.93079999999999996</v>
      </c>
      <c r="H322" s="716">
        <v>0.93079999999999996</v>
      </c>
      <c r="I322" s="716">
        <v>0.82379999999999998</v>
      </c>
      <c r="J322" s="716">
        <v>0.82379999999999998</v>
      </c>
      <c r="K322" s="716">
        <v>0.82379999999999998</v>
      </c>
      <c r="L322" s="716">
        <v>0.82379999999999998</v>
      </c>
      <c r="M322" s="716">
        <v>0.82379999999999998</v>
      </c>
    </row>
    <row r="323" spans="1:13">
      <c r="A323" s="712">
        <v>1.5</v>
      </c>
      <c r="B323" s="716">
        <v>1</v>
      </c>
      <c r="C323" s="716">
        <v>1</v>
      </c>
      <c r="D323" s="716">
        <v>1</v>
      </c>
      <c r="E323" s="716">
        <v>1</v>
      </c>
      <c r="F323" s="716">
        <v>1</v>
      </c>
      <c r="G323" s="716">
        <v>0.90559999999999996</v>
      </c>
      <c r="H323" s="716">
        <v>0.90559999999999996</v>
      </c>
      <c r="I323" s="716">
        <v>0.80110000000000003</v>
      </c>
      <c r="J323" s="716">
        <v>0.80110000000000003</v>
      </c>
      <c r="K323" s="716">
        <v>0.80110000000000003</v>
      </c>
      <c r="L323" s="716">
        <v>0.80110000000000003</v>
      </c>
      <c r="M323" s="716">
        <v>0.80110000000000003</v>
      </c>
    </row>
    <row r="324" spans="1:13">
      <c r="A324" s="712">
        <v>1.6</v>
      </c>
      <c r="B324" s="716">
        <v>0.97570000000000001</v>
      </c>
      <c r="C324" s="716">
        <v>0.97570000000000001</v>
      </c>
      <c r="D324" s="716">
        <v>0.97519999999999996</v>
      </c>
      <c r="E324" s="716">
        <v>0.97519999999999996</v>
      </c>
      <c r="F324" s="716">
        <v>0.97519999999999996</v>
      </c>
      <c r="G324" s="716">
        <v>0.8831</v>
      </c>
      <c r="H324" s="716">
        <v>0.8831</v>
      </c>
      <c r="I324" s="716">
        <v>0.78100000000000003</v>
      </c>
      <c r="J324" s="716">
        <v>0.78100000000000003</v>
      </c>
      <c r="K324" s="716">
        <v>0.78100000000000003</v>
      </c>
      <c r="L324" s="716">
        <v>0.78100000000000003</v>
      </c>
      <c r="M324" s="716">
        <v>0.78100000000000003</v>
      </c>
    </row>
    <row r="325" spans="1:13">
      <c r="A325" s="712">
        <v>1.7</v>
      </c>
      <c r="B325" s="716">
        <v>0.95289999999999997</v>
      </c>
      <c r="C325" s="716">
        <v>0.95289999999999997</v>
      </c>
      <c r="D325" s="716">
        <v>0.95189999999999997</v>
      </c>
      <c r="E325" s="716">
        <v>0.95189999999999997</v>
      </c>
      <c r="F325" s="716">
        <v>0.95189999999999997</v>
      </c>
      <c r="G325" s="716">
        <v>0.86180000000000001</v>
      </c>
      <c r="H325" s="716">
        <v>0.86180000000000001</v>
      </c>
      <c r="I325" s="716">
        <v>0.7621</v>
      </c>
      <c r="J325" s="716">
        <v>0.7621</v>
      </c>
      <c r="K325" s="716">
        <v>0.7621</v>
      </c>
      <c r="L325" s="716">
        <v>0.7621</v>
      </c>
      <c r="M325" s="716">
        <v>0.7621</v>
      </c>
    </row>
    <row r="326" spans="1:13">
      <c r="A326" s="712">
        <v>1.8</v>
      </c>
      <c r="B326" s="716">
        <v>0.93149999999999999</v>
      </c>
      <c r="C326" s="716">
        <v>0.93149999999999999</v>
      </c>
      <c r="D326" s="716">
        <v>0.93</v>
      </c>
      <c r="E326" s="716">
        <v>0.93</v>
      </c>
      <c r="F326" s="716">
        <v>0.93</v>
      </c>
      <c r="G326" s="716">
        <v>0.84179999999999999</v>
      </c>
      <c r="H326" s="716">
        <v>0.84179999999999999</v>
      </c>
      <c r="I326" s="716">
        <v>0.74419999999999997</v>
      </c>
      <c r="J326" s="716">
        <v>0.74419999999999997</v>
      </c>
      <c r="K326" s="716">
        <v>0.74419999999999997</v>
      </c>
      <c r="L326" s="716">
        <v>0.74419999999999997</v>
      </c>
      <c r="M326" s="716">
        <v>0.74419999999999997</v>
      </c>
    </row>
    <row r="327" spans="1:13">
      <c r="A327" s="712">
        <v>1.9</v>
      </c>
      <c r="B327" s="716">
        <v>0.91139999999999999</v>
      </c>
      <c r="C327" s="716">
        <v>0.91139999999999999</v>
      </c>
      <c r="D327" s="716">
        <v>0.90939999999999999</v>
      </c>
      <c r="E327" s="716">
        <v>0.90939999999999999</v>
      </c>
      <c r="F327" s="716">
        <v>0.90939999999999999</v>
      </c>
      <c r="G327" s="716">
        <v>0.82289999999999996</v>
      </c>
      <c r="H327" s="716">
        <v>0.82289999999999996</v>
      </c>
      <c r="I327" s="716">
        <v>0.72740000000000005</v>
      </c>
      <c r="J327" s="716">
        <v>0.72740000000000005</v>
      </c>
      <c r="K327" s="716">
        <v>0.72740000000000005</v>
      </c>
      <c r="L327" s="716">
        <v>0.72740000000000005</v>
      </c>
      <c r="M327" s="716">
        <v>0.72740000000000005</v>
      </c>
    </row>
    <row r="328" spans="1:13">
      <c r="A328" s="712">
        <v>2</v>
      </c>
      <c r="B328" s="716">
        <v>0.89270000000000005</v>
      </c>
      <c r="C328" s="716">
        <v>0.89270000000000005</v>
      </c>
      <c r="D328" s="716">
        <v>0.8901</v>
      </c>
      <c r="E328" s="716">
        <v>0.8901</v>
      </c>
      <c r="F328" s="716">
        <v>0.8901</v>
      </c>
      <c r="G328" s="716">
        <v>0.80530000000000002</v>
      </c>
      <c r="H328" s="716">
        <v>0.80530000000000002</v>
      </c>
      <c r="I328" s="716">
        <v>0.71160000000000001</v>
      </c>
      <c r="J328" s="716">
        <v>0.71160000000000001</v>
      </c>
      <c r="K328" s="716">
        <v>0.71160000000000001</v>
      </c>
      <c r="L328" s="716">
        <v>0.71160000000000001</v>
      </c>
      <c r="M328" s="716">
        <v>0.71160000000000001</v>
      </c>
    </row>
    <row r="329" spans="1:13">
      <c r="A329" s="717">
        <v>2.1</v>
      </c>
      <c r="B329" s="716">
        <v>0.87519999999999998</v>
      </c>
      <c r="C329" s="716">
        <v>0.87519999999999998</v>
      </c>
      <c r="D329" s="716">
        <v>0.872</v>
      </c>
      <c r="E329" s="716">
        <v>0.872</v>
      </c>
      <c r="F329" s="716">
        <v>0.872</v>
      </c>
      <c r="G329" s="716">
        <v>0.78869999999999996</v>
      </c>
      <c r="H329" s="716">
        <v>0.78869999999999996</v>
      </c>
      <c r="I329" s="716">
        <v>0.69669999999999999</v>
      </c>
      <c r="J329" s="716">
        <v>0.69669999999999999</v>
      </c>
      <c r="K329" s="716">
        <v>0.69669999999999999</v>
      </c>
      <c r="L329" s="716">
        <v>0.69669999999999999</v>
      </c>
      <c r="M329" s="716">
        <v>0.69669999999999999</v>
      </c>
    </row>
    <row r="330" spans="1:13">
      <c r="A330" s="717">
        <v>2.2000000000000002</v>
      </c>
      <c r="B330" s="716">
        <v>0.85880000000000001</v>
      </c>
      <c r="C330" s="716">
        <v>0.85880000000000001</v>
      </c>
      <c r="D330" s="716">
        <v>0.85499999999999998</v>
      </c>
      <c r="E330" s="716">
        <v>0.85499999999999998</v>
      </c>
      <c r="F330" s="716">
        <v>0.85499999999999998</v>
      </c>
      <c r="G330" s="716">
        <v>0.77300000000000002</v>
      </c>
      <c r="H330" s="716">
        <v>0.77300000000000002</v>
      </c>
      <c r="I330" s="716">
        <v>0.68269999999999997</v>
      </c>
      <c r="J330" s="716">
        <v>0.68269999999999997</v>
      </c>
      <c r="K330" s="716">
        <v>0.68269999999999997</v>
      </c>
      <c r="L330" s="716">
        <v>0.68269999999999997</v>
      </c>
      <c r="M330" s="716">
        <v>0.68269999999999997</v>
      </c>
    </row>
    <row r="331" spans="1:13">
      <c r="A331" s="717">
        <v>2.2999999999999998</v>
      </c>
      <c r="B331" s="716">
        <v>0.84360000000000002</v>
      </c>
      <c r="C331" s="716">
        <v>0.84360000000000002</v>
      </c>
      <c r="D331" s="716">
        <v>0.83899999999999997</v>
      </c>
      <c r="E331" s="716">
        <v>0.83899999999999997</v>
      </c>
      <c r="F331" s="716">
        <v>0.83899999999999997</v>
      </c>
      <c r="G331" s="716">
        <v>0.75839999999999996</v>
      </c>
      <c r="H331" s="716">
        <v>0.75839999999999996</v>
      </c>
      <c r="I331" s="716">
        <v>0.66949999999999998</v>
      </c>
      <c r="J331" s="716">
        <v>0.66949999999999998</v>
      </c>
      <c r="K331" s="716">
        <v>0.66949999999999998</v>
      </c>
      <c r="L331" s="716">
        <v>0.66949999999999998</v>
      </c>
      <c r="M331" s="716">
        <v>0.66949999999999998</v>
      </c>
    </row>
    <row r="332" spans="1:13">
      <c r="A332" s="717">
        <v>2.4</v>
      </c>
      <c r="B332" s="716">
        <v>0.82940000000000003</v>
      </c>
      <c r="C332" s="716">
        <v>0.82940000000000003</v>
      </c>
      <c r="D332" s="716">
        <v>0.82410000000000005</v>
      </c>
      <c r="E332" s="716">
        <v>0.82410000000000005</v>
      </c>
      <c r="F332" s="716">
        <v>0.82410000000000005</v>
      </c>
      <c r="G332" s="716">
        <v>0.74460000000000004</v>
      </c>
      <c r="H332" s="716">
        <v>0.74460000000000004</v>
      </c>
      <c r="I332" s="716">
        <v>0.65710000000000002</v>
      </c>
      <c r="J332" s="716">
        <v>0.65710000000000002</v>
      </c>
      <c r="K332" s="716">
        <v>0.65710000000000002</v>
      </c>
      <c r="L332" s="716">
        <v>0.65710000000000002</v>
      </c>
      <c r="M332" s="716">
        <v>0.65710000000000002</v>
      </c>
    </row>
    <row r="333" spans="1:13">
      <c r="A333" s="717">
        <v>2.5</v>
      </c>
      <c r="B333" s="716">
        <v>0.81620000000000004</v>
      </c>
      <c r="C333" s="716">
        <v>0.81620000000000004</v>
      </c>
      <c r="D333" s="716">
        <v>0.81020000000000003</v>
      </c>
      <c r="E333" s="716">
        <v>0.81020000000000003</v>
      </c>
      <c r="F333" s="716">
        <v>0.81020000000000003</v>
      </c>
      <c r="G333" s="716">
        <v>0.73180000000000001</v>
      </c>
      <c r="H333" s="716">
        <v>0.73180000000000001</v>
      </c>
      <c r="I333" s="716">
        <v>0.64549999999999996</v>
      </c>
      <c r="J333" s="716">
        <v>0.64549999999999996</v>
      </c>
      <c r="K333" s="716">
        <v>0.64549999999999996</v>
      </c>
      <c r="L333" s="716">
        <v>0.64549999999999996</v>
      </c>
      <c r="M333" s="716">
        <v>0.64549999999999996</v>
      </c>
    </row>
    <row r="334" spans="1:13">
      <c r="A334" s="717">
        <v>2.6</v>
      </c>
      <c r="B334" s="716">
        <v>0.80389999999999995</v>
      </c>
      <c r="C334" s="716">
        <v>0.80389999999999995</v>
      </c>
      <c r="D334" s="716">
        <v>0.79710000000000003</v>
      </c>
      <c r="E334" s="716">
        <v>0.79710000000000003</v>
      </c>
      <c r="F334" s="716">
        <v>0.79710000000000003</v>
      </c>
      <c r="G334" s="716">
        <v>0.71970000000000001</v>
      </c>
      <c r="H334" s="716">
        <v>0.71970000000000001</v>
      </c>
      <c r="I334" s="716">
        <v>0.63460000000000005</v>
      </c>
      <c r="J334" s="716">
        <v>0.63460000000000005</v>
      </c>
      <c r="K334" s="716">
        <v>0.63460000000000005</v>
      </c>
      <c r="L334" s="716">
        <v>0.63460000000000005</v>
      </c>
      <c r="M334" s="716">
        <v>0.63460000000000005</v>
      </c>
    </row>
    <row r="335" spans="1:13">
      <c r="A335" s="717">
        <v>2.7</v>
      </c>
      <c r="B335" s="716">
        <v>0.79249999999999998</v>
      </c>
      <c r="C335" s="716">
        <v>0.79249999999999998</v>
      </c>
      <c r="D335" s="716">
        <v>0.78490000000000004</v>
      </c>
      <c r="E335" s="716">
        <v>0.78490000000000004</v>
      </c>
      <c r="F335" s="716">
        <v>0.78490000000000004</v>
      </c>
      <c r="G335" s="716">
        <v>0.70840000000000003</v>
      </c>
      <c r="H335" s="716">
        <v>0.70840000000000003</v>
      </c>
      <c r="I335" s="716">
        <v>0.62439999999999996</v>
      </c>
      <c r="J335" s="716">
        <v>0.62439999999999996</v>
      </c>
      <c r="K335" s="716">
        <v>0.62439999999999996</v>
      </c>
      <c r="L335" s="716">
        <v>0.62439999999999996</v>
      </c>
      <c r="M335" s="716">
        <v>0.62439999999999996</v>
      </c>
    </row>
    <row r="336" spans="1:13">
      <c r="A336" s="717">
        <v>2.8</v>
      </c>
      <c r="B336" s="716">
        <v>0.78190000000000004</v>
      </c>
      <c r="C336" s="716">
        <v>0.78190000000000004</v>
      </c>
      <c r="D336" s="716">
        <v>0.77359999999999995</v>
      </c>
      <c r="E336" s="716">
        <v>0.77359999999999995</v>
      </c>
      <c r="F336" s="716">
        <v>0.77359999999999995</v>
      </c>
      <c r="G336" s="716">
        <v>0.69789999999999996</v>
      </c>
      <c r="H336" s="716">
        <v>0.69789999999999996</v>
      </c>
      <c r="I336" s="716">
        <v>0.61480000000000001</v>
      </c>
      <c r="J336" s="716">
        <v>0.61480000000000001</v>
      </c>
      <c r="K336" s="716">
        <v>0.61480000000000001</v>
      </c>
      <c r="L336" s="716">
        <v>0.61480000000000001</v>
      </c>
      <c r="M336" s="716">
        <v>0.61480000000000001</v>
      </c>
    </row>
    <row r="337" spans="1:13">
      <c r="A337" s="717">
        <v>2.9</v>
      </c>
      <c r="B337" s="716">
        <v>0.77210000000000001</v>
      </c>
      <c r="C337" s="716">
        <v>0.77210000000000001</v>
      </c>
      <c r="D337" s="716">
        <v>0.76300000000000001</v>
      </c>
      <c r="E337" s="716">
        <v>0.76300000000000001</v>
      </c>
      <c r="F337" s="716">
        <v>0.76300000000000001</v>
      </c>
      <c r="G337" s="716">
        <v>0.68799999999999994</v>
      </c>
      <c r="H337" s="716">
        <v>0.68799999999999994</v>
      </c>
      <c r="I337" s="716">
        <v>0.60589999999999999</v>
      </c>
      <c r="J337" s="716">
        <v>0.60589999999999999</v>
      </c>
      <c r="K337" s="716">
        <v>0.60589999999999999</v>
      </c>
      <c r="L337" s="716">
        <v>0.60589999999999999</v>
      </c>
      <c r="M337" s="716">
        <v>0.60589999999999999</v>
      </c>
    </row>
    <row r="338" spans="1:13">
      <c r="A338" s="717">
        <v>3</v>
      </c>
      <c r="B338" s="716">
        <v>0.7631</v>
      </c>
      <c r="C338" s="716">
        <v>0.7631</v>
      </c>
      <c r="D338" s="716">
        <v>0.75309999999999999</v>
      </c>
      <c r="E338" s="716">
        <v>0.75309999999999999</v>
      </c>
      <c r="F338" s="716">
        <v>0.75309999999999999</v>
      </c>
      <c r="G338" s="716">
        <v>0.67879999999999996</v>
      </c>
      <c r="H338" s="716">
        <v>0.67879999999999996</v>
      </c>
      <c r="I338" s="716">
        <v>0.59750000000000003</v>
      </c>
      <c r="J338" s="716">
        <v>0.59750000000000003</v>
      </c>
      <c r="K338" s="716">
        <v>0.59750000000000003</v>
      </c>
      <c r="L338" s="716">
        <v>0.59750000000000003</v>
      </c>
      <c r="M338" s="716">
        <v>0.59750000000000003</v>
      </c>
    </row>
    <row r="339" spans="1:13">
      <c r="A339" s="717">
        <v>3.1</v>
      </c>
      <c r="B339" s="716">
        <v>0.75470000000000004</v>
      </c>
      <c r="C339" s="716">
        <v>0.75470000000000004</v>
      </c>
      <c r="D339" s="716">
        <v>0.74399999999999999</v>
      </c>
      <c r="E339" s="716">
        <v>0.74399999999999999</v>
      </c>
      <c r="F339" s="716">
        <v>0.74399999999999999</v>
      </c>
      <c r="G339" s="716">
        <v>0.67020000000000002</v>
      </c>
      <c r="H339" s="716">
        <v>0.67020000000000002</v>
      </c>
      <c r="I339" s="716">
        <v>0.5897</v>
      </c>
      <c r="J339" s="716">
        <v>0.5897</v>
      </c>
      <c r="K339" s="716">
        <v>0.5897</v>
      </c>
      <c r="L339" s="716">
        <v>0.5897</v>
      </c>
      <c r="M339" s="716">
        <v>0.5897</v>
      </c>
    </row>
    <row r="340" spans="1:13">
      <c r="A340" s="717">
        <v>3.2</v>
      </c>
      <c r="B340" s="716">
        <v>0.747</v>
      </c>
      <c r="C340" s="716">
        <v>0.747</v>
      </c>
      <c r="D340" s="716">
        <v>0.73540000000000005</v>
      </c>
      <c r="E340" s="716">
        <v>0.73540000000000005</v>
      </c>
      <c r="F340" s="716">
        <v>0.73540000000000005</v>
      </c>
      <c r="G340" s="716">
        <v>0.66220000000000001</v>
      </c>
      <c r="H340" s="716">
        <v>0.66220000000000001</v>
      </c>
      <c r="I340" s="716">
        <v>0.58230000000000004</v>
      </c>
      <c r="J340" s="716">
        <v>0.58230000000000004</v>
      </c>
      <c r="K340" s="716">
        <v>0.58230000000000004</v>
      </c>
      <c r="L340" s="716">
        <v>0.58230000000000004</v>
      </c>
      <c r="M340" s="716">
        <v>0.58230000000000004</v>
      </c>
    </row>
    <row r="341" spans="1:13">
      <c r="A341" s="717">
        <v>3.3</v>
      </c>
      <c r="B341" s="716">
        <v>0.7399</v>
      </c>
      <c r="C341" s="716">
        <v>0.7399</v>
      </c>
      <c r="D341" s="716">
        <v>0.72750000000000004</v>
      </c>
      <c r="E341" s="716">
        <v>0.72750000000000004</v>
      </c>
      <c r="F341" s="716">
        <v>0.72750000000000004</v>
      </c>
      <c r="G341" s="716">
        <v>0.65480000000000005</v>
      </c>
      <c r="H341" s="716">
        <v>0.65480000000000005</v>
      </c>
      <c r="I341" s="716">
        <v>0.57540000000000002</v>
      </c>
      <c r="J341" s="716">
        <v>0.57540000000000002</v>
      </c>
      <c r="K341" s="716">
        <v>0.57540000000000002</v>
      </c>
      <c r="L341" s="716">
        <v>0.57540000000000002</v>
      </c>
      <c r="M341" s="716">
        <v>0.57540000000000002</v>
      </c>
    </row>
    <row r="342" spans="1:13">
      <c r="A342" s="717">
        <v>3.4</v>
      </c>
      <c r="B342" s="716">
        <v>0.73340000000000005</v>
      </c>
      <c r="C342" s="716">
        <v>0.73340000000000005</v>
      </c>
      <c r="D342" s="716">
        <v>0.72009999999999996</v>
      </c>
      <c r="E342" s="716">
        <v>0.72009999999999996</v>
      </c>
      <c r="F342" s="716">
        <v>0.72009999999999996</v>
      </c>
      <c r="G342" s="716">
        <v>0.64780000000000004</v>
      </c>
      <c r="H342" s="716">
        <v>0.64780000000000004</v>
      </c>
      <c r="I342" s="716">
        <v>0.56899999999999995</v>
      </c>
      <c r="J342" s="716">
        <v>0.56899999999999995</v>
      </c>
      <c r="K342" s="716">
        <v>0.56899999999999995</v>
      </c>
      <c r="L342" s="716">
        <v>0.56899999999999995</v>
      </c>
      <c r="M342" s="716">
        <v>0.56899999999999995</v>
      </c>
    </row>
    <row r="343" spans="1:13">
      <c r="A343" s="717">
        <v>3.5</v>
      </c>
      <c r="B343" s="716">
        <v>0.72740000000000005</v>
      </c>
      <c r="C343" s="716">
        <v>0.72740000000000005</v>
      </c>
      <c r="D343" s="716">
        <v>0.71330000000000005</v>
      </c>
      <c r="E343" s="716">
        <v>0.71330000000000005</v>
      </c>
      <c r="F343" s="716">
        <v>0.71330000000000005</v>
      </c>
      <c r="G343" s="716">
        <v>0.64129999999999998</v>
      </c>
      <c r="H343" s="716">
        <v>0.64129999999999998</v>
      </c>
      <c r="I343" s="716">
        <v>0.56310000000000004</v>
      </c>
      <c r="J343" s="716">
        <v>0.56310000000000004</v>
      </c>
      <c r="K343" s="716">
        <v>0.56310000000000004</v>
      </c>
      <c r="L343" s="716">
        <v>0.56310000000000004</v>
      </c>
      <c r="M343" s="716">
        <v>0.56310000000000004</v>
      </c>
    </row>
    <row r="344" spans="1:13">
      <c r="A344" s="717">
        <v>3.6</v>
      </c>
      <c r="B344" s="716">
        <v>0.72189999999999999</v>
      </c>
      <c r="C344" s="716">
        <v>0.72189999999999999</v>
      </c>
      <c r="D344" s="716">
        <v>0.70699999999999996</v>
      </c>
      <c r="E344" s="716">
        <v>0.70699999999999996</v>
      </c>
      <c r="F344" s="716">
        <v>0.70699999999999996</v>
      </c>
      <c r="G344" s="716">
        <v>0.63529999999999998</v>
      </c>
      <c r="H344" s="716">
        <v>0.63529999999999998</v>
      </c>
      <c r="I344" s="716">
        <v>0.5575</v>
      </c>
      <c r="J344" s="716">
        <v>0.5575</v>
      </c>
      <c r="K344" s="716">
        <v>0.5575</v>
      </c>
      <c r="L344" s="716">
        <v>0.5575</v>
      </c>
      <c r="M344" s="716">
        <v>0.5575</v>
      </c>
    </row>
    <row r="345" spans="1:13">
      <c r="A345" s="717">
        <v>3.7</v>
      </c>
      <c r="B345" s="716">
        <v>0.71679999999999999</v>
      </c>
      <c r="C345" s="716">
        <v>0.71679999999999999</v>
      </c>
      <c r="D345" s="716">
        <v>0.70109999999999995</v>
      </c>
      <c r="E345" s="716">
        <v>0.70109999999999995</v>
      </c>
      <c r="F345" s="716">
        <v>0.70109999999999995</v>
      </c>
      <c r="G345" s="716">
        <v>0.62970000000000004</v>
      </c>
      <c r="H345" s="716">
        <v>0.62970000000000004</v>
      </c>
      <c r="I345" s="716">
        <v>0.55230000000000001</v>
      </c>
      <c r="J345" s="716">
        <v>0.55230000000000001</v>
      </c>
      <c r="K345" s="716">
        <v>0.55230000000000001</v>
      </c>
      <c r="L345" s="716">
        <v>0.55230000000000001</v>
      </c>
      <c r="M345" s="716">
        <v>0.55230000000000001</v>
      </c>
    </row>
    <row r="346" spans="1:13">
      <c r="A346" s="717">
        <v>3.8</v>
      </c>
      <c r="B346" s="716">
        <v>0.71220000000000006</v>
      </c>
      <c r="C346" s="716">
        <v>0.71220000000000006</v>
      </c>
      <c r="D346" s="716">
        <v>0.6956</v>
      </c>
      <c r="E346" s="716">
        <v>0.6956</v>
      </c>
      <c r="F346" s="716">
        <v>0.6956</v>
      </c>
      <c r="G346" s="716">
        <v>0.62439999999999996</v>
      </c>
      <c r="H346" s="716">
        <v>0.62439999999999996</v>
      </c>
      <c r="I346" s="716">
        <v>0.5474</v>
      </c>
      <c r="J346" s="716">
        <v>0.5474</v>
      </c>
      <c r="K346" s="716">
        <v>0.5474</v>
      </c>
      <c r="L346" s="716">
        <v>0.5474</v>
      </c>
      <c r="M346" s="716">
        <v>0.5474</v>
      </c>
    </row>
    <row r="347" spans="1:13">
      <c r="A347" s="717">
        <v>3.9</v>
      </c>
      <c r="B347" s="716">
        <v>0.70799999999999996</v>
      </c>
      <c r="C347" s="716">
        <v>0.70799999999999996</v>
      </c>
      <c r="D347" s="716">
        <v>0.69059999999999999</v>
      </c>
      <c r="E347" s="716">
        <v>0.69059999999999999</v>
      </c>
      <c r="F347" s="716">
        <v>0.69059999999999999</v>
      </c>
      <c r="G347" s="716">
        <v>0.61950000000000005</v>
      </c>
      <c r="H347" s="716">
        <v>0.61950000000000005</v>
      </c>
      <c r="I347" s="716">
        <v>0.54279999999999995</v>
      </c>
      <c r="J347" s="716">
        <v>0.54279999999999995</v>
      </c>
      <c r="K347" s="716">
        <v>0.54279999999999995</v>
      </c>
      <c r="L347" s="716">
        <v>0.54279999999999995</v>
      </c>
      <c r="M347" s="716">
        <v>0.54279999999999995</v>
      </c>
    </row>
    <row r="348" spans="1:13">
      <c r="A348" s="717">
        <v>4</v>
      </c>
      <c r="B348" s="716">
        <v>0.70409999999999995</v>
      </c>
      <c r="C348" s="716">
        <v>0.70409999999999995</v>
      </c>
      <c r="D348" s="716">
        <v>0.68589999999999995</v>
      </c>
      <c r="E348" s="716">
        <v>0.68589999999999995</v>
      </c>
      <c r="F348" s="716">
        <v>0.68589999999999995</v>
      </c>
      <c r="G348" s="716">
        <v>0.61499999999999999</v>
      </c>
      <c r="H348" s="716">
        <v>0.61499999999999999</v>
      </c>
      <c r="I348" s="716">
        <v>0.53859999999999997</v>
      </c>
      <c r="J348" s="716">
        <v>0.53859999999999997</v>
      </c>
      <c r="K348" s="716">
        <v>0.53859999999999997</v>
      </c>
      <c r="L348" s="716">
        <v>0.53859999999999997</v>
      </c>
      <c r="M348" s="716">
        <v>0.53859999999999997</v>
      </c>
    </row>
    <row r="349" spans="1:13">
      <c r="A349" s="717">
        <v>4.0999999999999996</v>
      </c>
      <c r="B349" s="716">
        <v>0.7006</v>
      </c>
      <c r="C349" s="716">
        <v>0.7006</v>
      </c>
      <c r="D349" s="716">
        <v>0.68159999999999998</v>
      </c>
      <c r="E349" s="716">
        <v>0.68159999999999998</v>
      </c>
      <c r="F349" s="716">
        <v>0.68159999999999998</v>
      </c>
      <c r="G349" s="716">
        <v>0.61080000000000001</v>
      </c>
      <c r="H349" s="716">
        <v>0.61080000000000001</v>
      </c>
      <c r="I349" s="716">
        <v>0.53459999999999996</v>
      </c>
      <c r="J349" s="716">
        <v>0.53459999999999996</v>
      </c>
      <c r="K349" s="716">
        <v>0.53459999999999996</v>
      </c>
      <c r="L349" s="716">
        <v>0.53459999999999996</v>
      </c>
      <c r="M349" s="716">
        <v>0.53459999999999996</v>
      </c>
    </row>
    <row r="350" spans="1:13">
      <c r="A350" s="717">
        <v>4.2</v>
      </c>
      <c r="B350" s="716">
        <v>0.69740000000000002</v>
      </c>
      <c r="C350" s="716">
        <v>0.69740000000000002</v>
      </c>
      <c r="D350" s="716">
        <v>0.67759999999999998</v>
      </c>
      <c r="E350" s="716">
        <v>0.67759999999999998</v>
      </c>
      <c r="F350" s="716">
        <v>0.67759999999999998</v>
      </c>
      <c r="G350" s="716">
        <v>0.60699999999999998</v>
      </c>
      <c r="H350" s="716">
        <v>0.60699999999999998</v>
      </c>
      <c r="I350" s="716">
        <v>0.53090000000000004</v>
      </c>
      <c r="J350" s="716">
        <v>0.53090000000000004</v>
      </c>
      <c r="K350" s="716">
        <v>0.53090000000000004</v>
      </c>
      <c r="L350" s="716">
        <v>0.53090000000000004</v>
      </c>
      <c r="M350" s="716">
        <v>0.53090000000000004</v>
      </c>
    </row>
    <row r="351" spans="1:13">
      <c r="A351" s="717">
        <v>4.3</v>
      </c>
      <c r="B351" s="716">
        <v>0.69450000000000001</v>
      </c>
      <c r="C351" s="716">
        <v>0.69450000000000001</v>
      </c>
      <c r="D351" s="716">
        <v>0.67390000000000005</v>
      </c>
      <c r="E351" s="716">
        <v>0.67390000000000005</v>
      </c>
      <c r="F351" s="716">
        <v>0.67390000000000005</v>
      </c>
      <c r="G351" s="716">
        <v>0.60329999999999995</v>
      </c>
      <c r="H351" s="716">
        <v>0.60329999999999995</v>
      </c>
      <c r="I351" s="716">
        <v>0.52739999999999998</v>
      </c>
      <c r="J351" s="716">
        <v>0.52739999999999998</v>
      </c>
      <c r="K351" s="716">
        <v>0.52739999999999998</v>
      </c>
      <c r="L351" s="716">
        <v>0.52739999999999998</v>
      </c>
      <c r="M351" s="716">
        <v>0.52739999999999998</v>
      </c>
    </row>
    <row r="352" spans="1:13">
      <c r="A352" s="717">
        <v>4.4000000000000004</v>
      </c>
      <c r="B352" s="716">
        <v>0.69179999999999997</v>
      </c>
      <c r="C352" s="716">
        <v>0.69179999999999997</v>
      </c>
      <c r="D352" s="716">
        <v>0.67049999999999998</v>
      </c>
      <c r="E352" s="716">
        <v>0.67049999999999998</v>
      </c>
      <c r="F352" s="716">
        <v>0.67049999999999998</v>
      </c>
      <c r="G352" s="716">
        <v>0.59989999999999999</v>
      </c>
      <c r="H352" s="716">
        <v>0.59989999999999999</v>
      </c>
      <c r="I352" s="716">
        <v>0.5242</v>
      </c>
      <c r="J352" s="716">
        <v>0.5242</v>
      </c>
      <c r="K352" s="716">
        <v>0.5242</v>
      </c>
      <c r="L352" s="716">
        <v>0.5242</v>
      </c>
      <c r="M352" s="716">
        <v>0.5242</v>
      </c>
    </row>
    <row r="353" spans="1:13">
      <c r="A353" s="717">
        <v>4.5</v>
      </c>
      <c r="B353" s="716">
        <v>0.68940000000000001</v>
      </c>
      <c r="C353" s="716">
        <v>0.68940000000000001</v>
      </c>
      <c r="D353" s="716">
        <v>0.6673</v>
      </c>
      <c r="E353" s="716">
        <v>0.6673</v>
      </c>
      <c r="F353" s="716">
        <v>0.6673</v>
      </c>
      <c r="G353" s="716">
        <v>0.59670000000000001</v>
      </c>
      <c r="H353" s="716">
        <v>0.59670000000000001</v>
      </c>
      <c r="I353" s="716">
        <v>0.52110000000000001</v>
      </c>
      <c r="J353" s="716">
        <v>0.52110000000000001</v>
      </c>
      <c r="K353" s="716">
        <v>0.52110000000000001</v>
      </c>
      <c r="L353" s="716">
        <v>0.52110000000000001</v>
      </c>
      <c r="M353" s="716">
        <v>0.52110000000000001</v>
      </c>
    </row>
    <row r="354" spans="1:13">
      <c r="A354" s="717">
        <v>4.5999999999999996</v>
      </c>
      <c r="B354" s="716">
        <v>0.68720000000000003</v>
      </c>
      <c r="C354" s="716">
        <v>0.68720000000000003</v>
      </c>
      <c r="D354" s="716">
        <v>0.6643</v>
      </c>
      <c r="E354" s="716">
        <v>0.6643</v>
      </c>
      <c r="F354" s="716">
        <v>0.6643</v>
      </c>
      <c r="G354" s="716">
        <v>0.59379999999999999</v>
      </c>
      <c r="H354" s="716">
        <v>0.59379999999999999</v>
      </c>
      <c r="I354" s="716">
        <v>0.51819999999999999</v>
      </c>
      <c r="J354" s="716">
        <v>0.51819999999999999</v>
      </c>
      <c r="K354" s="716">
        <v>0.51819999999999999</v>
      </c>
      <c r="L354" s="716">
        <v>0.51819999999999999</v>
      </c>
      <c r="M354" s="716">
        <v>0.51819999999999999</v>
      </c>
    </row>
    <row r="355" spans="1:13">
      <c r="A355" s="717">
        <v>4.7</v>
      </c>
      <c r="B355" s="716">
        <v>0.68520000000000003</v>
      </c>
      <c r="C355" s="716">
        <v>0.68520000000000003</v>
      </c>
      <c r="D355" s="716">
        <v>0.66149999999999998</v>
      </c>
      <c r="E355" s="716">
        <v>0.66149999999999998</v>
      </c>
      <c r="F355" s="716">
        <v>0.66149999999999998</v>
      </c>
      <c r="G355" s="716">
        <v>0.59109999999999996</v>
      </c>
      <c r="H355" s="716">
        <v>0.59109999999999996</v>
      </c>
      <c r="I355" s="716">
        <v>0.51559999999999995</v>
      </c>
      <c r="J355" s="716">
        <v>0.51559999999999995</v>
      </c>
      <c r="K355" s="716">
        <v>0.51559999999999995</v>
      </c>
      <c r="L355" s="716">
        <v>0.51559999999999995</v>
      </c>
      <c r="M355" s="716">
        <v>0.51559999999999995</v>
      </c>
    </row>
    <row r="356" spans="1:13">
      <c r="A356" s="717">
        <v>4.8</v>
      </c>
      <c r="B356" s="716">
        <v>0.68340000000000001</v>
      </c>
      <c r="C356" s="716">
        <v>0.68340000000000001</v>
      </c>
      <c r="D356" s="716">
        <v>0.65900000000000003</v>
      </c>
      <c r="E356" s="716">
        <v>0.65900000000000003</v>
      </c>
      <c r="F356" s="716">
        <v>0.65900000000000003</v>
      </c>
      <c r="G356" s="716">
        <v>0.58850000000000002</v>
      </c>
      <c r="H356" s="716">
        <v>0.58850000000000002</v>
      </c>
      <c r="I356" s="716">
        <v>0.51300000000000001</v>
      </c>
      <c r="J356" s="716">
        <v>0.51300000000000001</v>
      </c>
      <c r="K356" s="716">
        <v>0.51300000000000001</v>
      </c>
      <c r="L356" s="716">
        <v>0.51300000000000001</v>
      </c>
      <c r="M356" s="716">
        <v>0.51300000000000001</v>
      </c>
    </row>
    <row r="357" spans="1:13">
      <c r="A357" s="717">
        <v>4.9000000000000004</v>
      </c>
      <c r="B357" s="716">
        <v>0.68179999999999996</v>
      </c>
      <c r="C357" s="716">
        <v>0.68179999999999996</v>
      </c>
      <c r="D357" s="716">
        <v>0.65659999999999996</v>
      </c>
      <c r="E357" s="716">
        <v>0.65659999999999996</v>
      </c>
      <c r="F357" s="716">
        <v>0.65659999999999996</v>
      </c>
      <c r="G357" s="716">
        <v>0.58599999999999997</v>
      </c>
      <c r="H357" s="716">
        <v>0.58599999999999997</v>
      </c>
      <c r="I357" s="716">
        <v>0.51060000000000005</v>
      </c>
      <c r="J357" s="716">
        <v>0.51060000000000005</v>
      </c>
      <c r="K357" s="716">
        <v>0.51060000000000005</v>
      </c>
      <c r="L357" s="716">
        <v>0.51060000000000005</v>
      </c>
      <c r="M357" s="716">
        <v>0.51060000000000005</v>
      </c>
    </row>
    <row r="358" spans="1:13">
      <c r="A358" s="717">
        <v>5</v>
      </c>
      <c r="B358" s="716">
        <v>0.68030000000000002</v>
      </c>
      <c r="C358" s="716">
        <v>0.68030000000000002</v>
      </c>
      <c r="D358" s="716">
        <v>0.65439999999999998</v>
      </c>
      <c r="E358" s="716">
        <v>0.65439999999999998</v>
      </c>
      <c r="F358" s="716">
        <v>0.65439999999999998</v>
      </c>
      <c r="G358" s="716">
        <v>0.58379999999999999</v>
      </c>
      <c r="H358" s="716">
        <v>0.58379999999999999</v>
      </c>
      <c r="I358" s="716">
        <v>0.50839999999999996</v>
      </c>
      <c r="J358" s="716">
        <v>0.50839999999999996</v>
      </c>
      <c r="K358" s="716">
        <v>0.50839999999999996</v>
      </c>
      <c r="L358" s="716">
        <v>0.50839999999999996</v>
      </c>
      <c r="M358" s="716">
        <v>0.50839999999999996</v>
      </c>
    </row>
    <row r="359" spans="1:13">
      <c r="A359" s="712">
        <v>5.0999999999999996</v>
      </c>
      <c r="B359" s="716">
        <v>0.67889999999999995</v>
      </c>
      <c r="C359" s="716">
        <v>0.67889999999999995</v>
      </c>
      <c r="D359" s="716">
        <v>0.65229999999999999</v>
      </c>
      <c r="E359" s="716">
        <v>0.65229999999999999</v>
      </c>
      <c r="F359" s="716">
        <v>0.65229999999999999</v>
      </c>
      <c r="G359" s="716">
        <v>0.58160000000000001</v>
      </c>
      <c r="H359" s="716">
        <v>0.58160000000000001</v>
      </c>
      <c r="I359" s="716">
        <v>0.50629999999999997</v>
      </c>
      <c r="J359" s="716">
        <v>0.50629999999999997</v>
      </c>
      <c r="K359" s="716">
        <v>0.50629999999999997</v>
      </c>
      <c r="L359" s="716">
        <v>0.50629999999999997</v>
      </c>
      <c r="M359" s="716">
        <v>0.50629999999999997</v>
      </c>
    </row>
    <row r="360" spans="1:13">
      <c r="A360" s="712">
        <v>5.2</v>
      </c>
      <c r="B360" s="716">
        <v>0.67749999999999999</v>
      </c>
      <c r="C360" s="716">
        <v>0.67749999999999999</v>
      </c>
      <c r="D360" s="716">
        <v>0.65029999999999999</v>
      </c>
      <c r="E360" s="716">
        <v>0.65029999999999999</v>
      </c>
      <c r="F360" s="716">
        <v>0.65029999999999999</v>
      </c>
      <c r="G360" s="716">
        <v>0.57950000000000002</v>
      </c>
      <c r="H360" s="716">
        <v>0.57950000000000002</v>
      </c>
      <c r="I360" s="716">
        <v>0.50419999999999998</v>
      </c>
      <c r="J360" s="716">
        <v>0.50419999999999998</v>
      </c>
      <c r="K360" s="716">
        <v>0.50419999999999998</v>
      </c>
      <c r="L360" s="716">
        <v>0.50419999999999998</v>
      </c>
      <c r="M360" s="716">
        <v>0.50419999999999998</v>
      </c>
    </row>
    <row r="361" spans="1:13">
      <c r="A361" s="712">
        <v>5.3</v>
      </c>
      <c r="B361" s="716">
        <v>0.67620000000000002</v>
      </c>
      <c r="C361" s="716">
        <v>0.67620000000000002</v>
      </c>
      <c r="D361" s="716">
        <v>0.64839999999999998</v>
      </c>
      <c r="E361" s="716">
        <v>0.64839999999999998</v>
      </c>
      <c r="F361" s="716">
        <v>0.64839999999999998</v>
      </c>
      <c r="G361" s="716">
        <v>0.5776</v>
      </c>
      <c r="H361" s="716">
        <v>0.5776</v>
      </c>
      <c r="I361" s="716">
        <v>0.50229999999999997</v>
      </c>
      <c r="J361" s="716">
        <v>0.50229999999999997</v>
      </c>
      <c r="K361" s="716">
        <v>0.50229999999999997</v>
      </c>
      <c r="L361" s="716">
        <v>0.50229999999999997</v>
      </c>
      <c r="M361" s="716">
        <v>0.50229999999999997</v>
      </c>
    </row>
    <row r="362" spans="1:13">
      <c r="A362" s="712">
        <v>5.4</v>
      </c>
      <c r="B362" s="716">
        <v>0.67500000000000004</v>
      </c>
      <c r="C362" s="716">
        <v>0.67500000000000004</v>
      </c>
      <c r="D362" s="716">
        <v>0.64670000000000005</v>
      </c>
      <c r="E362" s="716">
        <v>0.64670000000000005</v>
      </c>
      <c r="F362" s="716">
        <v>0.64670000000000005</v>
      </c>
      <c r="G362" s="716">
        <v>0.57579999999999998</v>
      </c>
      <c r="H362" s="716">
        <v>0.57579999999999998</v>
      </c>
      <c r="I362" s="716">
        <v>0.50039999999999996</v>
      </c>
      <c r="J362" s="716">
        <v>0.50039999999999996</v>
      </c>
      <c r="K362" s="716">
        <v>0.50039999999999996</v>
      </c>
      <c r="L362" s="716">
        <v>0.50039999999999996</v>
      </c>
      <c r="M362" s="716">
        <v>0.50039999999999996</v>
      </c>
    </row>
    <row r="363" spans="1:13">
      <c r="A363" s="712">
        <v>5.5</v>
      </c>
      <c r="B363" s="716">
        <v>0.67379999999999995</v>
      </c>
      <c r="C363" s="716">
        <v>0.67379999999999995</v>
      </c>
      <c r="D363" s="716">
        <v>0.64500000000000002</v>
      </c>
      <c r="E363" s="716">
        <v>0.64500000000000002</v>
      </c>
      <c r="F363" s="716">
        <v>0.64500000000000002</v>
      </c>
      <c r="G363" s="716">
        <v>0.57399999999999995</v>
      </c>
      <c r="H363" s="716">
        <v>0.57399999999999995</v>
      </c>
      <c r="I363" s="716">
        <v>0.49869999999999998</v>
      </c>
      <c r="J363" s="716">
        <v>0.49869999999999998</v>
      </c>
      <c r="K363" s="716">
        <v>0.49869999999999998</v>
      </c>
      <c r="L363" s="716">
        <v>0.49869999999999998</v>
      </c>
      <c r="M363" s="716">
        <v>0.49869999999999998</v>
      </c>
    </row>
    <row r="364" spans="1:13">
      <c r="A364" s="712">
        <v>5.6</v>
      </c>
      <c r="B364" s="716">
        <v>0.67259999999999998</v>
      </c>
      <c r="C364" s="716">
        <v>0.67259999999999998</v>
      </c>
      <c r="D364" s="716">
        <v>0.64339999999999997</v>
      </c>
      <c r="E364" s="716">
        <v>0.64339999999999997</v>
      </c>
      <c r="F364" s="716">
        <v>0.64339999999999997</v>
      </c>
      <c r="G364" s="716">
        <v>0.57240000000000002</v>
      </c>
      <c r="H364" s="716">
        <v>0.57240000000000002</v>
      </c>
      <c r="I364" s="716">
        <v>0.49690000000000001</v>
      </c>
      <c r="J364" s="716">
        <v>0.49690000000000001</v>
      </c>
      <c r="K364" s="716">
        <v>0.49690000000000001</v>
      </c>
      <c r="L364" s="716">
        <v>0.49690000000000001</v>
      </c>
      <c r="M364" s="716">
        <v>0.49690000000000001</v>
      </c>
    </row>
    <row r="365" spans="1:13">
      <c r="A365" s="717">
        <v>5.7</v>
      </c>
      <c r="B365" s="716">
        <v>0.6714</v>
      </c>
      <c r="C365" s="716">
        <v>0.6714</v>
      </c>
      <c r="D365" s="716">
        <v>0.64190000000000003</v>
      </c>
      <c r="E365" s="716">
        <v>0.64190000000000003</v>
      </c>
      <c r="F365" s="716">
        <v>0.64190000000000003</v>
      </c>
      <c r="G365" s="716">
        <v>0.57069999999999999</v>
      </c>
      <c r="H365" s="716">
        <v>0.57069999999999999</v>
      </c>
      <c r="I365" s="716">
        <v>0.49519999999999997</v>
      </c>
      <c r="J365" s="716">
        <v>0.49519999999999997</v>
      </c>
      <c r="K365" s="716">
        <v>0.49519999999999997</v>
      </c>
      <c r="L365" s="716">
        <v>0.49519999999999997</v>
      </c>
      <c r="M365" s="716">
        <v>0.49519999999999997</v>
      </c>
    </row>
    <row r="366" spans="1:13">
      <c r="A366" s="712">
        <v>5.8</v>
      </c>
      <c r="B366" s="716">
        <v>0.67020000000000002</v>
      </c>
      <c r="C366" s="716">
        <v>0.67020000000000002</v>
      </c>
      <c r="D366" s="716">
        <v>0.64039999999999997</v>
      </c>
      <c r="E366" s="716">
        <v>0.64039999999999997</v>
      </c>
      <c r="F366" s="716">
        <v>0.64039999999999997</v>
      </c>
      <c r="G366" s="716">
        <v>0.56910000000000005</v>
      </c>
      <c r="H366" s="716">
        <v>0.56910000000000005</v>
      </c>
      <c r="I366" s="716">
        <v>0.49359999999999998</v>
      </c>
      <c r="J366" s="716">
        <v>0.49359999999999998</v>
      </c>
      <c r="K366" s="716">
        <v>0.49359999999999998</v>
      </c>
      <c r="L366" s="716">
        <v>0.49359999999999998</v>
      </c>
      <c r="M366" s="716">
        <v>0.49359999999999998</v>
      </c>
    </row>
    <row r="367" spans="1:13">
      <c r="A367" s="712">
        <v>5.9</v>
      </c>
      <c r="B367" s="716">
        <v>0.66910000000000003</v>
      </c>
      <c r="C367" s="716">
        <v>0.66910000000000003</v>
      </c>
      <c r="D367" s="716">
        <v>0.63890000000000002</v>
      </c>
      <c r="E367" s="716">
        <v>0.63890000000000002</v>
      </c>
      <c r="F367" s="716">
        <v>0.63890000000000002</v>
      </c>
      <c r="G367" s="716">
        <v>0.5675</v>
      </c>
      <c r="H367" s="716">
        <v>0.5675</v>
      </c>
      <c r="I367" s="716">
        <v>0.4919</v>
      </c>
      <c r="J367" s="716">
        <v>0.4919</v>
      </c>
      <c r="K367" s="716">
        <v>0.4919</v>
      </c>
      <c r="L367" s="716">
        <v>0.4919</v>
      </c>
      <c r="M367" s="716">
        <v>0.4919</v>
      </c>
    </row>
    <row r="368" spans="1:13">
      <c r="A368" s="712">
        <v>6</v>
      </c>
      <c r="B368" s="716">
        <v>0.66800000000000004</v>
      </c>
      <c r="C368" s="716">
        <v>0.66800000000000004</v>
      </c>
      <c r="D368" s="716">
        <v>0.63739999999999997</v>
      </c>
      <c r="E368" s="716">
        <v>0.63739999999999997</v>
      </c>
      <c r="F368" s="716">
        <v>0.63739999999999997</v>
      </c>
      <c r="G368" s="716">
        <v>0.56589999999999996</v>
      </c>
      <c r="H368" s="716">
        <v>0.56589999999999996</v>
      </c>
      <c r="I368" s="716">
        <v>0.49020000000000002</v>
      </c>
      <c r="J368" s="716">
        <v>0.49020000000000002</v>
      </c>
      <c r="K368" s="716">
        <v>0.49020000000000002</v>
      </c>
      <c r="L368" s="716">
        <v>0.49020000000000002</v>
      </c>
      <c r="M368" s="716">
        <v>0.49020000000000002</v>
      </c>
    </row>
    <row r="369" spans="1:13">
      <c r="A369" s="712">
        <v>6.1</v>
      </c>
      <c r="B369" s="716">
        <v>0.66690000000000005</v>
      </c>
      <c r="C369" s="716">
        <v>0.66690000000000005</v>
      </c>
      <c r="D369" s="716">
        <v>0.63590000000000002</v>
      </c>
      <c r="E369" s="716">
        <v>0.63590000000000002</v>
      </c>
      <c r="F369" s="716">
        <v>0.63590000000000002</v>
      </c>
      <c r="G369" s="716">
        <v>0.56440000000000001</v>
      </c>
      <c r="H369" s="716">
        <v>0.56440000000000001</v>
      </c>
      <c r="I369" s="716">
        <v>0.48849999999999999</v>
      </c>
      <c r="J369" s="716">
        <v>0.48849999999999999</v>
      </c>
      <c r="K369" s="716">
        <v>0.48849999999999999</v>
      </c>
      <c r="L369" s="716">
        <v>0.48849999999999999</v>
      </c>
      <c r="M369" s="716">
        <v>0.48849999999999999</v>
      </c>
    </row>
    <row r="370" spans="1:13">
      <c r="A370" s="712">
        <v>6.2</v>
      </c>
      <c r="B370" s="716">
        <v>0.66579999999999995</v>
      </c>
      <c r="C370" s="716">
        <v>0.66579999999999995</v>
      </c>
      <c r="D370" s="716">
        <v>0.63439999999999996</v>
      </c>
      <c r="E370" s="716">
        <v>0.63439999999999996</v>
      </c>
      <c r="F370" s="716">
        <v>0.63439999999999996</v>
      </c>
      <c r="G370" s="716">
        <v>0.56289999999999996</v>
      </c>
      <c r="H370" s="716">
        <v>0.56289999999999996</v>
      </c>
      <c r="I370" s="716">
        <v>0.48680000000000001</v>
      </c>
      <c r="J370" s="716">
        <v>0.48680000000000001</v>
      </c>
      <c r="K370" s="716">
        <v>0.48680000000000001</v>
      </c>
      <c r="L370" s="716">
        <v>0.48680000000000001</v>
      </c>
      <c r="M370" s="716">
        <v>0.48680000000000001</v>
      </c>
    </row>
    <row r="371" spans="1:13">
      <c r="A371" s="712">
        <v>6.3</v>
      </c>
      <c r="B371" s="716">
        <v>0.66469999999999996</v>
      </c>
      <c r="C371" s="716">
        <v>0.66469999999999996</v>
      </c>
      <c r="D371" s="716">
        <v>0.63290000000000002</v>
      </c>
      <c r="E371" s="716">
        <v>0.63290000000000002</v>
      </c>
      <c r="F371" s="716">
        <v>0.63290000000000002</v>
      </c>
      <c r="G371" s="716">
        <v>0.56130000000000002</v>
      </c>
      <c r="H371" s="716">
        <v>0.56130000000000002</v>
      </c>
      <c r="I371" s="716">
        <v>0.48509999999999998</v>
      </c>
      <c r="J371" s="716">
        <v>0.48509999999999998</v>
      </c>
      <c r="K371" s="716">
        <v>0.48509999999999998</v>
      </c>
      <c r="L371" s="716">
        <v>0.48509999999999998</v>
      </c>
      <c r="M371" s="716">
        <v>0.48509999999999998</v>
      </c>
    </row>
    <row r="372" spans="1:13">
      <c r="A372" s="712">
        <v>6.4</v>
      </c>
      <c r="B372" s="716">
        <v>0.66359999999999997</v>
      </c>
      <c r="C372" s="716">
        <v>0.66359999999999997</v>
      </c>
      <c r="D372" s="716">
        <v>0.63139999999999996</v>
      </c>
      <c r="E372" s="716">
        <v>0.63139999999999996</v>
      </c>
      <c r="F372" s="716">
        <v>0.63139999999999996</v>
      </c>
      <c r="G372" s="716">
        <v>0.55979999999999996</v>
      </c>
      <c r="H372" s="716">
        <v>0.55979999999999996</v>
      </c>
      <c r="I372" s="716">
        <v>0.48349999999999999</v>
      </c>
      <c r="J372" s="716">
        <v>0.48349999999999999</v>
      </c>
      <c r="K372" s="716">
        <v>0.48349999999999999</v>
      </c>
      <c r="L372" s="716">
        <v>0.48349999999999999</v>
      </c>
      <c r="M372" s="716">
        <v>0.48349999999999999</v>
      </c>
    </row>
    <row r="373" spans="1:13">
      <c r="A373" s="712">
        <v>6.5</v>
      </c>
      <c r="B373" s="716">
        <v>0.66249999999999998</v>
      </c>
      <c r="C373" s="716">
        <v>0.66249999999999998</v>
      </c>
      <c r="D373" s="716">
        <v>0.63</v>
      </c>
      <c r="E373" s="716">
        <v>0.63</v>
      </c>
      <c r="F373" s="716">
        <v>0.63</v>
      </c>
      <c r="G373" s="716">
        <v>0.55820000000000003</v>
      </c>
      <c r="H373" s="716">
        <v>0.55820000000000003</v>
      </c>
      <c r="I373" s="716">
        <v>0.4819</v>
      </c>
      <c r="J373" s="716">
        <v>0.4819</v>
      </c>
      <c r="K373" s="716">
        <v>0.4819</v>
      </c>
      <c r="L373" s="716">
        <v>0.4819</v>
      </c>
      <c r="M373" s="716">
        <v>0.4819</v>
      </c>
    </row>
    <row r="374" spans="1:13">
      <c r="A374" s="712">
        <v>6.6</v>
      </c>
      <c r="B374" s="716">
        <v>0.66149999999999998</v>
      </c>
      <c r="C374" s="716">
        <v>0.66149999999999998</v>
      </c>
      <c r="D374" s="716">
        <v>0.62860000000000005</v>
      </c>
      <c r="E374" s="716">
        <v>0.62860000000000005</v>
      </c>
      <c r="F374" s="716">
        <v>0.62860000000000005</v>
      </c>
      <c r="G374" s="716">
        <v>0.55669999999999997</v>
      </c>
      <c r="H374" s="716">
        <v>0.55669999999999997</v>
      </c>
      <c r="I374" s="716">
        <v>0.4803</v>
      </c>
      <c r="J374" s="716">
        <v>0.4803</v>
      </c>
      <c r="K374" s="716">
        <v>0.4803</v>
      </c>
      <c r="L374" s="716">
        <v>0.4803</v>
      </c>
      <c r="M374" s="716">
        <v>0.4803</v>
      </c>
    </row>
    <row r="375" spans="1:13">
      <c r="A375" s="712">
        <v>6.7</v>
      </c>
      <c r="B375" s="716">
        <v>0.66049999999999998</v>
      </c>
      <c r="C375" s="716">
        <v>0.66049999999999998</v>
      </c>
      <c r="D375" s="716">
        <v>0.62719999999999998</v>
      </c>
      <c r="E375" s="716">
        <v>0.62719999999999998</v>
      </c>
      <c r="F375" s="716">
        <v>0.62719999999999998</v>
      </c>
      <c r="G375" s="716">
        <v>0.55520000000000003</v>
      </c>
      <c r="H375" s="716">
        <v>0.55520000000000003</v>
      </c>
      <c r="I375" s="716">
        <v>0.47870000000000001</v>
      </c>
      <c r="J375" s="716">
        <v>0.47870000000000001</v>
      </c>
      <c r="K375" s="716">
        <v>0.47870000000000001</v>
      </c>
      <c r="L375" s="716">
        <v>0.47870000000000001</v>
      </c>
      <c r="M375" s="716">
        <v>0.47870000000000001</v>
      </c>
    </row>
    <row r="376" spans="1:13">
      <c r="A376" s="712">
        <v>6.8</v>
      </c>
      <c r="B376" s="716">
        <v>0.65949999999999998</v>
      </c>
      <c r="C376" s="716">
        <v>0.65949999999999998</v>
      </c>
      <c r="D376" s="716">
        <v>0.62580000000000002</v>
      </c>
      <c r="E376" s="716">
        <v>0.62580000000000002</v>
      </c>
      <c r="F376" s="716">
        <v>0.62580000000000002</v>
      </c>
      <c r="G376" s="716">
        <v>0.55359999999999998</v>
      </c>
      <c r="H376" s="716">
        <v>0.55359999999999998</v>
      </c>
      <c r="I376" s="716">
        <v>0.47710000000000002</v>
      </c>
      <c r="J376" s="716">
        <v>0.47710000000000002</v>
      </c>
      <c r="K376" s="716">
        <v>0.47710000000000002</v>
      </c>
      <c r="L376" s="716">
        <v>0.47710000000000002</v>
      </c>
      <c r="M376" s="716">
        <v>0.47710000000000002</v>
      </c>
    </row>
    <row r="377" spans="1:13">
      <c r="A377" s="712">
        <v>6.9</v>
      </c>
      <c r="B377" s="716">
        <v>0.65849999999999997</v>
      </c>
      <c r="C377" s="716">
        <v>0.65849999999999997</v>
      </c>
      <c r="D377" s="716">
        <v>0.62439999999999996</v>
      </c>
      <c r="E377" s="716">
        <v>0.62439999999999996</v>
      </c>
      <c r="F377" s="716">
        <v>0.62439999999999996</v>
      </c>
      <c r="G377" s="716">
        <v>0.55220000000000002</v>
      </c>
      <c r="H377" s="716">
        <v>0.55220000000000002</v>
      </c>
      <c r="I377" s="716">
        <v>0.47549999999999998</v>
      </c>
      <c r="J377" s="716">
        <v>0.47549999999999998</v>
      </c>
      <c r="K377" s="716">
        <v>0.47549999999999998</v>
      </c>
      <c r="L377" s="716">
        <v>0.47549999999999998</v>
      </c>
      <c r="M377" s="716">
        <v>0.47549999999999998</v>
      </c>
    </row>
    <row r="378" spans="1:13">
      <c r="A378" s="712">
        <v>7</v>
      </c>
      <c r="B378" s="716">
        <v>0.65749999999999997</v>
      </c>
      <c r="C378" s="716">
        <v>0.65749999999999997</v>
      </c>
      <c r="D378" s="716">
        <v>0.623</v>
      </c>
      <c r="E378" s="716">
        <v>0.623</v>
      </c>
      <c r="F378" s="716">
        <v>0.623</v>
      </c>
      <c r="G378" s="716">
        <v>0.55069999999999997</v>
      </c>
      <c r="H378" s="716">
        <v>0.55069999999999997</v>
      </c>
      <c r="I378" s="716">
        <v>0.47389999999999999</v>
      </c>
      <c r="J378" s="716">
        <v>0.47389999999999999</v>
      </c>
      <c r="K378" s="716">
        <v>0.47389999999999999</v>
      </c>
      <c r="L378" s="716">
        <v>0.47389999999999999</v>
      </c>
      <c r="M378" s="716">
        <v>0.47389999999999999</v>
      </c>
    </row>
    <row r="379" spans="1:13">
      <c r="A379" s="712">
        <v>7.1</v>
      </c>
      <c r="B379" s="716">
        <v>0.65649999999999997</v>
      </c>
      <c r="C379" s="716">
        <v>0.65649999999999997</v>
      </c>
      <c r="D379" s="716">
        <v>0.62160000000000004</v>
      </c>
      <c r="E379" s="716">
        <v>0.62160000000000004</v>
      </c>
      <c r="F379" s="716">
        <v>0.62160000000000004</v>
      </c>
      <c r="G379" s="716">
        <v>0.54930000000000001</v>
      </c>
      <c r="H379" s="716">
        <v>0.54930000000000001</v>
      </c>
      <c r="I379" s="716">
        <v>0.47239999999999999</v>
      </c>
      <c r="J379" s="716">
        <v>0.47239999999999999</v>
      </c>
      <c r="K379" s="716">
        <v>0.47239999999999999</v>
      </c>
      <c r="L379" s="716">
        <v>0.47239999999999999</v>
      </c>
      <c r="M379" s="716">
        <v>0.47239999999999999</v>
      </c>
    </row>
    <row r="380" spans="1:13">
      <c r="A380" s="712">
        <v>7.2</v>
      </c>
      <c r="B380" s="716">
        <v>0.65549999999999997</v>
      </c>
      <c r="C380" s="716">
        <v>0.65549999999999997</v>
      </c>
      <c r="D380" s="716">
        <v>0.62019999999999997</v>
      </c>
      <c r="E380" s="716">
        <v>0.62019999999999997</v>
      </c>
      <c r="F380" s="716">
        <v>0.62019999999999997</v>
      </c>
      <c r="G380" s="716">
        <v>0.54779999999999995</v>
      </c>
      <c r="H380" s="716">
        <v>0.54779999999999995</v>
      </c>
      <c r="I380" s="716">
        <v>0.47089999999999999</v>
      </c>
      <c r="J380" s="716">
        <v>0.47089999999999999</v>
      </c>
      <c r="K380" s="716">
        <v>0.47089999999999999</v>
      </c>
      <c r="L380" s="716">
        <v>0.47089999999999999</v>
      </c>
      <c r="M380" s="716">
        <v>0.47089999999999999</v>
      </c>
    </row>
    <row r="381" spans="1:13">
      <c r="A381" s="712">
        <v>7.3</v>
      </c>
      <c r="B381" s="716">
        <v>0.65449999999999997</v>
      </c>
      <c r="C381" s="716">
        <v>0.65449999999999997</v>
      </c>
      <c r="D381" s="716">
        <v>0.61880000000000002</v>
      </c>
      <c r="E381" s="716">
        <v>0.61880000000000002</v>
      </c>
      <c r="F381" s="716">
        <v>0.61880000000000002</v>
      </c>
      <c r="G381" s="716">
        <v>0.5464</v>
      </c>
      <c r="H381" s="716">
        <v>0.5464</v>
      </c>
      <c r="I381" s="716">
        <v>0.46939999999999998</v>
      </c>
      <c r="J381" s="716">
        <v>0.46939999999999998</v>
      </c>
      <c r="K381" s="716">
        <v>0.46939999999999998</v>
      </c>
      <c r="L381" s="716">
        <v>0.46939999999999998</v>
      </c>
      <c r="M381" s="716">
        <v>0.46939999999999998</v>
      </c>
    </row>
    <row r="382" spans="1:13">
      <c r="A382" s="712">
        <v>7.4</v>
      </c>
      <c r="B382" s="716">
        <v>0.65349999999999997</v>
      </c>
      <c r="C382" s="716">
        <v>0.65349999999999997</v>
      </c>
      <c r="D382" s="716">
        <v>0.61750000000000005</v>
      </c>
      <c r="E382" s="716">
        <v>0.61750000000000005</v>
      </c>
      <c r="F382" s="716">
        <v>0.61750000000000005</v>
      </c>
      <c r="G382" s="716">
        <v>0.54490000000000005</v>
      </c>
      <c r="H382" s="716">
        <v>0.54490000000000005</v>
      </c>
      <c r="I382" s="716">
        <v>0.46779999999999999</v>
      </c>
      <c r="J382" s="716">
        <v>0.46779999999999999</v>
      </c>
      <c r="K382" s="716">
        <v>0.46779999999999999</v>
      </c>
      <c r="L382" s="716">
        <v>0.46779999999999999</v>
      </c>
      <c r="M382" s="716">
        <v>0.46779999999999999</v>
      </c>
    </row>
    <row r="383" spans="1:13">
      <c r="A383" s="712">
        <v>7.5</v>
      </c>
      <c r="B383" s="716">
        <v>0.65249999999999997</v>
      </c>
      <c r="C383" s="716">
        <v>0.65249999999999997</v>
      </c>
      <c r="D383" s="716">
        <v>0.61619999999999997</v>
      </c>
      <c r="E383" s="716">
        <v>0.61619999999999997</v>
      </c>
      <c r="F383" s="716">
        <v>0.61619999999999997</v>
      </c>
      <c r="G383" s="716">
        <v>0.54349999999999998</v>
      </c>
      <c r="H383" s="716">
        <v>0.54349999999999998</v>
      </c>
      <c r="I383" s="716">
        <v>0.46629999999999999</v>
      </c>
      <c r="J383" s="716">
        <v>0.46629999999999999</v>
      </c>
      <c r="K383" s="716">
        <v>0.46629999999999999</v>
      </c>
      <c r="L383" s="716">
        <v>0.46629999999999999</v>
      </c>
      <c r="M383" s="716">
        <v>0.46629999999999999</v>
      </c>
    </row>
    <row r="384" spans="1:13">
      <c r="A384" s="712">
        <v>7.6</v>
      </c>
      <c r="B384" s="716">
        <v>0.65149999999999997</v>
      </c>
      <c r="C384" s="716">
        <v>0.65149999999999997</v>
      </c>
      <c r="D384" s="716">
        <v>0.6149</v>
      </c>
      <c r="E384" s="716">
        <v>0.6149</v>
      </c>
      <c r="F384" s="716">
        <v>0.6149</v>
      </c>
      <c r="G384" s="716">
        <v>0.54200000000000004</v>
      </c>
      <c r="H384" s="716">
        <v>0.54200000000000004</v>
      </c>
      <c r="I384" s="716">
        <v>0.46479999999999999</v>
      </c>
      <c r="J384" s="716">
        <v>0.46479999999999999</v>
      </c>
      <c r="K384" s="716">
        <v>0.46479999999999999</v>
      </c>
      <c r="L384" s="716">
        <v>0.46479999999999999</v>
      </c>
      <c r="M384" s="716">
        <v>0.46479999999999999</v>
      </c>
    </row>
    <row r="385" spans="1:13">
      <c r="A385" s="712">
        <v>7.7</v>
      </c>
      <c r="B385" s="716">
        <v>0.65049999999999997</v>
      </c>
      <c r="C385" s="716">
        <v>0.65049999999999997</v>
      </c>
      <c r="D385" s="716">
        <v>0.61360000000000003</v>
      </c>
      <c r="E385" s="716">
        <v>0.61360000000000003</v>
      </c>
      <c r="F385" s="716">
        <v>0.61360000000000003</v>
      </c>
      <c r="G385" s="716">
        <v>0.54059999999999997</v>
      </c>
      <c r="H385" s="716">
        <v>0.54059999999999997</v>
      </c>
      <c r="I385" s="716">
        <v>0.46329999999999999</v>
      </c>
      <c r="J385" s="716">
        <v>0.46329999999999999</v>
      </c>
      <c r="K385" s="716">
        <v>0.46329999999999999</v>
      </c>
      <c r="L385" s="716">
        <v>0.46329999999999999</v>
      </c>
      <c r="M385" s="716">
        <v>0.46329999999999999</v>
      </c>
    </row>
    <row r="386" spans="1:13">
      <c r="A386" s="712">
        <v>7.8</v>
      </c>
      <c r="B386" s="716">
        <v>0.64949999999999997</v>
      </c>
      <c r="C386" s="716">
        <v>0.64949999999999997</v>
      </c>
      <c r="D386" s="716">
        <v>0.61229999999999996</v>
      </c>
      <c r="E386" s="716">
        <v>0.61229999999999996</v>
      </c>
      <c r="F386" s="716">
        <v>0.61229999999999996</v>
      </c>
      <c r="G386" s="716">
        <v>0.53910000000000002</v>
      </c>
      <c r="H386" s="716">
        <v>0.53910000000000002</v>
      </c>
      <c r="I386" s="716">
        <v>0.4617</v>
      </c>
      <c r="J386" s="716">
        <v>0.4617</v>
      </c>
      <c r="K386" s="716">
        <v>0.4617</v>
      </c>
      <c r="L386" s="716">
        <v>0.4617</v>
      </c>
      <c r="M386" s="716">
        <v>0.4617</v>
      </c>
    </row>
    <row r="387" spans="1:13">
      <c r="A387" s="712">
        <v>7.9</v>
      </c>
      <c r="B387" s="716">
        <v>0.64849999999999997</v>
      </c>
      <c r="C387" s="716">
        <v>0.64849999999999997</v>
      </c>
      <c r="D387" s="716">
        <v>0.61099999999999999</v>
      </c>
      <c r="E387" s="716">
        <v>0.61099999999999999</v>
      </c>
      <c r="F387" s="716">
        <v>0.61099999999999999</v>
      </c>
      <c r="G387" s="716">
        <v>0.53769999999999996</v>
      </c>
      <c r="H387" s="716">
        <v>0.53769999999999996</v>
      </c>
      <c r="I387" s="716">
        <v>0.4602</v>
      </c>
      <c r="J387" s="716">
        <v>0.4602</v>
      </c>
      <c r="K387" s="716">
        <v>0.4602</v>
      </c>
      <c r="L387" s="716">
        <v>0.4602</v>
      </c>
      <c r="M387" s="716">
        <v>0.4602</v>
      </c>
    </row>
    <row r="388" spans="1:13">
      <c r="A388" s="712">
        <v>8</v>
      </c>
      <c r="B388" s="716">
        <v>0.64749999999999996</v>
      </c>
      <c r="C388" s="716">
        <v>0.64749999999999996</v>
      </c>
      <c r="D388" s="716">
        <v>0.60970000000000002</v>
      </c>
      <c r="E388" s="716">
        <v>0.60970000000000002</v>
      </c>
      <c r="F388" s="716">
        <v>0.60970000000000002</v>
      </c>
      <c r="G388" s="716">
        <v>0.53620000000000001</v>
      </c>
      <c r="H388" s="716">
        <v>0.53620000000000001</v>
      </c>
      <c r="I388" s="716">
        <v>0.4587</v>
      </c>
      <c r="J388" s="716">
        <v>0.4587</v>
      </c>
      <c r="K388" s="716">
        <v>0.4587</v>
      </c>
      <c r="L388" s="716">
        <v>0.4587</v>
      </c>
      <c r="M388" s="716">
        <v>0.4587</v>
      </c>
    </row>
    <row r="389" spans="1:13">
      <c r="A389" s="712">
        <v>8.1</v>
      </c>
      <c r="B389" s="716">
        <v>0.64649999999999996</v>
      </c>
      <c r="C389" s="716">
        <v>0.64649999999999996</v>
      </c>
      <c r="D389" s="716">
        <v>0.60840000000000005</v>
      </c>
      <c r="E389" s="716">
        <v>0.60840000000000005</v>
      </c>
      <c r="F389" s="716">
        <v>0.60840000000000005</v>
      </c>
      <c r="G389" s="716">
        <v>0.53480000000000005</v>
      </c>
      <c r="H389" s="716">
        <v>0.53480000000000005</v>
      </c>
      <c r="I389" s="716">
        <v>0.4572</v>
      </c>
      <c r="J389" s="716">
        <v>0.4572</v>
      </c>
      <c r="K389" s="716">
        <v>0.4572</v>
      </c>
      <c r="L389" s="716">
        <v>0.4572</v>
      </c>
      <c r="M389" s="716">
        <v>0.4572</v>
      </c>
    </row>
    <row r="390" spans="1:13">
      <c r="A390" s="712">
        <v>8.1999999999999993</v>
      </c>
      <c r="B390" s="716">
        <v>0.64549999999999996</v>
      </c>
      <c r="C390" s="716">
        <v>0.64549999999999996</v>
      </c>
      <c r="D390" s="716">
        <v>0.60709999999999997</v>
      </c>
      <c r="E390" s="716">
        <v>0.60709999999999997</v>
      </c>
      <c r="F390" s="716">
        <v>0.60709999999999997</v>
      </c>
      <c r="G390" s="716">
        <v>0.5333</v>
      </c>
      <c r="H390" s="716">
        <v>0.5333</v>
      </c>
      <c r="I390" s="716">
        <v>0.45569999999999999</v>
      </c>
      <c r="J390" s="716">
        <v>0.45569999999999999</v>
      </c>
      <c r="K390" s="716">
        <v>0.45569999999999999</v>
      </c>
      <c r="L390" s="716">
        <v>0.45569999999999999</v>
      </c>
      <c r="M390" s="716">
        <v>0.45569999999999999</v>
      </c>
    </row>
    <row r="391" spans="1:13">
      <c r="A391" s="712">
        <v>8.3000000000000007</v>
      </c>
      <c r="B391" s="716">
        <v>0.64449999999999996</v>
      </c>
      <c r="C391" s="716">
        <v>0.64449999999999996</v>
      </c>
      <c r="D391" s="716">
        <v>0.60580000000000001</v>
      </c>
      <c r="E391" s="716">
        <v>0.60580000000000001</v>
      </c>
      <c r="F391" s="716">
        <v>0.60580000000000001</v>
      </c>
      <c r="G391" s="716">
        <v>0.53190000000000004</v>
      </c>
      <c r="H391" s="716">
        <v>0.53190000000000004</v>
      </c>
      <c r="I391" s="716">
        <v>0.45429999999999998</v>
      </c>
      <c r="J391" s="716">
        <v>0.45429999999999998</v>
      </c>
      <c r="K391" s="716">
        <v>0.45429999999999998</v>
      </c>
      <c r="L391" s="716">
        <v>0.45429999999999998</v>
      </c>
      <c r="M391" s="716">
        <v>0.45429999999999998</v>
      </c>
    </row>
    <row r="392" spans="1:13">
      <c r="A392" s="712">
        <v>8.4</v>
      </c>
      <c r="B392" s="716">
        <v>0.64349999999999996</v>
      </c>
      <c r="C392" s="716">
        <v>0.64349999999999996</v>
      </c>
      <c r="D392" s="716">
        <v>0.60450000000000004</v>
      </c>
      <c r="E392" s="716">
        <v>0.60450000000000004</v>
      </c>
      <c r="F392" s="716">
        <v>0.60450000000000004</v>
      </c>
      <c r="G392" s="716">
        <v>0.53039999999999998</v>
      </c>
      <c r="H392" s="716">
        <v>0.53039999999999998</v>
      </c>
      <c r="I392" s="716">
        <v>0.45290000000000002</v>
      </c>
      <c r="J392" s="716">
        <v>0.45290000000000002</v>
      </c>
      <c r="K392" s="716">
        <v>0.45290000000000002</v>
      </c>
      <c r="L392" s="716">
        <v>0.45290000000000002</v>
      </c>
      <c r="M392" s="716">
        <v>0.45290000000000002</v>
      </c>
    </row>
    <row r="393" spans="1:13">
      <c r="A393" s="712">
        <v>8.5</v>
      </c>
      <c r="B393" s="716">
        <v>0.64249999999999996</v>
      </c>
      <c r="C393" s="716">
        <v>0.64249999999999996</v>
      </c>
      <c r="D393" s="716">
        <v>0.60319999999999996</v>
      </c>
      <c r="E393" s="716">
        <v>0.60319999999999996</v>
      </c>
      <c r="F393" s="716">
        <v>0.60319999999999996</v>
      </c>
      <c r="G393" s="716">
        <v>0.52900000000000003</v>
      </c>
      <c r="H393" s="716">
        <v>0.52900000000000003</v>
      </c>
      <c r="I393" s="716">
        <v>0.45140000000000002</v>
      </c>
      <c r="J393" s="716">
        <v>0.45140000000000002</v>
      </c>
      <c r="K393" s="716">
        <v>0.45140000000000002</v>
      </c>
      <c r="L393" s="716">
        <v>0.45140000000000002</v>
      </c>
      <c r="M393" s="716">
        <v>0.45140000000000002</v>
      </c>
    </row>
    <row r="394" spans="1:13">
      <c r="A394" s="712">
        <v>8.6</v>
      </c>
      <c r="B394" s="716">
        <v>0.64149999999999996</v>
      </c>
      <c r="C394" s="716">
        <v>0.64149999999999996</v>
      </c>
      <c r="D394" s="716">
        <v>0.60189999999999999</v>
      </c>
      <c r="E394" s="716">
        <v>0.60189999999999999</v>
      </c>
      <c r="F394" s="716">
        <v>0.60189999999999999</v>
      </c>
      <c r="G394" s="716">
        <v>0.52749999999999997</v>
      </c>
      <c r="H394" s="716">
        <v>0.52749999999999997</v>
      </c>
      <c r="I394" s="716">
        <v>0.45</v>
      </c>
      <c r="J394" s="716">
        <v>0.45</v>
      </c>
      <c r="K394" s="716">
        <v>0.45</v>
      </c>
      <c r="L394" s="716">
        <v>0.45</v>
      </c>
      <c r="M394" s="716">
        <v>0.45</v>
      </c>
    </row>
    <row r="395" spans="1:13">
      <c r="A395" s="712">
        <v>8.6999999999999993</v>
      </c>
      <c r="B395" s="716">
        <v>0.64049999999999996</v>
      </c>
      <c r="C395" s="716">
        <v>0.64049999999999996</v>
      </c>
      <c r="D395" s="716">
        <v>0.60060000000000002</v>
      </c>
      <c r="E395" s="716">
        <v>0.60060000000000002</v>
      </c>
      <c r="F395" s="716">
        <v>0.60060000000000002</v>
      </c>
      <c r="G395" s="716">
        <v>0.52610000000000001</v>
      </c>
      <c r="H395" s="716">
        <v>0.52610000000000001</v>
      </c>
      <c r="I395" s="716">
        <v>0.44850000000000001</v>
      </c>
      <c r="J395" s="716">
        <v>0.44850000000000001</v>
      </c>
      <c r="K395" s="716">
        <v>0.44850000000000001</v>
      </c>
      <c r="L395" s="716">
        <v>0.44850000000000001</v>
      </c>
      <c r="M395" s="716">
        <v>0.44850000000000001</v>
      </c>
    </row>
    <row r="396" spans="1:13">
      <c r="A396" s="712">
        <v>8.8000000000000007</v>
      </c>
      <c r="B396" s="716">
        <v>0.63949999999999996</v>
      </c>
      <c r="C396" s="716">
        <v>0.63949999999999996</v>
      </c>
      <c r="D396" s="716">
        <v>0.59930000000000005</v>
      </c>
      <c r="E396" s="716">
        <v>0.59930000000000005</v>
      </c>
      <c r="F396" s="716">
        <v>0.59930000000000005</v>
      </c>
      <c r="G396" s="716">
        <v>0.52459999999999996</v>
      </c>
      <c r="H396" s="716">
        <v>0.52459999999999996</v>
      </c>
      <c r="I396" s="716">
        <v>0.4471</v>
      </c>
      <c r="J396" s="716">
        <v>0.4471</v>
      </c>
      <c r="K396" s="716">
        <v>0.4471</v>
      </c>
      <c r="L396" s="716">
        <v>0.4471</v>
      </c>
      <c r="M396" s="716">
        <v>0.4471</v>
      </c>
    </row>
    <row r="397" spans="1:13">
      <c r="A397" s="712">
        <v>8.9</v>
      </c>
      <c r="B397" s="716">
        <v>0.63849999999999996</v>
      </c>
      <c r="C397" s="716">
        <v>0.63849999999999996</v>
      </c>
      <c r="D397" s="716">
        <v>0.59799999999999998</v>
      </c>
      <c r="E397" s="716">
        <v>0.59799999999999998</v>
      </c>
      <c r="F397" s="716">
        <v>0.59799999999999998</v>
      </c>
      <c r="G397" s="716">
        <v>0.5232</v>
      </c>
      <c r="H397" s="716">
        <v>0.5232</v>
      </c>
      <c r="I397" s="716">
        <v>0.4456</v>
      </c>
      <c r="J397" s="716">
        <v>0.4456</v>
      </c>
      <c r="K397" s="716">
        <v>0.4456</v>
      </c>
      <c r="L397" s="716">
        <v>0.4456</v>
      </c>
      <c r="M397" s="716">
        <v>0.4456</v>
      </c>
    </row>
    <row r="398" spans="1:13">
      <c r="A398" s="717">
        <v>9</v>
      </c>
      <c r="B398" s="716">
        <v>0.63749999999999996</v>
      </c>
      <c r="C398" s="716">
        <v>0.63749999999999996</v>
      </c>
      <c r="D398" s="716">
        <v>0.59670000000000001</v>
      </c>
      <c r="E398" s="716">
        <v>0.59670000000000001</v>
      </c>
      <c r="F398" s="716">
        <v>0.59670000000000001</v>
      </c>
      <c r="G398" s="716">
        <v>0.52170000000000005</v>
      </c>
      <c r="H398" s="716">
        <v>0.52170000000000005</v>
      </c>
      <c r="I398" s="716">
        <v>0.44429999999999997</v>
      </c>
      <c r="J398" s="716">
        <v>0.44429999999999997</v>
      </c>
      <c r="K398" s="716">
        <v>0.44429999999999997</v>
      </c>
      <c r="L398" s="716">
        <v>0.44429999999999997</v>
      </c>
      <c r="M398" s="716">
        <v>0.44429999999999997</v>
      </c>
    </row>
    <row r="399" spans="1:13">
      <c r="A399" s="717">
        <v>9.1</v>
      </c>
      <c r="B399" s="716">
        <v>0.63649999999999995</v>
      </c>
      <c r="C399" s="716">
        <v>0.63649999999999995</v>
      </c>
      <c r="D399" s="716">
        <v>0.59540000000000004</v>
      </c>
      <c r="E399" s="716">
        <v>0.59540000000000004</v>
      </c>
      <c r="F399" s="716">
        <v>0.59540000000000004</v>
      </c>
      <c r="G399" s="716">
        <v>0.52029999999999998</v>
      </c>
      <c r="H399" s="716">
        <v>0.52029999999999998</v>
      </c>
      <c r="I399" s="716">
        <v>0.44290000000000002</v>
      </c>
      <c r="J399" s="716">
        <v>0.44290000000000002</v>
      </c>
      <c r="K399" s="716">
        <v>0.44290000000000002</v>
      </c>
      <c r="L399" s="716">
        <v>0.44290000000000002</v>
      </c>
      <c r="M399" s="716">
        <v>0.44290000000000002</v>
      </c>
    </row>
    <row r="400" spans="1:13">
      <c r="A400" s="717">
        <v>9.1999999999999993</v>
      </c>
      <c r="B400" s="716">
        <v>0.63549999999999995</v>
      </c>
      <c r="C400" s="716">
        <v>0.63549999999999995</v>
      </c>
      <c r="D400" s="716">
        <v>0.59409999999999996</v>
      </c>
      <c r="E400" s="716">
        <v>0.59409999999999996</v>
      </c>
      <c r="F400" s="716">
        <v>0.59409999999999996</v>
      </c>
      <c r="G400" s="716">
        <v>0.51880000000000004</v>
      </c>
      <c r="H400" s="716">
        <v>0.51880000000000004</v>
      </c>
      <c r="I400" s="716">
        <v>0.44159999999999999</v>
      </c>
      <c r="J400" s="716">
        <v>0.44159999999999999</v>
      </c>
      <c r="K400" s="716">
        <v>0.44159999999999999</v>
      </c>
      <c r="L400" s="716">
        <v>0.44159999999999999</v>
      </c>
      <c r="M400" s="716">
        <v>0.44159999999999999</v>
      </c>
    </row>
    <row r="401" spans="1:13">
      <c r="A401" s="717">
        <v>9.3000000000000007</v>
      </c>
      <c r="B401" s="716">
        <v>0.63449999999999995</v>
      </c>
      <c r="C401" s="716">
        <v>0.63449999999999995</v>
      </c>
      <c r="D401" s="716">
        <v>0.59279999999999999</v>
      </c>
      <c r="E401" s="716">
        <v>0.59279999999999999</v>
      </c>
      <c r="F401" s="716">
        <v>0.59279999999999999</v>
      </c>
      <c r="G401" s="716">
        <v>0.51739999999999997</v>
      </c>
      <c r="H401" s="716">
        <v>0.51739999999999997</v>
      </c>
      <c r="I401" s="716">
        <v>0.44019999999999998</v>
      </c>
      <c r="J401" s="716">
        <v>0.44019999999999998</v>
      </c>
      <c r="K401" s="716">
        <v>0.44019999999999998</v>
      </c>
      <c r="L401" s="716">
        <v>0.44019999999999998</v>
      </c>
      <c r="M401" s="716">
        <v>0.44019999999999998</v>
      </c>
    </row>
    <row r="402" spans="1:13">
      <c r="A402" s="717">
        <v>9.4</v>
      </c>
      <c r="B402" s="716">
        <v>0.63349999999999995</v>
      </c>
      <c r="C402" s="716">
        <v>0.63349999999999995</v>
      </c>
      <c r="D402" s="716">
        <v>0.59150000000000003</v>
      </c>
      <c r="E402" s="716">
        <v>0.59150000000000003</v>
      </c>
      <c r="F402" s="716">
        <v>0.59150000000000003</v>
      </c>
      <c r="G402" s="716">
        <v>0.51600000000000001</v>
      </c>
      <c r="H402" s="716">
        <v>0.51600000000000001</v>
      </c>
      <c r="I402" s="716">
        <v>0.43880000000000002</v>
      </c>
      <c r="J402" s="716">
        <v>0.43880000000000002</v>
      </c>
      <c r="K402" s="716">
        <v>0.43880000000000002</v>
      </c>
      <c r="L402" s="716">
        <v>0.43880000000000002</v>
      </c>
      <c r="M402" s="716">
        <v>0.43880000000000002</v>
      </c>
    </row>
    <row r="403" spans="1:13">
      <c r="A403" s="717">
        <v>9.5</v>
      </c>
      <c r="B403" s="716">
        <v>0.63249999999999995</v>
      </c>
      <c r="C403" s="716">
        <v>0.63249999999999995</v>
      </c>
      <c r="D403" s="716">
        <v>0.59030000000000005</v>
      </c>
      <c r="E403" s="716">
        <v>0.59030000000000005</v>
      </c>
      <c r="F403" s="716">
        <v>0.59030000000000005</v>
      </c>
      <c r="G403" s="716">
        <v>0.51470000000000005</v>
      </c>
      <c r="H403" s="716">
        <v>0.51470000000000005</v>
      </c>
      <c r="I403" s="716">
        <v>0.4375</v>
      </c>
      <c r="J403" s="716">
        <v>0.4375</v>
      </c>
      <c r="K403" s="716">
        <v>0.4375</v>
      </c>
      <c r="L403" s="716">
        <v>0.4375</v>
      </c>
      <c r="M403" s="716">
        <v>0.4375</v>
      </c>
    </row>
    <row r="404" spans="1:13">
      <c r="A404" s="717">
        <v>9.6</v>
      </c>
      <c r="B404" s="716">
        <v>0.63149999999999995</v>
      </c>
      <c r="C404" s="716">
        <v>0.63149999999999995</v>
      </c>
      <c r="D404" s="716">
        <v>0.58909999999999996</v>
      </c>
      <c r="E404" s="716">
        <v>0.58909999999999996</v>
      </c>
      <c r="F404" s="716">
        <v>0.58909999999999996</v>
      </c>
      <c r="G404" s="716">
        <v>0.51329999999999998</v>
      </c>
      <c r="H404" s="716">
        <v>0.51329999999999998</v>
      </c>
      <c r="I404" s="716">
        <v>0.43609999999999999</v>
      </c>
      <c r="J404" s="716">
        <v>0.43609999999999999</v>
      </c>
      <c r="K404" s="716">
        <v>0.43609999999999999</v>
      </c>
      <c r="L404" s="716">
        <v>0.43609999999999999</v>
      </c>
      <c r="M404" s="716">
        <v>0.43609999999999999</v>
      </c>
    </row>
    <row r="405" spans="1:13">
      <c r="A405" s="717">
        <v>9.6999999999999993</v>
      </c>
      <c r="B405" s="716">
        <v>0.63049999999999995</v>
      </c>
      <c r="C405" s="716">
        <v>0.63049999999999995</v>
      </c>
      <c r="D405" s="716">
        <v>0.58789999999999998</v>
      </c>
      <c r="E405" s="716">
        <v>0.58789999999999998</v>
      </c>
      <c r="F405" s="716">
        <v>0.58789999999999998</v>
      </c>
      <c r="G405" s="716">
        <v>0.51200000000000001</v>
      </c>
      <c r="H405" s="716">
        <v>0.51200000000000001</v>
      </c>
      <c r="I405" s="716">
        <v>0.43480000000000002</v>
      </c>
      <c r="J405" s="716">
        <v>0.43480000000000002</v>
      </c>
      <c r="K405" s="716">
        <v>0.43480000000000002</v>
      </c>
      <c r="L405" s="716">
        <v>0.43480000000000002</v>
      </c>
      <c r="M405" s="716">
        <v>0.43480000000000002</v>
      </c>
    </row>
    <row r="406" spans="1:13">
      <c r="A406" s="717">
        <v>9.8000000000000007</v>
      </c>
      <c r="B406" s="716">
        <v>0.62949999999999995</v>
      </c>
      <c r="C406" s="716">
        <v>0.62949999999999995</v>
      </c>
      <c r="D406" s="716">
        <v>0.5867</v>
      </c>
      <c r="E406" s="716">
        <v>0.5867</v>
      </c>
      <c r="F406" s="716">
        <v>0.5867</v>
      </c>
      <c r="G406" s="716">
        <v>0.51060000000000005</v>
      </c>
      <c r="H406" s="716">
        <v>0.51060000000000005</v>
      </c>
      <c r="I406" s="716">
        <v>0.43340000000000001</v>
      </c>
      <c r="J406" s="716">
        <v>0.43340000000000001</v>
      </c>
      <c r="K406" s="716">
        <v>0.43340000000000001</v>
      </c>
      <c r="L406" s="716">
        <v>0.43340000000000001</v>
      </c>
      <c r="M406" s="716">
        <v>0.43340000000000001</v>
      </c>
    </row>
    <row r="407" spans="1:13">
      <c r="A407" s="717">
        <v>9.9</v>
      </c>
      <c r="B407" s="716">
        <v>0.62849999999999995</v>
      </c>
      <c r="C407" s="716">
        <v>0.62849999999999995</v>
      </c>
      <c r="D407" s="716">
        <v>0.58550000000000002</v>
      </c>
      <c r="E407" s="716">
        <v>0.58550000000000002</v>
      </c>
      <c r="F407" s="716">
        <v>0.58550000000000002</v>
      </c>
      <c r="G407" s="716">
        <v>0.50919999999999999</v>
      </c>
      <c r="H407" s="716">
        <v>0.50919999999999999</v>
      </c>
      <c r="I407" s="716">
        <v>0.432</v>
      </c>
      <c r="J407" s="716">
        <v>0.432</v>
      </c>
      <c r="K407" s="716">
        <v>0.432</v>
      </c>
      <c r="L407" s="716">
        <v>0.432</v>
      </c>
      <c r="M407" s="716">
        <v>0.432</v>
      </c>
    </row>
    <row r="408" spans="1:13">
      <c r="A408" s="717">
        <v>10</v>
      </c>
      <c r="B408" s="716">
        <v>0.62749999999999995</v>
      </c>
      <c r="C408" s="716">
        <v>0.62749999999999995</v>
      </c>
      <c r="D408" s="716">
        <v>0.58430000000000004</v>
      </c>
      <c r="E408" s="716">
        <v>0.58430000000000004</v>
      </c>
      <c r="F408" s="716">
        <v>0.58430000000000004</v>
      </c>
      <c r="G408" s="716">
        <v>0.50790000000000002</v>
      </c>
      <c r="H408" s="716">
        <v>0.50790000000000002</v>
      </c>
      <c r="I408" s="716">
        <v>0.43070000000000003</v>
      </c>
      <c r="J408" s="716">
        <v>0.43070000000000003</v>
      </c>
      <c r="K408" s="716">
        <v>0.43070000000000003</v>
      </c>
      <c r="L408" s="716">
        <v>0.43070000000000003</v>
      </c>
      <c r="M408" s="716">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H9" sqref="AH9"/>
    </sheetView>
  </sheetViews>
  <sheetFormatPr defaultColWidth="9" defaultRowHeight="13.2"/>
  <cols>
    <col min="1" max="1" width="9" style="2122"/>
    <col min="2" max="6" width="9" style="2122" customWidth="1"/>
    <col min="7" max="7" width="9" style="2147"/>
    <col min="8" max="8" width="9" style="2122"/>
    <col min="9" max="12" width="9" style="2122" customWidth="1"/>
    <col min="13" max="13" width="2.21875" style="2122" customWidth="1"/>
    <col min="14" max="14" width="9" style="2147" customWidth="1"/>
    <col min="15" max="17" width="9" style="2122" customWidth="1"/>
    <col min="18" max="18" width="2.33203125" style="2122" customWidth="1"/>
    <col min="19" max="19" width="7.109375" style="2147" customWidth="1"/>
    <col min="20" max="22" width="7.109375" style="2122" customWidth="1"/>
    <col min="23" max="23" width="23.88671875" style="2122" customWidth="1"/>
    <col min="24" max="25" width="9" style="2122"/>
    <col min="26" max="27" width="11.6640625" style="2122" customWidth="1"/>
    <col min="28" max="28" width="9" style="2122"/>
    <col min="29" max="29" width="2" style="2122" customWidth="1"/>
    <col min="30" max="16384" width="9" style="2122"/>
  </cols>
  <sheetData>
    <row r="1" spans="1:34" s="2103" customFormat="1">
      <c r="B1" s="3457" t="s">
        <v>782</v>
      </c>
      <c r="C1" s="3457"/>
      <c r="D1" s="3457"/>
      <c r="E1" s="3457"/>
      <c r="F1" s="3457"/>
      <c r="G1" s="3453" t="s">
        <v>783</v>
      </c>
      <c r="H1" s="3453"/>
      <c r="I1" s="3453"/>
      <c r="J1" s="3453"/>
      <c r="K1" s="3453"/>
      <c r="L1" s="3453"/>
      <c r="N1" s="3453" t="s">
        <v>784</v>
      </c>
      <c r="O1" s="3453"/>
      <c r="P1" s="3453"/>
      <c r="Q1" s="3453"/>
      <c r="S1" s="3453" t="s">
        <v>785</v>
      </c>
      <c r="T1" s="3453"/>
      <c r="U1" s="3453"/>
      <c r="V1" s="3453"/>
      <c r="X1" s="3452" t="s">
        <v>786</v>
      </c>
      <c r="Y1" s="3453"/>
      <c r="Z1" s="3453"/>
      <c r="AA1" s="3453"/>
      <c r="AB1" s="3453"/>
      <c r="AD1" s="3452" t="s">
        <v>787</v>
      </c>
      <c r="AE1" s="3453"/>
      <c r="AF1" s="3453"/>
      <c r="AG1" s="3453"/>
      <c r="AH1" s="3453"/>
    </row>
    <row r="2" spans="1:34" s="2104" customFormat="1" ht="15" thickBot="1">
      <c r="B2" s="2105" t="s">
        <v>788</v>
      </c>
      <c r="C2" s="2105" t="s">
        <v>789</v>
      </c>
      <c r="D2" s="2106" t="s">
        <v>790</v>
      </c>
      <c r="E2" s="2106" t="s">
        <v>791</v>
      </c>
      <c r="F2" s="2105" t="s">
        <v>792</v>
      </c>
      <c r="G2" s="2107"/>
      <c r="I2" s="2105" t="s">
        <v>1007</v>
      </c>
      <c r="J2" s="2106" t="s">
        <v>1008</v>
      </c>
      <c r="K2" s="2106" t="s">
        <v>1009</v>
      </c>
      <c r="L2" s="2105" t="s">
        <v>1010</v>
      </c>
      <c r="N2" s="2105" t="s">
        <v>788</v>
      </c>
      <c r="O2" s="2106" t="s">
        <v>1011</v>
      </c>
      <c r="P2" s="2106" t="s">
        <v>549</v>
      </c>
      <c r="Q2" s="2105" t="s">
        <v>792</v>
      </c>
      <c r="S2" s="2105" t="s">
        <v>788</v>
      </c>
      <c r="T2" s="2106" t="s">
        <v>1011</v>
      </c>
      <c r="U2" s="2106" t="s">
        <v>549</v>
      </c>
      <c r="V2" s="2105" t="s">
        <v>792</v>
      </c>
      <c r="X2" s="2105" t="s">
        <v>793</v>
      </c>
      <c r="Y2" s="2105" t="s">
        <v>794</v>
      </c>
      <c r="Z2" s="2106" t="s">
        <v>795</v>
      </c>
      <c r="AA2" s="2106" t="s">
        <v>796</v>
      </c>
      <c r="AB2" s="2105" t="s">
        <v>797</v>
      </c>
      <c r="AD2" s="2105" t="s">
        <v>793</v>
      </c>
      <c r="AE2" s="2105" t="s">
        <v>794</v>
      </c>
      <c r="AF2" s="2106" t="s">
        <v>795</v>
      </c>
      <c r="AG2" s="2106" t="s">
        <v>796</v>
      </c>
      <c r="AH2" s="2105" t="s">
        <v>797</v>
      </c>
    </row>
    <row r="3" spans="1:34" s="2112" customFormat="1" ht="14.4">
      <c r="A3" s="2108" t="s">
        <v>2464</v>
      </c>
      <c r="B3" s="2109"/>
      <c r="C3" s="2109"/>
      <c r="D3" s="2110"/>
      <c r="E3" s="2110"/>
      <c r="F3" s="2109"/>
      <c r="G3" s="2111"/>
      <c r="I3" s="2113">
        <f>ROUND(AVERAGE(I4:I41),2)</f>
        <v>1.49</v>
      </c>
      <c r="J3" s="2113">
        <f>ROUND(AVERAGE(J4:J41),2)</f>
        <v>0.93</v>
      </c>
      <c r="K3" s="2113">
        <f>ROUND(AVERAGE(K4:K41),2)</f>
        <v>1.64</v>
      </c>
      <c r="L3" s="2114">
        <f>ROUND(AVERAGE(L4:L41),2)</f>
        <v>1.0900000000000001</v>
      </c>
      <c r="N3" s="2111"/>
      <c r="S3" s="2111"/>
      <c r="W3" s="2115"/>
      <c r="X3" s="2116">
        <f>ROUND(SUMPRODUCT(PRODUCT(1+N3:N$40)),4)</f>
        <v>1.6733</v>
      </c>
      <c r="Y3" s="2116">
        <f>ROUND(SUMPRODUCT(PRODUCT(1+O3:O$40)),4)</f>
        <v>1.3736999999999999</v>
      </c>
      <c r="Z3" s="2116">
        <f t="shared" ref="Z3:Z38" si="0">Y3</f>
        <v>1.3736999999999999</v>
      </c>
      <c r="AA3" s="2116">
        <f>ROUND(SUMPRODUCT(PRODUCT(1+P3:P$40)),4)</f>
        <v>1.7601</v>
      </c>
      <c r="AB3" s="2116">
        <f>ROUND(SUMPRODUCT(PRODUCT(1+Q3:Q$40)),4)</f>
        <v>1.4702999999999999</v>
      </c>
      <c r="AD3" s="2117">
        <f>ROUND(AVERAGE(I3:I$41)/100,4)</f>
        <v>1.49E-2</v>
      </c>
      <c r="AE3" s="2117">
        <f>ROUND(AVERAGE(J3:J$41)/100,4)</f>
        <v>9.2999999999999992E-3</v>
      </c>
      <c r="AF3" s="2117">
        <f t="shared" ref="AF3:AF29" si="1">AE3</f>
        <v>9.2999999999999992E-3</v>
      </c>
      <c r="AG3" s="2117">
        <f>ROUND(AVERAGE(K3:K$41)/100,4)</f>
        <v>1.6400000000000001E-2</v>
      </c>
      <c r="AH3" s="2117">
        <f>ROUND(AVERAGE(L3:L$41)/100,4)</f>
        <v>1.09E-2</v>
      </c>
    </row>
    <row r="4" spans="1:34" s="2103" customFormat="1" ht="14.4">
      <c r="B4" s="2118"/>
      <c r="C4" s="2118"/>
      <c r="D4" s="2119"/>
      <c r="E4" s="2119"/>
      <c r="F4" s="2118"/>
      <c r="G4" s="2120"/>
      <c r="I4" s="2121"/>
      <c r="J4" s="2121"/>
      <c r="K4" s="2121"/>
      <c r="L4" s="2121"/>
      <c r="N4" s="2120"/>
      <c r="S4" s="2120"/>
      <c r="X4" s="2122"/>
      <c r="Y4" s="2122"/>
      <c r="Z4" s="2122"/>
      <c r="AA4" s="2122"/>
      <c r="AB4" s="2122"/>
      <c r="AD4" s="2123"/>
      <c r="AE4" s="2123"/>
      <c r="AF4" s="2123"/>
      <c r="AG4" s="2123"/>
      <c r="AH4" s="2123"/>
    </row>
    <row r="5" spans="1:34" s="2131" customFormat="1" ht="14.4" customHeight="1">
      <c r="A5" s="2126" t="s">
        <v>2800</v>
      </c>
      <c r="B5" s="2127">
        <f t="shared" ref="B5" si="2">B6*(1+N5)</f>
        <v>514.61052757524635</v>
      </c>
      <c r="C5" s="2127">
        <f t="shared" ref="C5" si="3">C6*(1+O5)</f>
        <v>354.10717795754653</v>
      </c>
      <c r="D5" s="2127">
        <f t="shared" ref="D5" si="4">C5</f>
        <v>354.10717795754653</v>
      </c>
      <c r="E5" s="2127">
        <f t="shared" ref="E5" si="5">E6*(1+P5)</f>
        <v>744.35781191052331</v>
      </c>
      <c r="F5" s="2127">
        <f t="shared" ref="F5" si="6">F6*(1+Q5)</f>
        <v>338.03284441166971</v>
      </c>
      <c r="G5" s="2124">
        <v>2023</v>
      </c>
      <c r="H5" s="2128">
        <v>1</v>
      </c>
      <c r="I5" s="2822">
        <v>0</v>
      </c>
      <c r="J5" s="2822">
        <v>0</v>
      </c>
      <c r="K5" s="2822">
        <v>0</v>
      </c>
      <c r="L5" s="2823">
        <v>0</v>
      </c>
      <c r="M5" s="2122"/>
      <c r="N5" s="2130">
        <f t="shared" ref="N5" si="7">I5/100</f>
        <v>0</v>
      </c>
      <c r="O5" s="2123">
        <f t="shared" ref="O5" si="8">J5/100</f>
        <v>0</v>
      </c>
      <c r="P5" s="2123">
        <f t="shared" ref="P5" si="9">K5/100</f>
        <v>0</v>
      </c>
      <c r="Q5" s="2123">
        <f t="shared" ref="Q5" si="10">L5/100</f>
        <v>0</v>
      </c>
      <c r="R5" s="2122"/>
      <c r="S5" s="2130">
        <f>B5/B6-1</f>
        <v>0</v>
      </c>
      <c r="T5" s="2123">
        <f>C5/C6-1</f>
        <v>0</v>
      </c>
      <c r="U5" s="2123">
        <f>E5/E6-1</f>
        <v>0</v>
      </c>
      <c r="V5" s="2123">
        <f>F5/F6-1</f>
        <v>0</v>
      </c>
      <c r="W5" s="2122"/>
      <c r="X5" s="2122">
        <f>ROUND(SUMPRODUCT(PRODUCT(1+N5:N$40)),4)</f>
        <v>1.6733</v>
      </c>
      <c r="Y5" s="2122">
        <f>ROUND(SUMPRODUCT(PRODUCT(1+O5:O$40)),4)</f>
        <v>1.3736999999999999</v>
      </c>
      <c r="Z5" s="2122">
        <f t="shared" ref="Z5" si="11">Y5</f>
        <v>1.3736999999999999</v>
      </c>
      <c r="AA5" s="2122">
        <f>ROUND(SUMPRODUCT(PRODUCT(1+P5:P$40)),4)</f>
        <v>1.7601</v>
      </c>
      <c r="AB5" s="2122">
        <f>ROUND(SUMPRODUCT(PRODUCT(1+Q5:Q$40)),4)</f>
        <v>1.4702999999999999</v>
      </c>
      <c r="AC5" s="2122"/>
      <c r="AD5" s="2123">
        <f>ROUND(AVERAGE(I5:I$41)/100,4)</f>
        <v>1.49E-2</v>
      </c>
      <c r="AE5" s="2123">
        <f>ROUND(AVERAGE(J5:J$41)/100,4)</f>
        <v>9.2999999999999992E-3</v>
      </c>
      <c r="AF5" s="2123">
        <f t="shared" ref="AF5" si="12">AE5</f>
        <v>9.2999999999999992E-3</v>
      </c>
      <c r="AG5" s="2123">
        <f>ROUND(AVERAGE(K5:K$41)/100,4)</f>
        <v>1.6400000000000001E-2</v>
      </c>
      <c r="AH5" s="2123">
        <f>ROUND(AVERAGE(L5:L$41)/100,4)</f>
        <v>1.09E-2</v>
      </c>
    </row>
    <row r="6" spans="1:34" s="2131" customFormat="1" ht="14.4" customHeight="1">
      <c r="A6" s="2126" t="s">
        <v>2799</v>
      </c>
      <c r="B6" s="2127">
        <f t="shared" ref="B6" si="13">B7*(1+N6)</f>
        <v>514.61052757524635</v>
      </c>
      <c r="C6" s="2127">
        <f t="shared" ref="C6" si="14">C7*(1+O6)</f>
        <v>354.10717795754653</v>
      </c>
      <c r="D6" s="2127">
        <f t="shared" ref="D6" si="15">C6</f>
        <v>354.10717795754653</v>
      </c>
      <c r="E6" s="2127">
        <f t="shared" ref="E6" si="16">E7*(1+P6)</f>
        <v>744.35781191052331</v>
      </c>
      <c r="F6" s="2127">
        <f t="shared" ref="F6" si="17">F7*(1+Q6)</f>
        <v>338.03284441166971</v>
      </c>
      <c r="G6" s="2124">
        <v>2022</v>
      </c>
      <c r="H6" s="2128">
        <v>4</v>
      </c>
      <c r="I6" s="2822">
        <v>0</v>
      </c>
      <c r="J6" s="2822">
        <v>0</v>
      </c>
      <c r="K6" s="2822">
        <v>0</v>
      </c>
      <c r="L6" s="2823">
        <v>0</v>
      </c>
      <c r="M6" s="2122"/>
      <c r="N6" s="2130">
        <f t="shared" ref="N6" si="18">I6/100</f>
        <v>0</v>
      </c>
      <c r="O6" s="2123">
        <f t="shared" ref="O6" si="19">J6/100</f>
        <v>0</v>
      </c>
      <c r="P6" s="2123">
        <f t="shared" ref="P6" si="20">K6/100</f>
        <v>0</v>
      </c>
      <c r="Q6" s="2123">
        <f t="shared" ref="Q6" si="21">L6/100</f>
        <v>0</v>
      </c>
      <c r="R6" s="2122"/>
      <c r="S6" s="2130"/>
      <c r="T6" s="2123"/>
      <c r="U6" s="2123"/>
      <c r="V6" s="2123"/>
      <c r="W6" s="2122"/>
      <c r="X6" s="2122">
        <f>ROUND(SUMPRODUCT(PRODUCT(1+N6:N$40)),4)</f>
        <v>1.6733</v>
      </c>
      <c r="Y6" s="2122">
        <f>ROUND(SUMPRODUCT(PRODUCT(1+O6:O$40)),4)</f>
        <v>1.3736999999999999</v>
      </c>
      <c r="Z6" s="2122">
        <f t="shared" ref="Z6" si="22">Y6</f>
        <v>1.3736999999999999</v>
      </c>
      <c r="AA6" s="2122">
        <f>ROUND(SUMPRODUCT(PRODUCT(1+P6:P$40)),4)</f>
        <v>1.7601</v>
      </c>
      <c r="AB6" s="2122">
        <f>ROUND(SUMPRODUCT(PRODUCT(1+Q6:Q$40)),4)</f>
        <v>1.4702999999999999</v>
      </c>
      <c r="AC6" s="2122"/>
      <c r="AD6" s="2123">
        <f>ROUND(AVERAGE(I6:I$41)/100,4)</f>
        <v>1.5299999999999999E-2</v>
      </c>
      <c r="AE6" s="2123">
        <f>ROUND(AVERAGE(J6:J$41)/100,4)</f>
        <v>9.4999999999999998E-3</v>
      </c>
      <c r="AF6" s="2123">
        <f t="shared" ref="AF6" si="23">AE6</f>
        <v>9.4999999999999998E-3</v>
      </c>
      <c r="AG6" s="2123">
        <f>ROUND(AVERAGE(K6:K$41)/100,4)</f>
        <v>1.6899999999999998E-2</v>
      </c>
      <c r="AH6" s="2123">
        <f>ROUND(AVERAGE(L6:L$41)/100,4)</f>
        <v>1.12E-2</v>
      </c>
    </row>
    <row r="7" spans="1:34" s="2131" customFormat="1" ht="14.4" customHeight="1">
      <c r="A7" s="2126" t="s">
        <v>2798</v>
      </c>
      <c r="B7" s="2127">
        <f t="shared" ref="B7" si="24">B8*(1+N7)</f>
        <v>514.61052757524635</v>
      </c>
      <c r="C7" s="2127">
        <f t="shared" ref="C7" si="25">C8*(1+O7)</f>
        <v>354.10717795754653</v>
      </c>
      <c r="D7" s="2127">
        <f t="shared" ref="D7" si="26">C7</f>
        <v>354.10717795754653</v>
      </c>
      <c r="E7" s="2127">
        <f t="shared" ref="E7" si="27">E8*(1+P7)</f>
        <v>744.35781191052331</v>
      </c>
      <c r="F7" s="2127">
        <f t="shared" ref="F7" si="28">F8*(1+Q7)</f>
        <v>338.03284441166971</v>
      </c>
      <c r="G7" s="2124">
        <v>2022</v>
      </c>
      <c r="H7" s="2128">
        <v>3</v>
      </c>
      <c r="I7" s="2822">
        <v>0</v>
      </c>
      <c r="J7" s="2822">
        <v>0</v>
      </c>
      <c r="K7" s="2822">
        <v>0</v>
      </c>
      <c r="L7" s="2823">
        <v>0</v>
      </c>
      <c r="M7" s="2122"/>
      <c r="N7" s="2130">
        <f t="shared" ref="N7" si="29">I7/100</f>
        <v>0</v>
      </c>
      <c r="O7" s="2123">
        <f t="shared" ref="O7" si="30">J7/100</f>
        <v>0</v>
      </c>
      <c r="P7" s="2123">
        <f t="shared" ref="P7" si="31">K7/100</f>
        <v>0</v>
      </c>
      <c r="Q7" s="2123">
        <f t="shared" ref="Q7" si="32">L7/100</f>
        <v>0</v>
      </c>
      <c r="R7" s="2122"/>
      <c r="S7" s="2130"/>
      <c r="T7" s="2123"/>
      <c r="U7" s="2123"/>
      <c r="V7" s="2123"/>
      <c r="W7" s="2122"/>
      <c r="X7" s="2122">
        <f>ROUND(SUMPRODUCT(PRODUCT(1+N7:N$40)),4)</f>
        <v>1.6733</v>
      </c>
      <c r="Y7" s="2122">
        <f>ROUND(SUMPRODUCT(PRODUCT(1+O7:O$40)),4)</f>
        <v>1.3736999999999999</v>
      </c>
      <c r="Z7" s="2122">
        <f t="shared" ref="Z7" si="33">Y7</f>
        <v>1.3736999999999999</v>
      </c>
      <c r="AA7" s="2122">
        <f>ROUND(SUMPRODUCT(PRODUCT(1+P7:P$40)),4)</f>
        <v>1.7601</v>
      </c>
      <c r="AB7" s="2122">
        <f>ROUND(SUMPRODUCT(PRODUCT(1+Q7:Q$40)),4)</f>
        <v>1.4702999999999999</v>
      </c>
      <c r="AC7" s="2122"/>
      <c r="AD7" s="2123">
        <f>ROUND(AVERAGE(I7:I$41)/100,4)</f>
        <v>1.5699999999999999E-2</v>
      </c>
      <c r="AE7" s="2123">
        <f>ROUND(AVERAGE(J7:J$41)/100,4)</f>
        <v>9.7999999999999997E-3</v>
      </c>
      <c r="AF7" s="2123">
        <f t="shared" ref="AF7" si="34">AE7</f>
        <v>9.7999999999999997E-3</v>
      </c>
      <c r="AG7" s="2123">
        <f>ROUND(AVERAGE(K7:K$41)/100,4)</f>
        <v>1.7299999999999999E-2</v>
      </c>
      <c r="AH7" s="2123">
        <f>ROUND(AVERAGE(L7:L$41)/100,4)</f>
        <v>1.15E-2</v>
      </c>
    </row>
    <row r="8" spans="1:34" s="2131" customFormat="1" ht="14.4" customHeight="1">
      <c r="A8" s="2126" t="s">
        <v>2797</v>
      </c>
      <c r="B8" s="2127">
        <f t="shared" ref="B8" si="35">B9*(1+N8)</f>
        <v>514.61052757524635</v>
      </c>
      <c r="C8" s="2127">
        <f t="shared" ref="C8" si="36">C9*(1+O8)</f>
        <v>354.10717795754653</v>
      </c>
      <c r="D8" s="2127">
        <f t="shared" ref="D8" si="37">C8</f>
        <v>354.10717795754653</v>
      </c>
      <c r="E8" s="2127">
        <f t="shared" ref="E8" si="38">E9*(1+P8)</f>
        <v>744.35781191052331</v>
      </c>
      <c r="F8" s="2127">
        <f t="shared" ref="F8" si="39">F9*(1+Q8)</f>
        <v>338.03284441166971</v>
      </c>
      <c r="G8" s="2124">
        <v>2022</v>
      </c>
      <c r="H8" s="2128">
        <v>2</v>
      </c>
      <c r="I8" s="2822">
        <v>0</v>
      </c>
      <c r="J8" s="2822">
        <v>0</v>
      </c>
      <c r="K8" s="2822">
        <v>0</v>
      </c>
      <c r="L8" s="2823">
        <v>0</v>
      </c>
      <c r="M8" s="2122"/>
      <c r="N8" s="2130">
        <f t="shared" ref="N8" si="40">I8/100</f>
        <v>0</v>
      </c>
      <c r="O8" s="2123">
        <f t="shared" ref="O8" si="41">J8/100</f>
        <v>0</v>
      </c>
      <c r="P8" s="2123">
        <f t="shared" ref="P8" si="42">K8/100</f>
        <v>0</v>
      </c>
      <c r="Q8" s="2123">
        <f t="shared" ref="Q8" si="43">L8/100</f>
        <v>0</v>
      </c>
      <c r="R8" s="2122"/>
      <c r="S8" s="2130"/>
      <c r="T8" s="2123"/>
      <c r="U8" s="2123"/>
      <c r="V8" s="2123"/>
      <c r="W8" s="2122"/>
      <c r="X8" s="2122">
        <f>ROUND(SUMPRODUCT(PRODUCT(1+N8:N$40)),4)</f>
        <v>1.6733</v>
      </c>
      <c r="Y8" s="2122">
        <f>ROUND(SUMPRODUCT(PRODUCT(1+O8:O$40)),4)</f>
        <v>1.3736999999999999</v>
      </c>
      <c r="Z8" s="2122">
        <f t="shared" ref="Z8" si="44">Y8</f>
        <v>1.3736999999999999</v>
      </c>
      <c r="AA8" s="2122">
        <f>ROUND(SUMPRODUCT(PRODUCT(1+P8:P$40)),4)</f>
        <v>1.7601</v>
      </c>
      <c r="AB8" s="2122">
        <f>ROUND(SUMPRODUCT(PRODUCT(1+Q8:Q$40)),4)</f>
        <v>1.4702999999999999</v>
      </c>
      <c r="AC8" s="2122"/>
      <c r="AD8" s="2123">
        <f>ROUND(AVERAGE(I8:I$41)/100,4)</f>
        <v>1.6199999999999999E-2</v>
      </c>
      <c r="AE8" s="2123">
        <f>ROUND(AVERAGE(J8:J$41)/100,4)</f>
        <v>1.01E-2</v>
      </c>
      <c r="AF8" s="2123">
        <f t="shared" ref="AF8" si="45">AE8</f>
        <v>1.01E-2</v>
      </c>
      <c r="AG8" s="2123">
        <f>ROUND(AVERAGE(K8:K$41)/100,4)</f>
        <v>1.78E-2</v>
      </c>
      <c r="AH8" s="2123">
        <f>ROUND(AVERAGE(L8:L$41)/100,4)</f>
        <v>1.18E-2</v>
      </c>
    </row>
    <row r="9" spans="1:34" s="2131" customFormat="1" ht="14.4" customHeight="1">
      <c r="A9" s="2126" t="s">
        <v>2796</v>
      </c>
      <c r="B9" s="2127">
        <f t="shared" ref="B9" si="46">B10*(1+N9)</f>
        <v>514.61052757524635</v>
      </c>
      <c r="C9" s="2127">
        <f t="shared" ref="C9" si="47">C10*(1+O9)</f>
        <v>354.10717795754653</v>
      </c>
      <c r="D9" s="2127">
        <f t="shared" ref="D9" si="48">C9</f>
        <v>354.10717795754653</v>
      </c>
      <c r="E9" s="2127">
        <f t="shared" ref="E9" si="49">E10*(1+P9)</f>
        <v>744.35781191052331</v>
      </c>
      <c r="F9" s="2127">
        <f t="shared" ref="F9" si="50">F10*(1+Q9)</f>
        <v>338.03284441166971</v>
      </c>
      <c r="G9" s="2124">
        <v>2022</v>
      </c>
      <c r="H9" s="2128">
        <v>1</v>
      </c>
      <c r="I9" s="2822">
        <v>0.89</v>
      </c>
      <c r="J9" s="2822">
        <v>0.44</v>
      </c>
      <c r="K9" s="2822">
        <v>0.96</v>
      </c>
      <c r="L9" s="2823">
        <v>0.64</v>
      </c>
      <c r="M9" s="2122"/>
      <c r="N9" s="2130">
        <f t="shared" ref="N9" si="51">I9/100</f>
        <v>8.8999999999999999E-3</v>
      </c>
      <c r="O9" s="2123">
        <f t="shared" ref="O9" si="52">J9/100</f>
        <v>4.4000000000000003E-3</v>
      </c>
      <c r="P9" s="2123">
        <f t="shared" ref="P9" si="53">K9/100</f>
        <v>9.5999999999999992E-3</v>
      </c>
      <c r="Q9" s="2123">
        <f t="shared" ref="Q9" si="54">L9/100</f>
        <v>6.4000000000000003E-3</v>
      </c>
      <c r="R9" s="2122"/>
      <c r="S9" s="2130">
        <f>B9/B10-1</f>
        <v>8.899999999999908E-3</v>
      </c>
      <c r="T9" s="2123">
        <f>C9/C10-1</f>
        <v>4.3999999999999595E-3</v>
      </c>
      <c r="U9" s="2123">
        <f>E9/E10-1</f>
        <v>9.6000000000000529E-3</v>
      </c>
      <c r="V9" s="2123">
        <f>F9/F10-1</f>
        <v>6.3999999999999613E-3</v>
      </c>
      <c r="W9" s="2122"/>
      <c r="X9" s="2122">
        <f>ROUND(SUMPRODUCT(PRODUCT(1+N9:N$40)),4)</f>
        <v>1.6733</v>
      </c>
      <c r="Y9" s="2122">
        <f>ROUND(SUMPRODUCT(PRODUCT(1+O9:O$40)),4)</f>
        <v>1.3736999999999999</v>
      </c>
      <c r="Z9" s="2122">
        <f t="shared" ref="Z9" si="55">Y9</f>
        <v>1.3736999999999999</v>
      </c>
      <c r="AA9" s="2122">
        <f>ROUND(SUMPRODUCT(PRODUCT(1+P9:P$40)),4)</f>
        <v>1.7601</v>
      </c>
      <c r="AB9" s="2122">
        <f>ROUND(SUMPRODUCT(PRODUCT(1+Q9:Q$40)),4)</f>
        <v>1.4702999999999999</v>
      </c>
      <c r="AC9" s="2122"/>
      <c r="AD9" s="2123">
        <f>ROUND(AVERAGE(I9:I$41)/100,4)</f>
        <v>1.67E-2</v>
      </c>
      <c r="AE9" s="2123">
        <f>ROUND(AVERAGE(J9:J$41)/100,4)</f>
        <v>1.04E-2</v>
      </c>
      <c r="AF9" s="2123">
        <f t="shared" ref="AF9" si="56">AE9</f>
        <v>1.04E-2</v>
      </c>
      <c r="AG9" s="2123">
        <f>ROUND(AVERAGE(K9:K$41)/100,4)</f>
        <v>1.84E-2</v>
      </c>
      <c r="AH9" s="2123">
        <f>ROUND(AVERAGE(L9:L$41)/100,4)</f>
        <v>1.2200000000000001E-2</v>
      </c>
    </row>
    <row r="10" spans="1:34" s="2131" customFormat="1" ht="14.4" customHeight="1">
      <c r="A10" s="2126" t="s">
        <v>2795</v>
      </c>
      <c r="B10" s="2127">
        <f t="shared" ref="B10" si="57">B11*(1+N10)</f>
        <v>510.07089659554606</v>
      </c>
      <c r="C10" s="2127">
        <f t="shared" ref="C10" si="58">C11*(1+O10)</f>
        <v>352.55593185737411</v>
      </c>
      <c r="D10" s="2127">
        <f t="shared" ref="D10" si="59">C10</f>
        <v>352.55593185737411</v>
      </c>
      <c r="E10" s="2127">
        <f t="shared" ref="E10" si="60">E11*(1+P10)</f>
        <v>737.27992463403655</v>
      </c>
      <c r="F10" s="2127">
        <f t="shared" ref="F10" si="61">F11*(1+Q10)</f>
        <v>335.88319198297864</v>
      </c>
      <c r="G10" s="2124">
        <v>2021</v>
      </c>
      <c r="H10" s="2128">
        <v>4</v>
      </c>
      <c r="I10" s="2822">
        <v>1.03</v>
      </c>
      <c r="J10" s="2822">
        <v>0.24</v>
      </c>
      <c r="K10" s="2822">
        <v>1.17</v>
      </c>
      <c r="L10" s="2823">
        <v>0.55000000000000004</v>
      </c>
      <c r="M10" s="2122"/>
      <c r="N10" s="2130">
        <f t="shared" ref="N10" si="62">I10/100</f>
        <v>1.03E-2</v>
      </c>
      <c r="O10" s="2123">
        <f t="shared" ref="O10" si="63">J10/100</f>
        <v>2.3999999999999998E-3</v>
      </c>
      <c r="P10" s="2123">
        <f t="shared" ref="P10" si="64">K10/100</f>
        <v>1.1699999999999999E-2</v>
      </c>
      <c r="Q10" s="2123">
        <f t="shared" ref="Q10" si="65">L10/100</f>
        <v>5.5000000000000005E-3</v>
      </c>
      <c r="R10" s="2122"/>
      <c r="S10" s="2130"/>
      <c r="T10" s="2123"/>
      <c r="U10" s="2123"/>
      <c r="V10" s="2123"/>
      <c r="W10" s="2122"/>
      <c r="X10" s="2122">
        <f>ROUND(SUMPRODUCT(PRODUCT(1+N10:N$40)),4)</f>
        <v>1.6585000000000001</v>
      </c>
      <c r="Y10" s="2122">
        <f>ROUND(SUMPRODUCT(PRODUCT(1+O10:O$40)),4)</f>
        <v>1.3676999999999999</v>
      </c>
      <c r="Z10" s="2122">
        <f t="shared" ref="Z10" si="66">Y10</f>
        <v>1.3676999999999999</v>
      </c>
      <c r="AA10" s="2122">
        <f>ROUND(SUMPRODUCT(PRODUCT(1+P10:P$40)),4)</f>
        <v>1.7434000000000001</v>
      </c>
      <c r="AB10" s="2122">
        <f>ROUND(SUMPRODUCT(PRODUCT(1+Q10:Q$40)),4)</f>
        <v>1.4609000000000001</v>
      </c>
      <c r="AC10" s="2122"/>
      <c r="AD10" s="2123">
        <f>ROUND(AVERAGE(I10:I$41)/100,4)</f>
        <v>1.6899999999999998E-2</v>
      </c>
      <c r="AE10" s="2123">
        <f>ROUND(AVERAGE(J10:J$41)/100,4)</f>
        <v>1.06E-2</v>
      </c>
      <c r="AF10" s="2123">
        <f t="shared" ref="AF10" si="67">AE10</f>
        <v>1.06E-2</v>
      </c>
      <c r="AG10" s="2123">
        <f>ROUND(AVERAGE(K10:K$41)/100,4)</f>
        <v>1.8700000000000001E-2</v>
      </c>
      <c r="AH10" s="2123">
        <f>ROUND(AVERAGE(L10:L$41)/100,4)</f>
        <v>1.24E-2</v>
      </c>
    </row>
    <row r="11" spans="1:34" s="2131" customFormat="1" ht="14.4" customHeight="1">
      <c r="A11" s="2126" t="s">
        <v>2649</v>
      </c>
      <c r="B11" s="2127">
        <f t="shared" ref="B11" si="68">B12*(1+N11)</f>
        <v>504.87072809615569</v>
      </c>
      <c r="C11" s="2127">
        <f t="shared" ref="C11" si="69">C12*(1+O11)</f>
        <v>351.71182348101968</v>
      </c>
      <c r="D11" s="2127">
        <f t="shared" ref="D11" si="70">C11</f>
        <v>351.71182348101968</v>
      </c>
      <c r="E11" s="2127">
        <f t="shared" ref="E11" si="71">E12*(1+P11)</f>
        <v>728.75350858360832</v>
      </c>
      <c r="F11" s="2127">
        <f t="shared" ref="F11" si="72">F12*(1+Q11)</f>
        <v>334.04593931673656</v>
      </c>
      <c r="G11" s="2124">
        <v>2021</v>
      </c>
      <c r="H11" s="2128">
        <v>3</v>
      </c>
      <c r="I11" s="2822">
        <v>0.47</v>
      </c>
      <c r="J11" s="2822">
        <v>0.41</v>
      </c>
      <c r="K11" s="2822">
        <v>0.48</v>
      </c>
      <c r="L11" s="2823">
        <v>0.48</v>
      </c>
      <c r="M11" s="2122"/>
      <c r="N11" s="2130">
        <f t="shared" ref="N11" si="73">I11/100</f>
        <v>4.6999999999999993E-3</v>
      </c>
      <c r="O11" s="2123">
        <f t="shared" ref="O11" si="74">J11/100</f>
        <v>4.0999999999999995E-3</v>
      </c>
      <c r="P11" s="2123">
        <f t="shared" ref="P11" si="75">K11/100</f>
        <v>4.7999999999999996E-3</v>
      </c>
      <c r="Q11" s="2123">
        <f t="shared" ref="Q11" si="76">L11/100</f>
        <v>4.7999999999999996E-3</v>
      </c>
      <c r="R11" s="2122"/>
      <c r="S11" s="2130"/>
      <c r="T11" s="2123"/>
      <c r="U11" s="2123"/>
      <c r="V11" s="2123"/>
      <c r="W11" s="2122"/>
      <c r="X11" s="2122">
        <f>ROUND(SUMPRODUCT(PRODUCT(1+N11:N$40)),4)</f>
        <v>1.6415999999999999</v>
      </c>
      <c r="Y11" s="2122">
        <f>ROUND(SUMPRODUCT(PRODUCT(1+O11:O$40)),4)</f>
        <v>1.3644000000000001</v>
      </c>
      <c r="Z11" s="2122">
        <f t="shared" ref="Z11" si="77">Y11</f>
        <v>1.3644000000000001</v>
      </c>
      <c r="AA11" s="2122">
        <f>ROUND(SUMPRODUCT(PRODUCT(1+P11:P$40)),4)</f>
        <v>1.7232000000000001</v>
      </c>
      <c r="AB11" s="2122">
        <f>ROUND(SUMPRODUCT(PRODUCT(1+Q11:Q$40)),4)</f>
        <v>1.4529000000000001</v>
      </c>
      <c r="AC11" s="2122"/>
      <c r="AD11" s="2123">
        <f>ROUND(AVERAGE(I11:I$41)/100,4)</f>
        <v>1.72E-2</v>
      </c>
      <c r="AE11" s="2123">
        <f>ROUND(AVERAGE(J11:J$41)/100,4)</f>
        <v>1.09E-2</v>
      </c>
      <c r="AF11" s="2123">
        <f t="shared" ref="AF11" si="78">AE11</f>
        <v>1.09E-2</v>
      </c>
      <c r="AG11" s="2123">
        <f>ROUND(AVERAGE(K11:K$41)/100,4)</f>
        <v>1.89E-2</v>
      </c>
      <c r="AH11" s="2123">
        <f>ROUND(AVERAGE(L11:L$41)/100,4)</f>
        <v>1.26E-2</v>
      </c>
    </row>
    <row r="12" spans="1:34" s="2131" customFormat="1" ht="14.4" customHeight="1">
      <c r="A12" s="2126" t="s">
        <v>2648</v>
      </c>
      <c r="B12" s="2127">
        <f t="shared" ref="B12" si="79">B13*(1+N12)</f>
        <v>502.50893609650217</v>
      </c>
      <c r="C12" s="2127">
        <f t="shared" ref="C12" si="80">C13*(1+O12)</f>
        <v>350.27569313914915</v>
      </c>
      <c r="D12" s="2127">
        <f t="shared" ref="D12" si="81">C12</f>
        <v>350.27569313914915</v>
      </c>
      <c r="E12" s="2127">
        <f t="shared" ref="E12" si="82">E13*(1+P12)</f>
        <v>725.27220201394141</v>
      </c>
      <c r="F12" s="2127">
        <f t="shared" ref="F12" si="83">F13*(1+Q12)</f>
        <v>332.45017846012797</v>
      </c>
      <c r="G12" s="2124">
        <v>2021</v>
      </c>
      <c r="H12" s="2128">
        <v>2</v>
      </c>
      <c r="I12" s="2822">
        <v>0.92</v>
      </c>
      <c r="J12" s="2822">
        <v>0.72</v>
      </c>
      <c r="K12" s="2822">
        <v>0.95</v>
      </c>
      <c r="L12" s="2823">
        <v>1.01</v>
      </c>
      <c r="M12" s="2122"/>
      <c r="N12" s="2130">
        <f t="shared" ref="N12" si="84">I12/100</f>
        <v>9.1999999999999998E-3</v>
      </c>
      <c r="O12" s="2123">
        <f t="shared" ref="O12" si="85">J12/100</f>
        <v>7.1999999999999998E-3</v>
      </c>
      <c r="P12" s="2123">
        <f t="shared" ref="P12" si="86">K12/100</f>
        <v>9.4999999999999998E-3</v>
      </c>
      <c r="Q12" s="2123">
        <f t="shared" ref="Q12" si="87">L12/100</f>
        <v>1.01E-2</v>
      </c>
      <c r="R12" s="2122"/>
      <c r="S12" s="2130"/>
      <c r="T12" s="2123"/>
      <c r="U12" s="2123"/>
      <c r="V12" s="2123"/>
      <c r="W12" s="2122"/>
      <c r="X12" s="2122">
        <f>ROUND(SUMPRODUCT(PRODUCT(1+N12:N$40)),4)</f>
        <v>1.6338999999999999</v>
      </c>
      <c r="Y12" s="2122">
        <f>ROUND(SUMPRODUCT(PRODUCT(1+O12:O$40)),4)</f>
        <v>1.3588</v>
      </c>
      <c r="Z12" s="2122">
        <f t="shared" ref="Z12" si="88">Y12</f>
        <v>1.3588</v>
      </c>
      <c r="AA12" s="2122">
        <f>ROUND(SUMPRODUCT(PRODUCT(1+P12:P$40)),4)</f>
        <v>1.7150000000000001</v>
      </c>
      <c r="AB12" s="2122">
        <f>ROUND(SUMPRODUCT(PRODUCT(1+Q12:Q$40)),4)</f>
        <v>1.446</v>
      </c>
      <c r="AC12" s="2122"/>
      <c r="AD12" s="2123">
        <f>ROUND(AVERAGE(I12:I$41)/100,4)</f>
        <v>1.7600000000000001E-2</v>
      </c>
      <c r="AE12" s="2123">
        <f>ROUND(AVERAGE(J12:J$41)/100,4)</f>
        <v>1.11E-2</v>
      </c>
      <c r="AF12" s="2123">
        <f t="shared" ref="AF12" si="89">AE12</f>
        <v>1.11E-2</v>
      </c>
      <c r="AG12" s="2123">
        <f>ROUND(AVERAGE(K12:K$41)/100,4)</f>
        <v>1.9400000000000001E-2</v>
      </c>
      <c r="AH12" s="2123">
        <f>ROUND(AVERAGE(L12:L$41)/100,4)</f>
        <v>1.2800000000000001E-2</v>
      </c>
    </row>
    <row r="13" spans="1:34" s="2131" customFormat="1" ht="14.4" customHeight="1">
      <c r="A13" s="2126" t="s">
        <v>2647</v>
      </c>
      <c r="B13" s="2127">
        <f t="shared" ref="B13" si="90">B14*(1+N13)</f>
        <v>497.92799851020823</v>
      </c>
      <c r="C13" s="2127">
        <f t="shared" ref="C13" si="91">C14*(1+O13)</f>
        <v>347.77173663537445</v>
      </c>
      <c r="D13" s="2127">
        <f t="shared" ref="D13" si="92">C13</f>
        <v>347.77173663537445</v>
      </c>
      <c r="E13" s="2127">
        <f t="shared" ref="E13" si="93">E14*(1+P13)</f>
        <v>718.44695593258189</v>
      </c>
      <c r="F13" s="2127">
        <f t="shared" ref="F13" si="94">F14*(1+Q13)</f>
        <v>329.12600580153247</v>
      </c>
      <c r="G13" s="2124">
        <v>2021</v>
      </c>
      <c r="H13" s="2128">
        <v>1</v>
      </c>
      <c r="I13" s="2822">
        <v>0.97</v>
      </c>
      <c r="J13" s="2822">
        <v>0.16</v>
      </c>
      <c r="K13" s="2822">
        <v>1.1100000000000001</v>
      </c>
      <c r="L13" s="2823">
        <v>0.36</v>
      </c>
      <c r="M13" s="2122"/>
      <c r="N13" s="2130">
        <f t="shared" ref="N13" si="95">I13/100</f>
        <v>9.7000000000000003E-3</v>
      </c>
      <c r="O13" s="2123">
        <f t="shared" ref="O13" si="96">J13/100</f>
        <v>1.6000000000000001E-3</v>
      </c>
      <c r="P13" s="2123">
        <f t="shared" ref="P13" si="97">K13/100</f>
        <v>1.11E-2</v>
      </c>
      <c r="Q13" s="2123">
        <f t="shared" ref="Q13" si="98">L13/100</f>
        <v>3.5999999999999999E-3</v>
      </c>
      <c r="R13" s="2122"/>
      <c r="S13" s="2130">
        <f>B13/B14-1</f>
        <v>9.7000000000000419E-3</v>
      </c>
      <c r="T13" s="2123">
        <f>C13/C14-1</f>
        <v>1.6000000000000458E-3</v>
      </c>
      <c r="U13" s="2123">
        <f>E13/E14-1</f>
        <v>1.110000000000011E-2</v>
      </c>
      <c r="V13" s="2123">
        <f>F13/F14-1</f>
        <v>3.6000000000000476E-3</v>
      </c>
      <c r="W13" s="2122"/>
      <c r="X13" s="2122">
        <f>ROUND(SUMPRODUCT(PRODUCT(1+N13:N$40)),4)</f>
        <v>1.619</v>
      </c>
      <c r="Y13" s="2122">
        <f>ROUND(SUMPRODUCT(PRODUCT(1+O13:O$40)),4)</f>
        <v>1.3491</v>
      </c>
      <c r="Z13" s="2122">
        <f t="shared" ref="Z13" si="99">Y13</f>
        <v>1.3491</v>
      </c>
      <c r="AA13" s="2122">
        <f>ROUND(SUMPRODUCT(PRODUCT(1+P13:P$40)),4)</f>
        <v>1.6988000000000001</v>
      </c>
      <c r="AB13" s="2122">
        <f>ROUND(SUMPRODUCT(PRODUCT(1+Q13:Q$40)),4)</f>
        <v>1.4315</v>
      </c>
      <c r="AC13" s="2122"/>
      <c r="AD13" s="2123">
        <f>ROUND(AVERAGE(I13:I$41)/100,4)</f>
        <v>1.7899999999999999E-2</v>
      </c>
      <c r="AE13" s="2123">
        <f>ROUND(AVERAGE(J13:J$41)/100,4)</f>
        <v>1.12E-2</v>
      </c>
      <c r="AF13" s="2123">
        <f t="shared" ref="AF13" si="100">AE13</f>
        <v>1.12E-2</v>
      </c>
      <c r="AG13" s="2123">
        <f>ROUND(AVERAGE(K13:K$41)/100,4)</f>
        <v>1.9699999999999999E-2</v>
      </c>
      <c r="AH13" s="2123">
        <f>ROUND(AVERAGE(L13:L$41)/100,4)</f>
        <v>1.29E-2</v>
      </c>
    </row>
    <row r="14" spans="1:34" s="2131" customFormat="1" ht="14.4" customHeight="1">
      <c r="A14" s="2126" t="s">
        <v>2641</v>
      </c>
      <c r="B14" s="2127">
        <f t="shared" ref="B14" si="101">B15*(1+N14)</f>
        <v>493.14449689037161</v>
      </c>
      <c r="C14" s="2127">
        <f t="shared" ref="C14" si="102">C15*(1+O14)</f>
        <v>347.21619073020611</v>
      </c>
      <c r="D14" s="2127">
        <f t="shared" ref="D14" si="103">C14</f>
        <v>347.21619073020611</v>
      </c>
      <c r="E14" s="2127">
        <f t="shared" ref="E14" si="104">E15*(1+P14)</f>
        <v>710.55974278763904</v>
      </c>
      <c r="F14" s="2127">
        <f t="shared" ref="F14" si="105">F15*(1+Q14)</f>
        <v>327.94540235306141</v>
      </c>
      <c r="G14" s="2124">
        <v>2020</v>
      </c>
      <c r="H14" s="2128">
        <v>4</v>
      </c>
      <c r="I14" s="2128">
        <v>2.0699999999999998</v>
      </c>
      <c r="J14" s="2128">
        <v>0.37</v>
      </c>
      <c r="K14" s="2128">
        <v>2.35</v>
      </c>
      <c r="L14" s="2129">
        <v>2.69</v>
      </c>
      <c r="M14" s="2122"/>
      <c r="N14" s="2130">
        <f t="shared" ref="N14" si="106">I14/100</f>
        <v>2.07E-2</v>
      </c>
      <c r="O14" s="2123">
        <f t="shared" ref="O14" si="107">J14/100</f>
        <v>3.7000000000000002E-3</v>
      </c>
      <c r="P14" s="2123">
        <f t="shared" ref="P14" si="108">K14/100</f>
        <v>2.35E-2</v>
      </c>
      <c r="Q14" s="2123">
        <f t="shared" ref="Q14" si="109">L14/100</f>
        <v>2.69E-2</v>
      </c>
      <c r="R14" s="2122"/>
      <c r="S14" s="2130"/>
      <c r="T14" s="2123"/>
      <c r="U14" s="2123"/>
      <c r="V14" s="2123"/>
      <c r="W14" s="2122"/>
      <c r="X14" s="2122">
        <f>ROUND(SUMPRODUCT(PRODUCT(1+N14:N$40)),4)</f>
        <v>1.6034999999999999</v>
      </c>
      <c r="Y14" s="2122">
        <f>ROUND(SUMPRODUCT(PRODUCT(1+O14:O$40)),4)</f>
        <v>1.3469</v>
      </c>
      <c r="Z14" s="2122">
        <f t="shared" ref="Z14" si="110">Y14</f>
        <v>1.3469</v>
      </c>
      <c r="AA14" s="2122">
        <f>ROUND(SUMPRODUCT(PRODUCT(1+P14:P$40)),4)</f>
        <v>1.6801999999999999</v>
      </c>
      <c r="AB14" s="2122">
        <f>ROUND(SUMPRODUCT(PRODUCT(1+Q14:Q$40)),4)</f>
        <v>1.4263999999999999</v>
      </c>
      <c r="AC14" s="2122"/>
      <c r="AD14" s="2123">
        <f>ROUND(AVERAGE(I14:I$41)/100,4)</f>
        <v>1.8200000000000001E-2</v>
      </c>
      <c r="AE14" s="2123">
        <f>ROUND(AVERAGE(J14:J$41)/100,4)</f>
        <v>1.1599999999999999E-2</v>
      </c>
      <c r="AF14" s="2123">
        <f t="shared" ref="AF14" si="111">AE14</f>
        <v>1.1599999999999999E-2</v>
      </c>
      <c r="AG14" s="2123">
        <f>ROUND(AVERAGE(K14:K$41)/100,4)</f>
        <v>0.02</v>
      </c>
      <c r="AH14" s="2123">
        <f>ROUND(AVERAGE(L14:L$41)/100,4)</f>
        <v>1.3299999999999999E-2</v>
      </c>
    </row>
    <row r="15" spans="1:34" s="2131" customFormat="1" ht="14.4" customHeight="1">
      <c r="A15" s="2126" t="s">
        <v>2640</v>
      </c>
      <c r="B15" s="2127">
        <f t="shared" ref="B15" si="112">B16*(1+N15)</f>
        <v>483.1434279321756</v>
      </c>
      <c r="C15" s="2127">
        <f t="shared" ref="C15" si="113">C16*(1+O15)</f>
        <v>345.93622669144776</v>
      </c>
      <c r="D15" s="2127">
        <f t="shared" ref="D15" si="114">C15</f>
        <v>345.93622669144776</v>
      </c>
      <c r="E15" s="2127">
        <f t="shared" ref="E15" si="115">E16*(1+P15)</f>
        <v>694.24498562544113</v>
      </c>
      <c r="F15" s="2127">
        <f t="shared" ref="F15" si="116">F16*(1+Q15)</f>
        <v>319.35475932716082</v>
      </c>
      <c r="G15" s="2124">
        <v>2020</v>
      </c>
      <c r="H15" s="2128">
        <v>3</v>
      </c>
      <c r="I15" s="2128">
        <v>0.36</v>
      </c>
      <c r="J15" s="2128">
        <v>-0.39</v>
      </c>
      <c r="K15" s="2128">
        <v>0.49</v>
      </c>
      <c r="L15" s="2129">
        <v>7.0000000000000007E-2</v>
      </c>
      <c r="M15" s="2122"/>
      <c r="N15" s="2130">
        <f t="shared" ref="N15" si="117">I15/100</f>
        <v>3.5999999999999999E-3</v>
      </c>
      <c r="O15" s="2123">
        <f t="shared" ref="O15" si="118">J15/100</f>
        <v>-3.9000000000000003E-3</v>
      </c>
      <c r="P15" s="2123">
        <f t="shared" ref="P15" si="119">K15/100</f>
        <v>4.8999999999999998E-3</v>
      </c>
      <c r="Q15" s="2123">
        <f t="shared" ref="Q15" si="120">L15/100</f>
        <v>7.000000000000001E-4</v>
      </c>
      <c r="R15" s="2122"/>
      <c r="S15" s="2130"/>
      <c r="T15" s="2123"/>
      <c r="U15" s="2123"/>
      <c r="V15" s="2123"/>
      <c r="W15" s="2122"/>
      <c r="X15" s="2122">
        <f>ROUND(SUMPRODUCT(PRODUCT(1+N15:N$40)),4)</f>
        <v>1.571</v>
      </c>
      <c r="Y15" s="2122">
        <f>ROUND(SUMPRODUCT(PRODUCT(1+O15:O$40)),4)</f>
        <v>1.3420000000000001</v>
      </c>
      <c r="Z15" s="2122">
        <f t="shared" ref="Z15" si="121">Y15</f>
        <v>1.3420000000000001</v>
      </c>
      <c r="AA15" s="2122">
        <f>ROUND(SUMPRODUCT(PRODUCT(1+P15:P$40)),4)</f>
        <v>1.6415999999999999</v>
      </c>
      <c r="AB15" s="2122">
        <f>ROUND(SUMPRODUCT(PRODUCT(1+Q15:Q$40)),4)</f>
        <v>1.389</v>
      </c>
      <c r="AC15" s="2122"/>
      <c r="AD15" s="2123">
        <f>ROUND(AVERAGE(I15:I$41)/100,4)</f>
        <v>1.8100000000000002E-2</v>
      </c>
      <c r="AE15" s="2123">
        <f>ROUND(AVERAGE(J15:J$41)/100,4)</f>
        <v>1.1900000000000001E-2</v>
      </c>
      <c r="AF15" s="2123">
        <f t="shared" ref="AF15" si="122">AE15</f>
        <v>1.1900000000000001E-2</v>
      </c>
      <c r="AG15" s="2123">
        <f>ROUND(AVERAGE(K15:K$41)/100,4)</f>
        <v>1.9900000000000001E-2</v>
      </c>
      <c r="AH15" s="2123">
        <f>ROUND(AVERAGE(L15:L$41)/100,4)</f>
        <v>1.2800000000000001E-2</v>
      </c>
    </row>
    <row r="16" spans="1:34" s="2131" customFormat="1" ht="14.4" customHeight="1">
      <c r="A16" s="2126" t="s">
        <v>2495</v>
      </c>
      <c r="B16" s="2127">
        <f t="shared" ref="B16" si="123">B17*(1+N16)</f>
        <v>481.4103506697644</v>
      </c>
      <c r="C16" s="2127">
        <f t="shared" ref="C16" si="124">C17*(1+O16)</f>
        <v>347.29066026648707</v>
      </c>
      <c r="D16" s="2127">
        <f t="shared" ref="D16" si="125">C16</f>
        <v>347.29066026648707</v>
      </c>
      <c r="E16" s="2127">
        <f t="shared" ref="E16" si="126">E17*(1+P16)</f>
        <v>690.85977273901995</v>
      </c>
      <c r="F16" s="2127">
        <f t="shared" ref="F16" si="127">F17*(1+Q16)</f>
        <v>319.13136737000184</v>
      </c>
      <c r="G16" s="2124">
        <v>2020</v>
      </c>
      <c r="H16" s="2128">
        <v>2</v>
      </c>
      <c r="I16" s="2128">
        <v>0.31</v>
      </c>
      <c r="J16" s="2128">
        <v>-0.78</v>
      </c>
      <c r="K16" s="2128">
        <v>0.5</v>
      </c>
      <c r="L16" s="2129">
        <v>0.47</v>
      </c>
      <c r="M16" s="2122"/>
      <c r="N16" s="2130">
        <f t="shared" ref="N16" si="128">I16/100</f>
        <v>3.0999999999999999E-3</v>
      </c>
      <c r="O16" s="2123">
        <f t="shared" ref="O16" si="129">J16/100</f>
        <v>-7.8000000000000005E-3</v>
      </c>
      <c r="P16" s="2123">
        <f t="shared" ref="P16" si="130">K16/100</f>
        <v>5.0000000000000001E-3</v>
      </c>
      <c r="Q16" s="2123">
        <f t="shared" ref="Q16" si="131">L16/100</f>
        <v>4.6999999999999993E-3</v>
      </c>
      <c r="R16" s="2122"/>
      <c r="S16" s="2130"/>
      <c r="T16" s="2123"/>
      <c r="U16" s="2123"/>
      <c r="V16" s="2123"/>
      <c r="W16" s="2122"/>
      <c r="X16" s="2122">
        <f>ROUND(SUMPRODUCT(PRODUCT(1+N16:N$40)),4)</f>
        <v>1.5652999999999999</v>
      </c>
      <c r="Y16" s="2122">
        <f>ROUND(SUMPRODUCT(PRODUCT(1+O16:O$40)),4)</f>
        <v>1.3472</v>
      </c>
      <c r="Z16" s="2122">
        <f t="shared" ref="Z16" si="132">Y16</f>
        <v>1.3472</v>
      </c>
      <c r="AA16" s="2122">
        <f>ROUND(SUMPRODUCT(PRODUCT(1+P16:P$40)),4)</f>
        <v>1.6335999999999999</v>
      </c>
      <c r="AB16" s="2122">
        <f>ROUND(SUMPRODUCT(PRODUCT(1+Q16:Q$40)),4)</f>
        <v>1.3880999999999999</v>
      </c>
      <c r="AC16" s="2122"/>
      <c r="AD16" s="2123">
        <f>ROUND(AVERAGE(I16:I$41)/100,4)</f>
        <v>1.8599999999999998E-2</v>
      </c>
      <c r="AE16" s="2123">
        <f>ROUND(AVERAGE(J16:J$41)/100,4)</f>
        <v>1.2500000000000001E-2</v>
      </c>
      <c r="AF16" s="2123">
        <f t="shared" ref="AF16" si="133">AE16</f>
        <v>1.2500000000000001E-2</v>
      </c>
      <c r="AG16" s="2123">
        <f>ROUND(AVERAGE(K16:K$41)/100,4)</f>
        <v>2.0400000000000001E-2</v>
      </c>
      <c r="AH16" s="2123">
        <f>ROUND(AVERAGE(L16:L$41)/100,4)</f>
        <v>1.32E-2</v>
      </c>
    </row>
    <row r="17" spans="1:34" s="2131" customFormat="1" ht="14.4" customHeight="1">
      <c r="A17" s="2126" t="s">
        <v>2492</v>
      </c>
      <c r="B17" s="2127">
        <f t="shared" ref="B17" si="134">B18*(1+N17)</f>
        <v>479.92259063878413</v>
      </c>
      <c r="C17" s="2127">
        <f t="shared" ref="C17" si="135">C18*(1+O17)</f>
        <v>350.02082268341775</v>
      </c>
      <c r="D17" s="2127">
        <f t="shared" ref="D17" si="136">C17</f>
        <v>350.02082268341775</v>
      </c>
      <c r="E17" s="2127">
        <f t="shared" ref="E17" si="137">E18*(1+P17)</f>
        <v>687.42265944181099</v>
      </c>
      <c r="F17" s="2127">
        <f t="shared" ref="F17" si="138">F18*(1+Q17)</f>
        <v>317.63846657708956</v>
      </c>
      <c r="G17" s="2124">
        <v>2020</v>
      </c>
      <c r="H17" s="2128">
        <v>1</v>
      </c>
      <c r="I17" s="2128">
        <v>0.12</v>
      </c>
      <c r="J17" s="2128">
        <v>-0.4</v>
      </c>
      <c r="K17" s="2128">
        <v>0.21</v>
      </c>
      <c r="L17" s="2129">
        <v>0.27</v>
      </c>
      <c r="M17" s="2122"/>
      <c r="N17" s="2130">
        <f t="shared" ref="N17" si="139">I17/100</f>
        <v>1.1999999999999999E-3</v>
      </c>
      <c r="O17" s="2123">
        <f t="shared" ref="O17" si="140">J17/100</f>
        <v>-4.0000000000000001E-3</v>
      </c>
      <c r="P17" s="2123">
        <f t="shared" ref="P17" si="141">K17/100</f>
        <v>2.0999999999999999E-3</v>
      </c>
      <c r="Q17" s="2123">
        <f t="shared" ref="Q17" si="142">L17/100</f>
        <v>2.7000000000000001E-3</v>
      </c>
      <c r="R17" s="2122"/>
      <c r="S17" s="2130">
        <f>B17/B18-1</f>
        <v>1.2000000000000899E-3</v>
      </c>
      <c r="T17" s="2123">
        <f>C17/C18-1</f>
        <v>-4.0000000000000036E-3</v>
      </c>
      <c r="U17" s="2123">
        <f>E17/E18-1</f>
        <v>2.0999999999999908E-3</v>
      </c>
      <c r="V17" s="2123">
        <f>F17/F18-1</f>
        <v>2.6999999999999247E-3</v>
      </c>
      <c r="W17" s="2122"/>
      <c r="X17" s="2122">
        <f>ROUND(SUMPRODUCT(PRODUCT(1+N17:N$40)),4)</f>
        <v>1.5605</v>
      </c>
      <c r="Y17" s="2122">
        <f>ROUND(SUMPRODUCT(PRODUCT(1+O17:O$40)),4)</f>
        <v>1.3577999999999999</v>
      </c>
      <c r="Z17" s="2122">
        <f t="shared" ref="Z17" si="143">Y17</f>
        <v>1.3577999999999999</v>
      </c>
      <c r="AA17" s="2122">
        <f>ROUND(SUMPRODUCT(PRODUCT(1+P17:P$40)),4)</f>
        <v>1.6254999999999999</v>
      </c>
      <c r="AB17" s="2122">
        <f>ROUND(SUMPRODUCT(PRODUCT(1+Q17:Q$40)),4)</f>
        <v>1.3815999999999999</v>
      </c>
      <c r="AC17" s="2122"/>
      <c r="AD17" s="2123">
        <f>ROUND(AVERAGE(I17:I$41)/100,4)</f>
        <v>1.9199999999999998E-2</v>
      </c>
      <c r="AE17" s="2123">
        <f>ROUND(AVERAGE(J17:J$41)/100,4)</f>
        <v>1.3299999999999999E-2</v>
      </c>
      <c r="AF17" s="2123">
        <f t="shared" ref="AF17" si="144">AE17</f>
        <v>1.3299999999999999E-2</v>
      </c>
      <c r="AG17" s="2123">
        <f>ROUND(AVERAGE(K17:K$41)/100,4)</f>
        <v>2.1100000000000001E-2</v>
      </c>
      <c r="AH17" s="2123">
        <f>ROUND(AVERAGE(L17:L$41)/100,4)</f>
        <v>1.3599999999999999E-2</v>
      </c>
    </row>
    <row r="18" spans="1:34" s="2131" customFormat="1" ht="14.4" customHeight="1">
      <c r="A18" s="2126" t="s">
        <v>2490</v>
      </c>
      <c r="B18" s="2127">
        <f t="shared" ref="B18:B23" si="145">B19*(1+N18)</f>
        <v>479.34737379023579</v>
      </c>
      <c r="C18" s="2127">
        <f t="shared" ref="C18" si="146">C19*(1+O18)</f>
        <v>351.4265287986122</v>
      </c>
      <c r="D18" s="2127">
        <f t="shared" ref="D18" si="147">C18</f>
        <v>351.4265287986122</v>
      </c>
      <c r="E18" s="2127">
        <f t="shared" ref="E18" si="148">E19*(1+P18)</f>
        <v>685.98209703803116</v>
      </c>
      <c r="F18" s="2127">
        <f t="shared" ref="F18" si="149">F19*(1+Q18)</f>
        <v>316.78315206651001</v>
      </c>
      <c r="G18" s="2124">
        <v>2019</v>
      </c>
      <c r="H18" s="2128">
        <v>4</v>
      </c>
      <c r="I18" s="2128">
        <v>0.45</v>
      </c>
      <c r="J18" s="2128">
        <v>-0.12</v>
      </c>
      <c r="K18" s="2128">
        <v>0.54</v>
      </c>
      <c r="L18" s="2129">
        <v>0.48</v>
      </c>
      <c r="M18" s="2122"/>
      <c r="N18" s="2130">
        <f t="shared" ref="N18:N23" si="150">I18/100</f>
        <v>4.5000000000000005E-3</v>
      </c>
      <c r="O18" s="2123">
        <f t="shared" ref="O18" si="151">J18/100</f>
        <v>-1.1999999999999999E-3</v>
      </c>
      <c r="P18" s="2123">
        <f t="shared" ref="P18" si="152">K18/100</f>
        <v>5.4000000000000003E-3</v>
      </c>
      <c r="Q18" s="2123">
        <f t="shared" ref="Q18" si="153">L18/100</f>
        <v>4.7999999999999996E-3</v>
      </c>
      <c r="R18" s="2122"/>
      <c r="S18" s="2130"/>
      <c r="T18" s="2123"/>
      <c r="U18" s="2123"/>
      <c r="V18" s="2123"/>
      <c r="W18" s="2122"/>
      <c r="X18" s="2122">
        <f>ROUND(SUMPRODUCT(PRODUCT(1+N18:N$40)),4)</f>
        <v>1.5586</v>
      </c>
      <c r="Y18" s="2122">
        <f>ROUND(SUMPRODUCT(PRODUCT(1+O18:O$40)),4)</f>
        <v>1.3633</v>
      </c>
      <c r="Z18" s="2122">
        <f t="shared" ref="Z18" si="154">Y18</f>
        <v>1.3633</v>
      </c>
      <c r="AA18" s="2122">
        <f>ROUND(SUMPRODUCT(PRODUCT(1+P18:P$40)),4)</f>
        <v>1.6221000000000001</v>
      </c>
      <c r="AB18" s="2122">
        <f>ROUND(SUMPRODUCT(PRODUCT(1+Q18:Q$40)),4)</f>
        <v>1.3777999999999999</v>
      </c>
      <c r="AC18" s="2122"/>
      <c r="AD18" s="2123">
        <f>ROUND(AVERAGE(I18:I$41)/100,4)</f>
        <v>0.02</v>
      </c>
      <c r="AE18" s="2123">
        <f>ROUND(AVERAGE(J18:J$41)/100,4)</f>
        <v>1.4E-2</v>
      </c>
      <c r="AF18" s="2123">
        <f t="shared" ref="AF18" si="155">AE18</f>
        <v>1.4E-2</v>
      </c>
      <c r="AG18" s="2123">
        <f>ROUND(AVERAGE(K18:K$41)/100,4)</f>
        <v>2.1899999999999999E-2</v>
      </c>
      <c r="AH18" s="2123">
        <f>ROUND(AVERAGE(L18:L$41)/100,4)</f>
        <v>1.4E-2</v>
      </c>
    </row>
    <row r="19" spans="1:34" s="2131" customFormat="1" ht="14.4" customHeight="1" thickBot="1">
      <c r="A19" s="2126" t="s">
        <v>2488</v>
      </c>
      <c r="B19" s="2127">
        <f t="shared" si="145"/>
        <v>477.19997390765138</v>
      </c>
      <c r="C19" s="2127">
        <f t="shared" ref="C19" si="156">C20*(1+O19)</f>
        <v>351.84874729536665</v>
      </c>
      <c r="D19" s="2127">
        <f t="shared" ref="D19" si="157">C19</f>
        <v>351.84874729536665</v>
      </c>
      <c r="E19" s="2127">
        <f t="shared" ref="E19" si="158">E20*(1+P19)</f>
        <v>682.29768951465201</v>
      </c>
      <c r="F19" s="2127">
        <f t="shared" ref="F19" si="159">F20*(1+Q19)</f>
        <v>315.26985675409043</v>
      </c>
      <c r="G19" s="2124">
        <v>2019</v>
      </c>
      <c r="H19" s="2128">
        <v>3</v>
      </c>
      <c r="I19" s="2128">
        <v>0.61</v>
      </c>
      <c r="J19" s="2128">
        <v>0.67</v>
      </c>
      <c r="K19" s="2128">
        <v>0.6</v>
      </c>
      <c r="L19" s="2129">
        <v>1.03</v>
      </c>
      <c r="M19" s="2122"/>
      <c r="N19" s="2130">
        <f t="shared" si="150"/>
        <v>6.0999999999999995E-3</v>
      </c>
      <c r="O19" s="2123">
        <f t="shared" ref="O19" si="160">J19/100</f>
        <v>6.7000000000000002E-3</v>
      </c>
      <c r="P19" s="2123">
        <f t="shared" ref="P19" si="161">K19/100</f>
        <v>6.0000000000000001E-3</v>
      </c>
      <c r="Q19" s="2123">
        <f t="shared" ref="Q19" si="162">L19/100</f>
        <v>1.03E-2</v>
      </c>
      <c r="R19" s="2122"/>
      <c r="S19" s="2130"/>
      <c r="T19" s="2123"/>
      <c r="U19" s="2123"/>
      <c r="V19" s="2123"/>
      <c r="W19" s="2122"/>
      <c r="X19" s="2122">
        <f>ROUND(SUMPRODUCT(PRODUCT(1+N19:N$40)),4)</f>
        <v>1.5516000000000001</v>
      </c>
      <c r="Y19" s="2122">
        <f>ROUND(SUMPRODUCT(PRODUCT(1+O19:O$40)),4)</f>
        <v>1.3649</v>
      </c>
      <c r="Z19" s="2122">
        <f t="shared" ref="Z19" si="163">Y19</f>
        <v>1.3649</v>
      </c>
      <c r="AA19" s="2122">
        <f>ROUND(SUMPRODUCT(PRODUCT(1+P19:P$40)),4)</f>
        <v>1.6133999999999999</v>
      </c>
      <c r="AB19" s="2122">
        <f>ROUND(SUMPRODUCT(PRODUCT(1+Q19:Q$40)),4)</f>
        <v>1.3713</v>
      </c>
      <c r="AC19" s="2122"/>
      <c r="AD19" s="2123">
        <f>ROUND(AVERAGE(I19:I$41)/100,4)</f>
        <v>2.07E-2</v>
      </c>
      <c r="AE19" s="2123">
        <f>ROUND(AVERAGE(J19:J$41)/100,4)</f>
        <v>1.47E-2</v>
      </c>
      <c r="AF19" s="2123">
        <f t="shared" ref="AF19" si="164">AE19</f>
        <v>1.47E-2</v>
      </c>
      <c r="AG19" s="2123">
        <f>ROUND(AVERAGE(K19:K$41)/100,4)</f>
        <v>2.2599999999999999E-2</v>
      </c>
      <c r="AH19" s="2123">
        <f>ROUND(AVERAGE(L19:L$41)/100,4)</f>
        <v>1.44E-2</v>
      </c>
    </row>
    <row r="20" spans="1:34" s="2131" customFormat="1" ht="14.4" customHeight="1">
      <c r="A20" s="2126" t="s">
        <v>2482</v>
      </c>
      <c r="B20" s="2127">
        <f t="shared" si="145"/>
        <v>474.30670301923408</v>
      </c>
      <c r="C20" s="2127">
        <f t="shared" ref="C20" si="165">C21*(1+O20)</f>
        <v>349.50705005996491</v>
      </c>
      <c r="D20" s="2127">
        <f t="shared" ref="D20" si="166">C20</f>
        <v>349.50705005996491</v>
      </c>
      <c r="E20" s="2127">
        <f t="shared" ref="E20" si="167">E21*(1+P20)</f>
        <v>678.22831959706957</v>
      </c>
      <c r="F20" s="2127">
        <f t="shared" ref="F20" si="168">F21*(1+Q20)</f>
        <v>312.0556832169558</v>
      </c>
      <c r="G20" s="2124">
        <v>2019</v>
      </c>
      <c r="H20" s="2132">
        <v>2</v>
      </c>
      <c r="I20" s="2132">
        <v>1.53</v>
      </c>
      <c r="J20" s="2132">
        <v>1.01</v>
      </c>
      <c r="K20" s="2132">
        <v>1.62</v>
      </c>
      <c r="L20" s="2133">
        <v>1.25</v>
      </c>
      <c r="M20" s="2122"/>
      <c r="N20" s="2130">
        <f t="shared" si="150"/>
        <v>1.5300000000000001E-2</v>
      </c>
      <c r="O20" s="2123">
        <f t="shared" ref="O20" si="169">J20/100</f>
        <v>1.01E-2</v>
      </c>
      <c r="P20" s="2123">
        <f t="shared" ref="P20" si="170">K20/100</f>
        <v>1.6200000000000003E-2</v>
      </c>
      <c r="Q20" s="2123">
        <f t="shared" ref="Q20" si="171">L20/100</f>
        <v>1.2500000000000001E-2</v>
      </c>
      <c r="R20" s="2122"/>
      <c r="S20" s="2130"/>
      <c r="T20" s="2123"/>
      <c r="U20" s="2123"/>
      <c r="V20" s="2123"/>
      <c r="W20" s="2122"/>
      <c r="X20" s="2122">
        <f>ROUND(SUMPRODUCT(PRODUCT(1+N20:N$40)),4)</f>
        <v>1.5422</v>
      </c>
      <c r="Y20" s="2122">
        <f>ROUND(SUMPRODUCT(PRODUCT(1+O20:O$40)),4)</f>
        <v>1.3557999999999999</v>
      </c>
      <c r="Z20" s="2122">
        <f t="shared" ref="Z20" si="172">Y20</f>
        <v>1.3557999999999999</v>
      </c>
      <c r="AA20" s="2122">
        <f>ROUND(SUMPRODUCT(PRODUCT(1+P20:P$40)),4)</f>
        <v>1.6036999999999999</v>
      </c>
      <c r="AB20" s="2122">
        <f>ROUND(SUMPRODUCT(PRODUCT(1+Q20:Q$40)),4)</f>
        <v>1.3573</v>
      </c>
      <c r="AC20" s="2122"/>
      <c r="AD20" s="2123">
        <f>ROUND(AVERAGE(I20:I$41)/100,4)</f>
        <v>2.1299999999999999E-2</v>
      </c>
      <c r="AE20" s="2123">
        <f>ROUND(AVERAGE(J20:J$41)/100,4)</f>
        <v>1.4999999999999999E-2</v>
      </c>
      <c r="AF20" s="2123">
        <f t="shared" ref="AF20" si="173">AE20</f>
        <v>1.4999999999999999E-2</v>
      </c>
      <c r="AG20" s="2123">
        <f>ROUND(AVERAGE(K20:K$41)/100,4)</f>
        <v>2.3300000000000001E-2</v>
      </c>
      <c r="AH20" s="2123">
        <f>ROUND(AVERAGE(L20:L$41)/100,4)</f>
        <v>1.46E-2</v>
      </c>
    </row>
    <row r="21" spans="1:34" s="2131" customFormat="1" ht="14.4" customHeight="1" thickBot="1">
      <c r="A21" s="2126" t="s">
        <v>2483</v>
      </c>
      <c r="B21" s="2127">
        <f t="shared" si="145"/>
        <v>467.15916775261894</v>
      </c>
      <c r="C21" s="2127">
        <f t="shared" ref="C21" si="174">C22*(1+O21)</f>
        <v>346.01232557169084</v>
      </c>
      <c r="D21" s="2127">
        <f t="shared" ref="D21" si="175">C21</f>
        <v>346.01232557169084</v>
      </c>
      <c r="E21" s="2127">
        <f t="shared" ref="E21" si="176">E22*(1+P21)</f>
        <v>667.41617752122568</v>
      </c>
      <c r="F21" s="2127">
        <f t="shared" ref="F21" si="177">F22*(1+Q21)</f>
        <v>308.20314391798104</v>
      </c>
      <c r="G21" s="2124">
        <v>2019</v>
      </c>
      <c r="H21" s="2128">
        <v>1</v>
      </c>
      <c r="I21" s="2128">
        <v>0.6</v>
      </c>
      <c r="J21" s="2128">
        <v>0.37</v>
      </c>
      <c r="K21" s="2128">
        <v>0.63</v>
      </c>
      <c r="L21" s="2129">
        <v>1.1299999999999999</v>
      </c>
      <c r="M21" s="2122"/>
      <c r="N21" s="2130">
        <f t="shared" si="150"/>
        <v>6.0000000000000001E-3</v>
      </c>
      <c r="O21" s="2123">
        <f t="shared" ref="O21" si="178">J21/100</f>
        <v>3.7000000000000002E-3</v>
      </c>
      <c r="P21" s="2123">
        <f t="shared" ref="P21" si="179">K21/100</f>
        <v>6.3E-3</v>
      </c>
      <c r="Q21" s="2123">
        <f t="shared" ref="Q21" si="180">L21/100</f>
        <v>1.1299999999999999E-2</v>
      </c>
      <c r="R21" s="2122"/>
      <c r="S21" s="2130">
        <f>B21/B22-1</f>
        <v>6.0000000000000053E-3</v>
      </c>
      <c r="T21" s="2123">
        <f>C21/C22-1</f>
        <v>3.7000000000000366E-3</v>
      </c>
      <c r="U21" s="2123">
        <f>E21/E22-1</f>
        <v>6.2999999999999723E-3</v>
      </c>
      <c r="V21" s="2123">
        <f>F21/F22-1</f>
        <v>1.1300000000000088E-2</v>
      </c>
      <c r="W21" s="2122"/>
      <c r="X21" s="2122">
        <f>ROUND(SUMPRODUCT(PRODUCT(1+N21:N$40)),4)</f>
        <v>1.5189999999999999</v>
      </c>
      <c r="Y21" s="2122">
        <f>ROUND(SUMPRODUCT(PRODUCT(1+O21:O$40)),4)</f>
        <v>1.3423</v>
      </c>
      <c r="Z21" s="2122">
        <f t="shared" ref="Z21" si="181">Y21</f>
        <v>1.3423</v>
      </c>
      <c r="AA21" s="2122">
        <f>ROUND(SUMPRODUCT(PRODUCT(1+P21:P$40)),4)</f>
        <v>1.5782</v>
      </c>
      <c r="AB21" s="2122">
        <f>ROUND(SUMPRODUCT(PRODUCT(1+Q21:Q$40)),4)</f>
        <v>1.3405</v>
      </c>
      <c r="AC21" s="2122"/>
      <c r="AD21" s="2123">
        <f>ROUND(AVERAGE(I21:I$41)/100,4)</f>
        <v>2.1600000000000001E-2</v>
      </c>
      <c r="AE21" s="2123">
        <f>ROUND(AVERAGE(J21:J$41)/100,4)</f>
        <v>1.5299999999999999E-2</v>
      </c>
      <c r="AF21" s="2123">
        <f t="shared" ref="AF21" si="182">AE21</f>
        <v>1.5299999999999999E-2</v>
      </c>
      <c r="AG21" s="2123">
        <f>ROUND(AVERAGE(K21:K$41)/100,4)</f>
        <v>2.3699999999999999E-2</v>
      </c>
      <c r="AH21" s="2123">
        <f>ROUND(AVERAGE(L21:L$41)/100,4)</f>
        <v>1.47E-2</v>
      </c>
    </row>
    <row r="22" spans="1:34">
      <c r="A22" s="2126" t="s">
        <v>2477</v>
      </c>
      <c r="B22" s="2134">
        <f t="shared" si="145"/>
        <v>464.37293017158942</v>
      </c>
      <c r="C22" s="2134">
        <f t="shared" ref="C22" si="183">C23*(1+O22)</f>
        <v>344.73679941385956</v>
      </c>
      <c r="D22" s="2134">
        <f t="shared" ref="D22" si="184">C22</f>
        <v>344.73679941385956</v>
      </c>
      <c r="E22" s="2134">
        <f t="shared" ref="E22" si="185">E23*(1+P22)</f>
        <v>663.2377795103107</v>
      </c>
      <c r="F22" s="2135">
        <f t="shared" ref="F22" si="186">F23*(1+Q22)</f>
        <v>304.75936311478398</v>
      </c>
      <c r="G22" s="3455">
        <v>2018</v>
      </c>
      <c r="H22" s="2132">
        <v>4</v>
      </c>
      <c r="I22" s="2132">
        <v>0.96</v>
      </c>
      <c r="J22" s="2132">
        <v>1.03</v>
      </c>
      <c r="K22" s="2132">
        <v>0.92</v>
      </c>
      <c r="L22" s="2133">
        <v>1.29</v>
      </c>
      <c r="N22" s="2136">
        <f t="shared" si="150"/>
        <v>9.5999999999999992E-3</v>
      </c>
      <c r="O22" s="2137">
        <f t="shared" ref="O22" si="187">J22/100</f>
        <v>1.03E-2</v>
      </c>
      <c r="P22" s="2137">
        <f t="shared" ref="P22" si="188">K22/100</f>
        <v>9.1999999999999998E-3</v>
      </c>
      <c r="Q22" s="2137">
        <f t="shared" ref="Q22" si="189">L22/100</f>
        <v>1.29E-2</v>
      </c>
      <c r="R22" s="2138"/>
      <c r="S22" s="2139"/>
      <c r="T22" s="2140"/>
      <c r="U22" s="2140"/>
      <c r="V22" s="2140"/>
      <c r="X22" s="2122">
        <f>ROUND(SUMPRODUCT(PRODUCT(1+N22:N$40)),4)</f>
        <v>1.5099</v>
      </c>
      <c r="Y22" s="2122">
        <f>ROUND(SUMPRODUCT(PRODUCT(1+O22:O$40)),4)</f>
        <v>1.3372999999999999</v>
      </c>
      <c r="Z22" s="2122">
        <f t="shared" ref="Z22" si="190">Y22</f>
        <v>1.3372999999999999</v>
      </c>
      <c r="AA22" s="2122">
        <f>ROUND(SUMPRODUCT(PRODUCT(1+P22:P$40)),4)</f>
        <v>1.5683</v>
      </c>
      <c r="AB22" s="2122">
        <f>ROUND(SUMPRODUCT(PRODUCT(1+Q22:Q$40)),4)</f>
        <v>1.3255999999999999</v>
      </c>
      <c r="AD22" s="2123">
        <f>ROUND(AVERAGE(I22:I$41)/100,4)</f>
        <v>2.24E-2</v>
      </c>
      <c r="AE22" s="2123">
        <f>ROUND(AVERAGE(J22:J$41)/100,4)</f>
        <v>1.5800000000000002E-2</v>
      </c>
      <c r="AF22" s="2123">
        <f t="shared" ref="AF22" si="191">AE22</f>
        <v>1.5800000000000002E-2</v>
      </c>
      <c r="AG22" s="2123">
        <f>ROUND(AVERAGE(K22:K$41)/100,4)</f>
        <v>2.4500000000000001E-2</v>
      </c>
      <c r="AH22" s="2123">
        <f>ROUND(AVERAGE(L22:L$41)/100,4)</f>
        <v>1.49E-2</v>
      </c>
    </row>
    <row r="23" spans="1:34" s="2131" customFormat="1" ht="14.4" customHeight="1">
      <c r="A23" s="2126" t="s">
        <v>2472</v>
      </c>
      <c r="B23" s="2127">
        <f t="shared" si="145"/>
        <v>459.95733971036987</v>
      </c>
      <c r="C23" s="2127">
        <f t="shared" ref="C23" si="192">C24*(1+O23)</f>
        <v>341.22221064422405</v>
      </c>
      <c r="D23" s="2127">
        <f t="shared" ref="D23" si="193">C23</f>
        <v>341.22221064422405</v>
      </c>
      <c r="E23" s="2127">
        <f t="shared" ref="E23" si="194">E24*(1+P23)</f>
        <v>657.19161663724799</v>
      </c>
      <c r="F23" s="2127">
        <f t="shared" ref="F23" si="195">F24*(1+Q23)</f>
        <v>300.87803644464805</v>
      </c>
      <c r="G23" s="3455"/>
      <c r="H23" s="2128">
        <v>3</v>
      </c>
      <c r="I23" s="2128">
        <v>1.51</v>
      </c>
      <c r="J23" s="2128">
        <v>1.41</v>
      </c>
      <c r="K23" s="2128">
        <v>1.52</v>
      </c>
      <c r="L23" s="2129">
        <v>1.74</v>
      </c>
      <c r="M23" s="2122"/>
      <c r="N23" s="2130">
        <f t="shared" si="150"/>
        <v>1.5100000000000001E-2</v>
      </c>
      <c r="O23" s="2123">
        <f t="shared" ref="O23" si="196">J23/100</f>
        <v>1.41E-2</v>
      </c>
      <c r="P23" s="2123">
        <f t="shared" ref="P23" si="197">K23/100</f>
        <v>1.52E-2</v>
      </c>
      <c r="Q23" s="2123">
        <f t="shared" ref="Q23" si="198">L23/100</f>
        <v>1.7399999999999999E-2</v>
      </c>
      <c r="R23" s="2122"/>
      <c r="S23" s="2130"/>
      <c r="T23" s="2123"/>
      <c r="U23" s="2123"/>
      <c r="V23" s="2123"/>
      <c r="W23" s="2122"/>
      <c r="X23" s="2122">
        <f>ROUND(SUMPRODUCT(PRODUCT(1+N23:N$40)),4)</f>
        <v>1.4956</v>
      </c>
      <c r="Y23" s="2122">
        <f>ROUND(SUMPRODUCT(PRODUCT(1+O23:O$40)),4)</f>
        <v>1.3237000000000001</v>
      </c>
      <c r="Z23" s="2122">
        <f t="shared" ref="Z23" si="199">Y23</f>
        <v>1.3237000000000001</v>
      </c>
      <c r="AA23" s="2122">
        <f>ROUND(SUMPRODUCT(PRODUCT(1+P23:P$40)),4)</f>
        <v>1.554</v>
      </c>
      <c r="AB23" s="2122">
        <f>ROUND(SUMPRODUCT(PRODUCT(1+Q23:Q$40)),4)</f>
        <v>1.3087</v>
      </c>
      <c r="AC23" s="2122"/>
      <c r="AD23" s="2123">
        <f>ROUND(AVERAGE(I23:I$41)/100,4)</f>
        <v>2.3099999999999999E-2</v>
      </c>
      <c r="AE23" s="2123">
        <f>ROUND(AVERAGE(J23:J$41)/100,4)</f>
        <v>1.61E-2</v>
      </c>
      <c r="AF23" s="2123">
        <f t="shared" ref="AF23" si="200">AE23</f>
        <v>1.61E-2</v>
      </c>
      <c r="AG23" s="2123">
        <f>ROUND(AVERAGE(K23:K$41)/100,4)</f>
        <v>2.53E-2</v>
      </c>
      <c r="AH23" s="2123">
        <f>ROUND(AVERAGE(L23:L$41)/100,4)</f>
        <v>1.4999999999999999E-2</v>
      </c>
    </row>
    <row r="24" spans="1:34" s="2131" customFormat="1" ht="14.4" customHeight="1">
      <c r="A24" s="2126" t="s">
        <v>2471</v>
      </c>
      <c r="B24" s="2127">
        <f t="shared" ref="B24:B29" si="201">B25*(1+N24)</f>
        <v>453.11529869999993</v>
      </c>
      <c r="C24" s="2127">
        <f t="shared" ref="C24" si="202">C25*(1+O24)</f>
        <v>336.47787264000004</v>
      </c>
      <c r="D24" s="2127">
        <f t="shared" ref="D24" si="203">C24</f>
        <v>336.47787264000004</v>
      </c>
      <c r="E24" s="2127">
        <f t="shared" ref="E24" si="204">E25*(1+P24)</f>
        <v>647.35186823999993</v>
      </c>
      <c r="F24" s="2127">
        <f t="shared" ref="F24" si="205">F25*(1+Q24)</f>
        <v>295.73229452000004</v>
      </c>
      <c r="G24" s="3455"/>
      <c r="H24" s="2141">
        <v>2</v>
      </c>
      <c r="I24" s="2141">
        <v>1.49</v>
      </c>
      <c r="J24" s="2141">
        <v>0.96</v>
      </c>
      <c r="K24" s="2141">
        <v>1.58</v>
      </c>
      <c r="L24" s="2142">
        <v>2.44</v>
      </c>
      <c r="M24" s="2122"/>
      <c r="N24" s="2130">
        <f t="shared" ref="N24" si="206">I24/100</f>
        <v>1.49E-2</v>
      </c>
      <c r="O24" s="2123">
        <f t="shared" ref="O24" si="207">J24/100</f>
        <v>9.5999999999999992E-3</v>
      </c>
      <c r="P24" s="2123">
        <f t="shared" ref="P24" si="208">K24/100</f>
        <v>1.5800000000000002E-2</v>
      </c>
      <c r="Q24" s="2123">
        <f t="shared" ref="Q24" si="209">L24/100</f>
        <v>2.4399999999999998E-2</v>
      </c>
      <c r="R24" s="2122"/>
      <c r="S24" s="2130"/>
      <c r="T24" s="2123"/>
      <c r="U24" s="2123"/>
      <c r="V24" s="2123"/>
      <c r="W24" s="2122"/>
      <c r="X24" s="2122">
        <f>ROUND(SUMPRODUCT(PRODUCT(1+N24:N$40)),4)</f>
        <v>1.4733000000000001</v>
      </c>
      <c r="Y24" s="2122">
        <f>ROUND(SUMPRODUCT(PRODUCT(1+O24:O$40)),4)</f>
        <v>1.3052999999999999</v>
      </c>
      <c r="Z24" s="2122">
        <f t="shared" ref="Z24" si="210">Y24</f>
        <v>1.3052999999999999</v>
      </c>
      <c r="AA24" s="2122">
        <f>ROUND(SUMPRODUCT(PRODUCT(1+P24:P$40)),4)</f>
        <v>1.5306999999999999</v>
      </c>
      <c r="AB24" s="2122">
        <f>ROUND(SUMPRODUCT(PRODUCT(1+Q24:Q$40)),4)</f>
        <v>1.2863</v>
      </c>
      <c r="AC24" s="2122"/>
      <c r="AD24" s="2123">
        <f>ROUND(AVERAGE(I24:I$41)/100,4)</f>
        <v>2.35E-2</v>
      </c>
      <c r="AE24" s="2123">
        <f>ROUND(AVERAGE(J24:J$41)/100,4)</f>
        <v>1.6199999999999999E-2</v>
      </c>
      <c r="AF24" s="2123">
        <f t="shared" ref="AF24" si="211">AE24</f>
        <v>1.6199999999999999E-2</v>
      </c>
      <c r="AG24" s="2123">
        <f>ROUND(AVERAGE(K24:K$41)/100,4)</f>
        <v>2.5899999999999999E-2</v>
      </c>
      <c r="AH24" s="2123">
        <f>ROUND(AVERAGE(L24:L$41)/100,4)</f>
        <v>1.49E-2</v>
      </c>
    </row>
    <row r="25" spans="1:34" s="2131" customFormat="1" ht="15" customHeight="1" thickBot="1">
      <c r="A25" s="2126" t="s">
        <v>2468</v>
      </c>
      <c r="B25" s="2127">
        <f t="shared" si="201"/>
        <v>446.46299999999997</v>
      </c>
      <c r="C25" s="2127">
        <f t="shared" ref="C25" si="212">C26*(1+O25)</f>
        <v>333.27840000000003</v>
      </c>
      <c r="D25" s="2127">
        <f t="shared" ref="D25:D30" si="213">C25</f>
        <v>333.27840000000003</v>
      </c>
      <c r="E25" s="2127">
        <f t="shared" ref="E25" si="214">E26*(1+P25)</f>
        <v>637.28279999999995</v>
      </c>
      <c r="F25" s="2127">
        <f t="shared" ref="F25" si="215">F26*(1+Q25)</f>
        <v>288.68830000000003</v>
      </c>
      <c r="G25" s="3462"/>
      <c r="H25" s="2128">
        <v>1</v>
      </c>
      <c r="I25" s="2128">
        <v>1.7</v>
      </c>
      <c r="J25" s="2128">
        <v>1.92</v>
      </c>
      <c r="K25" s="2128">
        <v>1.64</v>
      </c>
      <c r="L25" s="2129">
        <v>2.0099999999999998</v>
      </c>
      <c r="M25" s="2122"/>
      <c r="N25" s="2130">
        <f t="shared" ref="N25:N30" si="216">I25/100</f>
        <v>1.7000000000000001E-2</v>
      </c>
      <c r="O25" s="2123">
        <f t="shared" ref="O25" si="217">J25/100</f>
        <v>1.9199999999999998E-2</v>
      </c>
      <c r="P25" s="2123">
        <f t="shared" ref="P25" si="218">K25/100</f>
        <v>1.6399999999999998E-2</v>
      </c>
      <c r="Q25" s="2123">
        <f t="shared" ref="Q25" si="219">L25/100</f>
        <v>2.0099999999999996E-2</v>
      </c>
      <c r="R25" s="2122"/>
      <c r="S25" s="2143">
        <f>B25/B26-1</f>
        <v>1.6999999999999904E-2</v>
      </c>
      <c r="T25" s="2144">
        <f>C25/C26-1</f>
        <v>1.9200000000000106E-2</v>
      </c>
      <c r="U25" s="2144">
        <f>E25/E26-1</f>
        <v>1.639999999999997E-2</v>
      </c>
      <c r="V25" s="2144">
        <f>F25/F26-1</f>
        <v>2.0100000000000007E-2</v>
      </c>
      <c r="W25" s="2122"/>
      <c r="X25" s="2122">
        <f>ROUND(SUMPRODUCT(PRODUCT(1+N25:N$40)),4)</f>
        <v>1.4517</v>
      </c>
      <c r="Y25" s="2122">
        <f>ROUND(SUMPRODUCT(PRODUCT(1+O25:O$40)),4)</f>
        <v>1.2928999999999999</v>
      </c>
      <c r="Z25" s="2122">
        <f t="shared" ref="Z25" si="220">Y25</f>
        <v>1.2928999999999999</v>
      </c>
      <c r="AA25" s="2122">
        <f>ROUND(SUMPRODUCT(PRODUCT(1+P25:P$40)),4)</f>
        <v>1.5068999999999999</v>
      </c>
      <c r="AB25" s="2122">
        <f>ROUND(SUMPRODUCT(PRODUCT(1+Q25:Q$40)),4)</f>
        <v>1.2557</v>
      </c>
      <c r="AC25" s="2122"/>
      <c r="AD25" s="2123">
        <f>ROUND(AVERAGE(I25:I$41)/100,4)</f>
        <v>2.4E-2</v>
      </c>
      <c r="AE25" s="2123">
        <f>ROUND(AVERAGE(J25:J$41)/100,4)</f>
        <v>1.66E-2</v>
      </c>
      <c r="AF25" s="2123">
        <f t="shared" ref="AF25" si="221">AE25</f>
        <v>1.66E-2</v>
      </c>
      <c r="AG25" s="2123">
        <f>ROUND(AVERAGE(K25:K$41)/100,4)</f>
        <v>2.6499999999999999E-2</v>
      </c>
      <c r="AH25" s="2123">
        <f>ROUND(AVERAGE(L25:L$41)/100,4)</f>
        <v>1.43E-2</v>
      </c>
    </row>
    <row r="26" spans="1:34">
      <c r="A26" s="2126" t="s">
        <v>2465</v>
      </c>
      <c r="B26" s="2134">
        <v>439</v>
      </c>
      <c r="C26" s="2134">
        <v>327</v>
      </c>
      <c r="D26" s="2134">
        <f t="shared" si="213"/>
        <v>327</v>
      </c>
      <c r="E26" s="2134">
        <v>627</v>
      </c>
      <c r="F26" s="2135">
        <v>283</v>
      </c>
      <c r="G26" s="3458">
        <v>2017</v>
      </c>
      <c r="H26" s="2132">
        <v>4</v>
      </c>
      <c r="I26" s="2132">
        <v>1.71</v>
      </c>
      <c r="J26" s="2132">
        <v>1.78</v>
      </c>
      <c r="K26" s="2132">
        <v>1.71</v>
      </c>
      <c r="L26" s="2133">
        <v>1.43</v>
      </c>
      <c r="N26" s="2136">
        <f t="shared" si="216"/>
        <v>1.7100000000000001E-2</v>
      </c>
      <c r="O26" s="2137">
        <f t="shared" ref="O26" si="222">J26/100</f>
        <v>1.78E-2</v>
      </c>
      <c r="P26" s="2137">
        <f t="shared" ref="P26" si="223">K26/100</f>
        <v>1.7100000000000001E-2</v>
      </c>
      <c r="Q26" s="2137">
        <f t="shared" ref="Q26" si="224">L26/100</f>
        <v>1.43E-2</v>
      </c>
      <c r="R26" s="2138"/>
      <c r="S26" s="2139"/>
      <c r="T26" s="2140"/>
      <c r="U26" s="2140"/>
      <c r="V26" s="2140"/>
      <c r="X26" s="2122">
        <f>ROUND(SUMPRODUCT(PRODUCT(1+N26:N$40)),4)</f>
        <v>1.4274</v>
      </c>
      <c r="Y26" s="2122">
        <f>ROUND(SUMPRODUCT(PRODUCT(1+O26:O$40)),4)</f>
        <v>1.2685</v>
      </c>
      <c r="Z26" s="2122">
        <f t="shared" si="0"/>
        <v>1.2685</v>
      </c>
      <c r="AA26" s="2122">
        <f>ROUND(SUMPRODUCT(PRODUCT(1+P26:P$40)),4)</f>
        <v>1.4825999999999999</v>
      </c>
      <c r="AB26" s="2122">
        <f>ROUND(SUMPRODUCT(PRODUCT(1+Q26:Q$40)),4)</f>
        <v>1.2309000000000001</v>
      </c>
      <c r="AD26" s="2123">
        <f>ROUND(AVERAGE(I26:I$41)/100,4)</f>
        <v>2.4500000000000001E-2</v>
      </c>
      <c r="AE26" s="2123">
        <f>ROUND(AVERAGE(J26:J$41)/100,4)</f>
        <v>1.6500000000000001E-2</v>
      </c>
      <c r="AF26" s="2123">
        <f t="shared" si="1"/>
        <v>1.6500000000000001E-2</v>
      </c>
      <c r="AG26" s="2123">
        <f>ROUND(AVERAGE(K26:K$41)/100,4)</f>
        <v>2.7099999999999999E-2</v>
      </c>
      <c r="AH26" s="2123">
        <f>ROUND(AVERAGE(L26:L$41)/100,4)</f>
        <v>1.3899999999999999E-2</v>
      </c>
    </row>
    <row r="27" spans="1:34" s="2131" customFormat="1" ht="14.4" customHeight="1">
      <c r="A27" s="2126" t="s">
        <v>2463</v>
      </c>
      <c r="B27" s="2127">
        <f t="shared" si="201"/>
        <v>431.80730811680002</v>
      </c>
      <c r="C27" s="2127">
        <f t="shared" ref="C27" si="225">C28*(1+O27)</f>
        <v>320.57880516480003</v>
      </c>
      <c r="D27" s="2127">
        <f t="shared" si="213"/>
        <v>320.57880516480003</v>
      </c>
      <c r="E27" s="2127">
        <f t="shared" ref="E27:F29" si="226">E28*(1+P27)</f>
        <v>615.96110553196797</v>
      </c>
      <c r="F27" s="2127">
        <f t="shared" si="226"/>
        <v>279.46777300108801</v>
      </c>
      <c r="G27" s="3455"/>
      <c r="H27" s="2128">
        <v>3</v>
      </c>
      <c r="I27" s="2128">
        <v>2.98</v>
      </c>
      <c r="J27" s="2128">
        <v>2.11</v>
      </c>
      <c r="K27" s="2128">
        <v>3.24</v>
      </c>
      <c r="L27" s="2129">
        <v>1.72</v>
      </c>
      <c r="M27" s="2122"/>
      <c r="N27" s="2130">
        <f t="shared" si="216"/>
        <v>2.98E-2</v>
      </c>
      <c r="O27" s="2123">
        <f t="shared" ref="O27" si="227">J27/100</f>
        <v>2.1099999999999997E-2</v>
      </c>
      <c r="P27" s="2123">
        <f t="shared" ref="P27" si="228">K27/100</f>
        <v>3.2400000000000005E-2</v>
      </c>
      <c r="Q27" s="2123">
        <f t="shared" ref="Q27" si="229">L27/100</f>
        <v>1.72E-2</v>
      </c>
      <c r="R27" s="2122"/>
      <c r="S27" s="2130"/>
      <c r="T27" s="2123"/>
      <c r="U27" s="2123"/>
      <c r="V27" s="2123"/>
      <c r="W27" s="2122"/>
      <c r="X27" s="2122">
        <f>ROUND(SUMPRODUCT(PRODUCT(1+N27:N$40)),4)</f>
        <v>1.4034</v>
      </c>
      <c r="Y27" s="2122">
        <f>ROUND(SUMPRODUCT(PRODUCT(1+O27:O$40)),4)</f>
        <v>1.2463</v>
      </c>
      <c r="Z27" s="2122">
        <f t="shared" si="0"/>
        <v>1.2463</v>
      </c>
      <c r="AA27" s="2122">
        <f>ROUND(SUMPRODUCT(PRODUCT(1+P27:P$40)),4)</f>
        <v>1.4577</v>
      </c>
      <c r="AB27" s="2122">
        <f>ROUND(SUMPRODUCT(PRODUCT(1+Q27:Q$40)),4)</f>
        <v>1.2136</v>
      </c>
      <c r="AC27" s="2122"/>
      <c r="AD27" s="2123">
        <f>ROUND(AVERAGE(I27:I$41)/100,4)</f>
        <v>2.4899999999999999E-2</v>
      </c>
      <c r="AE27" s="2123">
        <f>ROUND(AVERAGE(J27:J$41)/100,4)</f>
        <v>1.6400000000000001E-2</v>
      </c>
      <c r="AF27" s="2123">
        <f t="shared" si="1"/>
        <v>1.6400000000000001E-2</v>
      </c>
      <c r="AG27" s="2123">
        <f>ROUND(AVERAGE(K27:K$41)/100,4)</f>
        <v>2.7799999999999998E-2</v>
      </c>
      <c r="AH27" s="2123">
        <f>ROUND(AVERAGE(L27:L$41)/100,4)</f>
        <v>1.3899999999999999E-2</v>
      </c>
    </row>
    <row r="28" spans="1:34" s="2125" customFormat="1" ht="14.4" customHeight="1">
      <c r="A28" s="2126" t="s">
        <v>1006</v>
      </c>
      <c r="B28" s="2127">
        <f t="shared" si="201"/>
        <v>419.31181600000002</v>
      </c>
      <c r="C28" s="2127">
        <f t="shared" ref="C28" si="230">C29*(1+O28)</f>
        <v>313.95436800000004</v>
      </c>
      <c r="D28" s="2127">
        <f t="shared" si="213"/>
        <v>313.95436800000004</v>
      </c>
      <c r="E28" s="2127">
        <f t="shared" si="226"/>
        <v>596.63028431999999</v>
      </c>
      <c r="F28" s="2127">
        <f t="shared" si="226"/>
        <v>274.74220703999998</v>
      </c>
      <c r="G28" s="3455"/>
      <c r="H28" s="2141">
        <v>2</v>
      </c>
      <c r="I28" s="2141">
        <v>3.4</v>
      </c>
      <c r="J28" s="2141">
        <v>2</v>
      </c>
      <c r="K28" s="2141">
        <v>3.82</v>
      </c>
      <c r="L28" s="2142">
        <v>1.68</v>
      </c>
      <c r="M28" s="2122"/>
      <c r="N28" s="2130">
        <f t="shared" si="216"/>
        <v>3.4000000000000002E-2</v>
      </c>
      <c r="O28" s="2123">
        <f t="shared" ref="O28" si="231">J28/100</f>
        <v>0.02</v>
      </c>
      <c r="P28" s="2123">
        <f t="shared" ref="P28" si="232">K28/100</f>
        <v>3.8199999999999998E-2</v>
      </c>
      <c r="Q28" s="2123">
        <f t="shared" ref="Q28" si="233">L28/100</f>
        <v>1.6799999999999999E-2</v>
      </c>
      <c r="R28" s="2122"/>
      <c r="S28" s="2130"/>
      <c r="T28" s="2123"/>
      <c r="U28" s="2123"/>
      <c r="V28" s="2123"/>
      <c r="W28" s="2122"/>
      <c r="X28" s="2122">
        <f>ROUND(SUMPRODUCT(PRODUCT(1+N28:N$40)),4)</f>
        <v>1.3628</v>
      </c>
      <c r="Y28" s="2122">
        <f>ROUND(SUMPRODUCT(PRODUCT(1+O28:O$40)),4)</f>
        <v>1.2205999999999999</v>
      </c>
      <c r="Z28" s="2122">
        <f t="shared" si="0"/>
        <v>1.2205999999999999</v>
      </c>
      <c r="AA28" s="2122">
        <f>ROUND(SUMPRODUCT(PRODUCT(1+P28:P$40)),4)</f>
        <v>1.4118999999999999</v>
      </c>
      <c r="AB28" s="2122">
        <f>ROUND(SUMPRODUCT(PRODUCT(1+Q28:Q$40)),4)</f>
        <v>1.1930000000000001</v>
      </c>
      <c r="AC28" s="2103"/>
      <c r="AD28" s="2123">
        <f>ROUND(AVERAGE(I28:I$41)/100,4)</f>
        <v>2.46E-2</v>
      </c>
      <c r="AE28" s="2123">
        <f>ROUND(AVERAGE(J28:J$41)/100,4)</f>
        <v>1.6E-2</v>
      </c>
      <c r="AF28" s="2123">
        <f t="shared" si="1"/>
        <v>1.6E-2</v>
      </c>
      <c r="AG28" s="2123">
        <f>ROUND(AVERAGE(K28:K$41)/100,4)</f>
        <v>2.75E-2</v>
      </c>
      <c r="AH28" s="2123">
        <f>ROUND(AVERAGE(L28:L$41)/100,4)</f>
        <v>1.37E-2</v>
      </c>
    </row>
    <row r="29" spans="1:34" s="2131" customFormat="1" ht="15" customHeight="1" thickBot="1">
      <c r="A29" s="2126" t="s">
        <v>798</v>
      </c>
      <c r="B29" s="2127">
        <f t="shared" si="201"/>
        <v>405.524</v>
      </c>
      <c r="C29" s="2127">
        <f t="shared" ref="C29" si="234">C30*(1+O29)</f>
        <v>307.79840000000002</v>
      </c>
      <c r="D29" s="2127">
        <f t="shared" si="213"/>
        <v>307.79840000000002</v>
      </c>
      <c r="E29" s="2127">
        <f t="shared" si="226"/>
        <v>574.67759999999998</v>
      </c>
      <c r="F29" s="2127">
        <f t="shared" si="226"/>
        <v>270.20280000000002</v>
      </c>
      <c r="G29" s="3462"/>
      <c r="H29" s="2128">
        <v>1</v>
      </c>
      <c r="I29" s="2128">
        <v>3.45</v>
      </c>
      <c r="J29" s="2128">
        <v>1.92</v>
      </c>
      <c r="K29" s="2128">
        <v>3.92</v>
      </c>
      <c r="L29" s="2129">
        <v>1.58</v>
      </c>
      <c r="M29" s="2122"/>
      <c r="N29" s="2143">
        <f t="shared" si="216"/>
        <v>3.4500000000000003E-2</v>
      </c>
      <c r="O29" s="2144">
        <f t="shared" ref="O29:Q44" si="235">J29/100</f>
        <v>1.9199999999999998E-2</v>
      </c>
      <c r="P29" s="2144">
        <f t="shared" si="235"/>
        <v>3.9199999999999999E-2</v>
      </c>
      <c r="Q29" s="2144">
        <f t="shared" si="235"/>
        <v>1.5800000000000002E-2</v>
      </c>
      <c r="R29" s="2122"/>
      <c r="S29" s="2143">
        <f>B29/B30-1</f>
        <v>3.4499999999999975E-2</v>
      </c>
      <c r="T29" s="2144">
        <f>C29/C30-1</f>
        <v>1.9200000000000106E-2</v>
      </c>
      <c r="U29" s="2144">
        <f>E29/E30-1</f>
        <v>3.9199999999999902E-2</v>
      </c>
      <c r="V29" s="2144">
        <f>F29/F30-1</f>
        <v>1.5800000000000036E-2</v>
      </c>
      <c r="W29" s="2122"/>
      <c r="X29" s="2122">
        <f>ROUND(SUMPRODUCT(PRODUCT(1+N29:N$40)),4)</f>
        <v>1.3180000000000001</v>
      </c>
      <c r="Y29" s="2122">
        <f>ROUND(SUMPRODUCT(PRODUCT(1+O29:O$40)),4)</f>
        <v>1.1966000000000001</v>
      </c>
      <c r="Z29" s="2122">
        <f t="shared" si="0"/>
        <v>1.1966000000000001</v>
      </c>
      <c r="AA29" s="2122">
        <f>ROUND(SUMPRODUCT(PRODUCT(1+P29:P$40)),4)</f>
        <v>1.36</v>
      </c>
      <c r="AB29" s="2122">
        <f>ROUND(SUMPRODUCT(PRODUCT(1+Q29:Q$40)),4)</f>
        <v>1.1733</v>
      </c>
      <c r="AC29" s="2122"/>
      <c r="AD29" s="2123">
        <f>ROUND(AVERAGE(I29:I$41)/100,4)</f>
        <v>2.3900000000000001E-2</v>
      </c>
      <c r="AE29" s="2123">
        <f>ROUND(AVERAGE(J29:J$41)/100,4)</f>
        <v>1.5699999999999999E-2</v>
      </c>
      <c r="AF29" s="2123">
        <f t="shared" si="1"/>
        <v>1.5699999999999999E-2</v>
      </c>
      <c r="AG29" s="2123">
        <f>ROUND(AVERAGE(K29:K$41)/100,4)</f>
        <v>2.6599999999999999E-2</v>
      </c>
      <c r="AH29" s="2123">
        <f>ROUND(AVERAGE(L29:L$41)/100,4)</f>
        <v>1.34E-2</v>
      </c>
    </row>
    <row r="30" spans="1:34">
      <c r="A30" s="2126" t="s">
        <v>799</v>
      </c>
      <c r="B30" s="2134">
        <v>392</v>
      </c>
      <c r="C30" s="2134">
        <v>302</v>
      </c>
      <c r="D30" s="2134">
        <f t="shared" si="213"/>
        <v>302</v>
      </c>
      <c r="E30" s="2134">
        <v>553</v>
      </c>
      <c r="F30" s="2135">
        <v>266</v>
      </c>
      <c r="G30" s="3458">
        <v>2016</v>
      </c>
      <c r="H30" s="2132">
        <v>4</v>
      </c>
      <c r="I30" s="2132">
        <v>4.5599999999999996</v>
      </c>
      <c r="J30" s="2132">
        <v>2.15</v>
      </c>
      <c r="K30" s="2132">
        <v>5.32</v>
      </c>
      <c r="L30" s="2133">
        <v>1.57</v>
      </c>
      <c r="N30" s="2130">
        <f t="shared" si="216"/>
        <v>4.5599999999999995E-2</v>
      </c>
      <c r="O30" s="2123">
        <f t="shared" si="235"/>
        <v>2.1499999999999998E-2</v>
      </c>
      <c r="P30" s="2123">
        <f t="shared" si="235"/>
        <v>5.3200000000000004E-2</v>
      </c>
      <c r="Q30" s="2123">
        <f t="shared" si="235"/>
        <v>1.5700000000000002E-2</v>
      </c>
      <c r="R30" s="2138"/>
      <c r="S30" s="2139"/>
      <c r="T30" s="2140"/>
      <c r="U30" s="2140"/>
      <c r="V30" s="2140"/>
      <c r="X30" s="2122">
        <f>ROUND(SUMPRODUCT(PRODUCT(1+N30:N$40)),4)</f>
        <v>1.274</v>
      </c>
      <c r="Y30" s="2122">
        <f>ROUND(SUMPRODUCT(PRODUCT(1+O30:O$40)),4)</f>
        <v>1.1740999999999999</v>
      </c>
      <c r="Z30" s="2122">
        <f t="shared" si="0"/>
        <v>1.1740999999999999</v>
      </c>
      <c r="AA30" s="2122">
        <f>ROUND(SUMPRODUCT(PRODUCT(1+P30:P$40)),4)</f>
        <v>1.3087</v>
      </c>
      <c r="AB30" s="2122">
        <f>ROUND(SUMPRODUCT(PRODUCT(1+Q30:Q$40)),4)</f>
        <v>1.1551</v>
      </c>
      <c r="AD30" s="2123">
        <f>ROUND(AVERAGE(I30:I$41)/100,4)</f>
        <v>2.3E-2</v>
      </c>
      <c r="AE30" s="2123">
        <f>ROUND(AVERAGE(J30:J$41)/100,4)</f>
        <v>1.55E-2</v>
      </c>
      <c r="AF30" s="2123">
        <f t="shared" ref="AF30:AF39" si="236">AE30</f>
        <v>1.55E-2</v>
      </c>
      <c r="AG30" s="2123">
        <f>ROUND(AVERAGE(K30:K$41)/100,4)</f>
        <v>2.5600000000000001E-2</v>
      </c>
      <c r="AH30" s="2123">
        <f>ROUND(AVERAGE(L30:L$41)/100,4)</f>
        <v>1.32E-2</v>
      </c>
    </row>
    <row r="31" spans="1:34">
      <c r="A31" s="2126" t="s">
        <v>103</v>
      </c>
      <c r="B31" s="2127">
        <f t="shared" ref="B31:C33" si="237">B30/(1+N30)</f>
        <v>374.90436113236416</v>
      </c>
      <c r="C31" s="2127">
        <f t="shared" si="237"/>
        <v>295.64366128242779</v>
      </c>
      <c r="D31" s="2127">
        <f t="shared" ref="D31:D90" si="238">C31</f>
        <v>295.64366128242779</v>
      </c>
      <c r="E31" s="2127">
        <f t="shared" ref="E31:F33" si="239">E30/(1+P30)</f>
        <v>525.06646410938095</v>
      </c>
      <c r="F31" s="2127">
        <f t="shared" si="239"/>
        <v>261.88835286009646</v>
      </c>
      <c r="G31" s="3455"/>
      <c r="H31" s="2128">
        <v>3</v>
      </c>
      <c r="I31" s="2128">
        <v>4.12</v>
      </c>
      <c r="J31" s="2128">
        <v>2</v>
      </c>
      <c r="K31" s="2128">
        <v>4.79</v>
      </c>
      <c r="L31" s="2129">
        <v>1.97</v>
      </c>
      <c r="N31" s="2130">
        <f t="shared" ref="N31:Q65" si="240">I31/100</f>
        <v>4.1200000000000001E-2</v>
      </c>
      <c r="O31" s="2123">
        <f t="shared" si="235"/>
        <v>0.02</v>
      </c>
      <c r="P31" s="2123">
        <f t="shared" si="235"/>
        <v>4.7899999999999998E-2</v>
      </c>
      <c r="Q31" s="2123">
        <f t="shared" si="235"/>
        <v>1.9699999999999999E-2</v>
      </c>
      <c r="R31" s="2138"/>
      <c r="S31" s="2130"/>
      <c r="T31" s="2123"/>
      <c r="U31" s="2123"/>
      <c r="V31" s="2123"/>
      <c r="X31" s="2122">
        <f>ROUND(SUMPRODUCT(PRODUCT(1+N31:N$40)),4)</f>
        <v>1.2184999999999999</v>
      </c>
      <c r="Y31" s="2122">
        <f>ROUND(SUMPRODUCT(PRODUCT(1+O31:O$40)),4)</f>
        <v>1.1494</v>
      </c>
      <c r="Z31" s="2122">
        <f t="shared" si="0"/>
        <v>1.1494</v>
      </c>
      <c r="AA31" s="2122">
        <f>ROUND(SUMPRODUCT(PRODUCT(1+P31:P$40)),4)</f>
        <v>1.2425999999999999</v>
      </c>
      <c r="AB31" s="2122">
        <f>ROUND(SUMPRODUCT(PRODUCT(1+Q31:Q$40)),4)</f>
        <v>1.1372</v>
      </c>
      <c r="AD31" s="2123">
        <f>ROUND(AVERAGE(I31:I$41)/100,4)</f>
        <v>2.0899999999999998E-2</v>
      </c>
      <c r="AE31" s="2123">
        <f>ROUND(AVERAGE(J31:J$41)/100,4)</f>
        <v>1.49E-2</v>
      </c>
      <c r="AF31" s="2123">
        <f t="shared" si="236"/>
        <v>1.49E-2</v>
      </c>
      <c r="AG31" s="2123">
        <f>ROUND(AVERAGE(K31:K$41)/100,4)</f>
        <v>2.3099999999999999E-2</v>
      </c>
      <c r="AH31" s="2123">
        <f>ROUND(AVERAGE(L31:L$41)/100,4)</f>
        <v>1.2999999999999999E-2</v>
      </c>
    </row>
    <row r="32" spans="1:34">
      <c r="A32" s="2126" t="s">
        <v>93</v>
      </c>
      <c r="B32" s="2127">
        <f t="shared" si="237"/>
        <v>360.06949782209392</v>
      </c>
      <c r="C32" s="2127">
        <f t="shared" si="237"/>
        <v>289.84672674747821</v>
      </c>
      <c r="D32" s="2127">
        <f t="shared" si="238"/>
        <v>289.84672674747821</v>
      </c>
      <c r="E32" s="2127">
        <f t="shared" si="239"/>
        <v>501.06543001181495</v>
      </c>
      <c r="F32" s="2127">
        <f t="shared" si="239"/>
        <v>256.82882500744967</v>
      </c>
      <c r="G32" s="3455"/>
      <c r="H32" s="2141">
        <v>2</v>
      </c>
      <c r="I32" s="2141">
        <v>3.85</v>
      </c>
      <c r="J32" s="2141">
        <v>1.95</v>
      </c>
      <c r="K32" s="2141">
        <v>4.4800000000000004</v>
      </c>
      <c r="L32" s="2142">
        <v>1.41</v>
      </c>
      <c r="N32" s="2130">
        <f t="shared" si="240"/>
        <v>3.85E-2</v>
      </c>
      <c r="O32" s="2123">
        <f t="shared" si="235"/>
        <v>1.95E-2</v>
      </c>
      <c r="P32" s="2123">
        <f t="shared" si="235"/>
        <v>4.4800000000000006E-2</v>
      </c>
      <c r="Q32" s="2123">
        <f t="shared" si="235"/>
        <v>1.41E-2</v>
      </c>
      <c r="R32" s="2138"/>
      <c r="S32" s="2130"/>
      <c r="T32" s="2123"/>
      <c r="U32" s="2123"/>
      <c r="V32" s="2123"/>
      <c r="X32" s="2122">
        <f>ROUND(SUMPRODUCT(PRODUCT(1+N32:N$40)),4)</f>
        <v>1.1702999999999999</v>
      </c>
      <c r="Y32" s="2122">
        <f>ROUND(SUMPRODUCT(PRODUCT(1+O32:O$40)),4)</f>
        <v>1.1269</v>
      </c>
      <c r="Z32" s="2122">
        <f t="shared" si="0"/>
        <v>1.1269</v>
      </c>
      <c r="AA32" s="2122">
        <f>ROUND(SUMPRODUCT(PRODUCT(1+P32:P$40)),4)</f>
        <v>1.1858</v>
      </c>
      <c r="AB32" s="2122">
        <f>ROUND(SUMPRODUCT(PRODUCT(1+Q32:Q$40)),4)</f>
        <v>1.1152</v>
      </c>
      <c r="AD32" s="2123">
        <f>ROUND(AVERAGE(I32:I$41)/100,4)</f>
        <v>1.89E-2</v>
      </c>
      <c r="AE32" s="2123">
        <f>ROUND(AVERAGE(J32:J$41)/100,4)</f>
        <v>1.44E-2</v>
      </c>
      <c r="AF32" s="2123">
        <f t="shared" si="236"/>
        <v>1.44E-2</v>
      </c>
      <c r="AG32" s="2123">
        <f>ROUND(AVERAGE(K32:K$41)/100,4)</f>
        <v>2.06E-2</v>
      </c>
      <c r="AH32" s="2123">
        <f>ROUND(AVERAGE(L32:L$41)/100,4)</f>
        <v>1.23E-2</v>
      </c>
    </row>
    <row r="33" spans="1:34" ht="13.8" thickBot="1">
      <c r="A33" s="2126" t="s">
        <v>102</v>
      </c>
      <c r="B33" s="2127">
        <f t="shared" si="237"/>
        <v>346.720748986128</v>
      </c>
      <c r="C33" s="2127">
        <f t="shared" si="237"/>
        <v>284.30282172386285</v>
      </c>
      <c r="D33" s="2127">
        <f t="shared" si="238"/>
        <v>284.30282172386285</v>
      </c>
      <c r="E33" s="2127">
        <f t="shared" si="239"/>
        <v>479.58023546306947</v>
      </c>
      <c r="F33" s="2127">
        <f t="shared" si="239"/>
        <v>253.25788877571213</v>
      </c>
      <c r="G33" s="3456"/>
      <c r="H33" s="2128">
        <v>1</v>
      </c>
      <c r="I33" s="2128">
        <v>4.09</v>
      </c>
      <c r="J33" s="2128">
        <v>2.93</v>
      </c>
      <c r="K33" s="2128">
        <v>4.54</v>
      </c>
      <c r="L33" s="2129">
        <v>1.48</v>
      </c>
      <c r="N33" s="2130">
        <f t="shared" si="240"/>
        <v>4.0899999999999999E-2</v>
      </c>
      <c r="O33" s="2123">
        <f t="shared" si="235"/>
        <v>2.9300000000000003E-2</v>
      </c>
      <c r="P33" s="2123">
        <f t="shared" si="235"/>
        <v>4.5400000000000003E-2</v>
      </c>
      <c r="Q33" s="2123">
        <f t="shared" si="235"/>
        <v>1.4800000000000001E-2</v>
      </c>
      <c r="R33" s="2138"/>
      <c r="S33" s="2143">
        <f>B33/B34-1</f>
        <v>4.1203450408792808E-2</v>
      </c>
      <c r="T33" s="2144">
        <f>C33/C34-1</f>
        <v>2.6363977342465095E-2</v>
      </c>
      <c r="U33" s="2144">
        <f>E33/E34-1</f>
        <v>4.4837114298626357E-2</v>
      </c>
      <c r="V33" s="2144">
        <f>F33/F34-1</f>
        <v>1.7099954922538574E-2</v>
      </c>
      <c r="X33" s="2122">
        <f>ROUND(SUMPRODUCT(PRODUCT(1+N33:N$40)),4)</f>
        <v>1.1269</v>
      </c>
      <c r="Y33" s="2122">
        <f>ROUND(SUMPRODUCT(PRODUCT(1+O33:O$40)),4)</f>
        <v>1.1052999999999999</v>
      </c>
      <c r="Z33" s="2122">
        <f t="shared" si="0"/>
        <v>1.1052999999999999</v>
      </c>
      <c r="AA33" s="2122">
        <f>ROUND(SUMPRODUCT(PRODUCT(1+P33:P$40)),4)</f>
        <v>1.1349</v>
      </c>
      <c r="AB33" s="2122">
        <f>ROUND(SUMPRODUCT(PRODUCT(1+Q33:Q$40)),4)</f>
        <v>1.0996999999999999</v>
      </c>
      <c r="AD33" s="2123">
        <f>ROUND(AVERAGE(I33:I$41)/100,4)</f>
        <v>1.67E-2</v>
      </c>
      <c r="AE33" s="2123">
        <f>ROUND(AVERAGE(J33:J$41)/100,4)</f>
        <v>1.38E-2</v>
      </c>
      <c r="AF33" s="2123">
        <f t="shared" si="236"/>
        <v>1.38E-2</v>
      </c>
      <c r="AG33" s="2123">
        <f>ROUND(AVERAGE(K33:K$41)/100,4)</f>
        <v>1.7899999999999999E-2</v>
      </c>
      <c r="AH33" s="2123">
        <f>ROUND(AVERAGE(L33:L$41)/100,4)</f>
        <v>1.21E-2</v>
      </c>
    </row>
    <row r="34" spans="1:34" ht="13.8" thickBot="1">
      <c r="A34" s="2126" t="s">
        <v>101</v>
      </c>
      <c r="B34" s="2134">
        <v>333</v>
      </c>
      <c r="C34" s="2134">
        <v>277</v>
      </c>
      <c r="D34" s="2134">
        <f t="shared" si="238"/>
        <v>277</v>
      </c>
      <c r="E34" s="2134">
        <v>459</v>
      </c>
      <c r="F34" s="2135">
        <v>249</v>
      </c>
      <c r="G34" s="3454">
        <v>2015</v>
      </c>
      <c r="H34" s="2145">
        <v>4</v>
      </c>
      <c r="I34" s="2145">
        <v>1.63</v>
      </c>
      <c r="J34" s="2145">
        <v>1.1100000000000001</v>
      </c>
      <c r="K34" s="2145">
        <v>1.77</v>
      </c>
      <c r="L34" s="2146">
        <v>1.89</v>
      </c>
      <c r="N34" s="2136">
        <f t="shared" si="240"/>
        <v>1.6299999999999999E-2</v>
      </c>
      <c r="O34" s="2137">
        <f t="shared" si="235"/>
        <v>1.11E-2</v>
      </c>
      <c r="P34" s="2137">
        <f t="shared" si="235"/>
        <v>1.77E-2</v>
      </c>
      <c r="Q34" s="2137">
        <f t="shared" si="235"/>
        <v>1.89E-2</v>
      </c>
      <c r="R34" s="2138"/>
      <c r="X34" s="2122">
        <f>ROUND(SUMPRODUCT(PRODUCT(1+N34:N$40)),4)</f>
        <v>1.0826</v>
      </c>
      <c r="Y34" s="2122">
        <f>ROUND(SUMPRODUCT(PRODUCT(1+O34:O$40)),4)</f>
        <v>1.0738000000000001</v>
      </c>
      <c r="Z34" s="2122">
        <f t="shared" si="0"/>
        <v>1.0738000000000001</v>
      </c>
      <c r="AA34" s="2122">
        <f>ROUND(SUMPRODUCT(PRODUCT(1+P34:P$40)),4)</f>
        <v>1.0855999999999999</v>
      </c>
      <c r="AB34" s="2122">
        <f>ROUND(SUMPRODUCT(PRODUCT(1+Q34:Q$40)),4)</f>
        <v>1.0837000000000001</v>
      </c>
      <c r="AD34" s="2123">
        <f>ROUND(AVERAGE(I34:I$41)/100,4)</f>
        <v>1.37E-2</v>
      </c>
      <c r="AE34" s="2123">
        <f>ROUND(AVERAGE(J34:J$41)/100,4)</f>
        <v>1.1900000000000001E-2</v>
      </c>
      <c r="AF34" s="2123">
        <f t="shared" si="236"/>
        <v>1.1900000000000001E-2</v>
      </c>
      <c r="AG34" s="2123">
        <f>ROUND(AVERAGE(K34:K$41)/100,4)</f>
        <v>1.4500000000000001E-2</v>
      </c>
      <c r="AH34" s="2123">
        <f>ROUND(AVERAGE(L34:L$41)/100,4)</f>
        <v>1.18E-2</v>
      </c>
    </row>
    <row r="35" spans="1:34">
      <c r="A35" s="2126" t="s">
        <v>100</v>
      </c>
      <c r="B35" s="2127">
        <f t="shared" ref="B35:C37" si="241">B34/(1+N34)</f>
        <v>327.65915576109415</v>
      </c>
      <c r="C35" s="2127">
        <f t="shared" si="241"/>
        <v>273.95905449510434</v>
      </c>
      <c r="D35" s="2127">
        <f t="shared" si="238"/>
        <v>273.95905449510434</v>
      </c>
      <c r="E35" s="2127">
        <f t="shared" ref="E35:F37" si="242">E34/(1+P34)</f>
        <v>451.01699911565294</v>
      </c>
      <c r="F35" s="2127">
        <f t="shared" si="242"/>
        <v>244.38119540681129</v>
      </c>
      <c r="G35" s="3455"/>
      <c r="H35" s="2148">
        <v>3</v>
      </c>
      <c r="I35" s="2148">
        <v>1.65</v>
      </c>
      <c r="J35" s="2148">
        <v>0.92</v>
      </c>
      <c r="K35" s="2148">
        <v>1.88</v>
      </c>
      <c r="L35" s="2149">
        <v>1.26</v>
      </c>
      <c r="N35" s="2130">
        <f t="shared" si="240"/>
        <v>1.6500000000000001E-2</v>
      </c>
      <c r="O35" s="2123">
        <f t="shared" si="235"/>
        <v>9.1999999999999998E-3</v>
      </c>
      <c r="P35" s="2123">
        <f t="shared" si="235"/>
        <v>1.8799999999999997E-2</v>
      </c>
      <c r="Q35" s="2123">
        <f t="shared" si="235"/>
        <v>1.26E-2</v>
      </c>
      <c r="R35" s="2138"/>
      <c r="S35" s="2130"/>
      <c r="T35" s="2123"/>
      <c r="U35" s="2123"/>
      <c r="V35" s="2123"/>
      <c r="X35" s="2122">
        <f>ROUND(SUMPRODUCT(PRODUCT(1+N35:N$40)),4)</f>
        <v>1.0651999999999999</v>
      </c>
      <c r="Y35" s="2122">
        <f>ROUND(SUMPRODUCT(PRODUCT(1+O35:O$40)),4)</f>
        <v>1.0621</v>
      </c>
      <c r="Z35" s="2122">
        <f t="shared" si="0"/>
        <v>1.0621</v>
      </c>
      <c r="AA35" s="2122">
        <f>ROUND(SUMPRODUCT(PRODUCT(1+P35:P$40)),4)</f>
        <v>1.0668</v>
      </c>
      <c r="AB35" s="2122">
        <f>ROUND(SUMPRODUCT(PRODUCT(1+Q35:Q$40)),4)</f>
        <v>1.0636000000000001</v>
      </c>
      <c r="AD35" s="2123">
        <f>ROUND(AVERAGE(I35:I$41)/100,4)</f>
        <v>1.3299999999999999E-2</v>
      </c>
      <c r="AE35" s="2123">
        <f>ROUND(AVERAGE(J35:J$41)/100,4)</f>
        <v>1.2E-2</v>
      </c>
      <c r="AF35" s="2123">
        <f t="shared" si="236"/>
        <v>1.2E-2</v>
      </c>
      <c r="AG35" s="2123">
        <f>ROUND(AVERAGE(K35:K$41)/100,4)</f>
        <v>1.4E-2</v>
      </c>
      <c r="AH35" s="2123">
        <f>ROUND(AVERAGE(L35:L$41)/100,4)</f>
        <v>1.0800000000000001E-2</v>
      </c>
    </row>
    <row r="36" spans="1:34">
      <c r="A36" s="2126" t="s">
        <v>99</v>
      </c>
      <c r="B36" s="2127">
        <f t="shared" si="241"/>
        <v>322.34053690220776</v>
      </c>
      <c r="C36" s="2127">
        <f t="shared" si="241"/>
        <v>271.46160770422546</v>
      </c>
      <c r="D36" s="2127">
        <f t="shared" si="238"/>
        <v>271.46160770422546</v>
      </c>
      <c r="E36" s="2127">
        <f t="shared" si="242"/>
        <v>442.69434542172456</v>
      </c>
      <c r="F36" s="2127">
        <f t="shared" si="242"/>
        <v>241.34030753190925</v>
      </c>
      <c r="G36" s="3455"/>
      <c r="H36" s="2141">
        <v>2</v>
      </c>
      <c r="I36" s="2141">
        <v>0.77</v>
      </c>
      <c r="J36" s="2141">
        <v>0.69</v>
      </c>
      <c r="K36" s="2141">
        <v>0.8</v>
      </c>
      <c r="L36" s="2142">
        <v>0.88</v>
      </c>
      <c r="N36" s="2130">
        <f t="shared" si="240"/>
        <v>7.7000000000000002E-3</v>
      </c>
      <c r="O36" s="2123">
        <f t="shared" si="235"/>
        <v>6.8999999999999999E-3</v>
      </c>
      <c r="P36" s="2123">
        <f t="shared" si="235"/>
        <v>8.0000000000000002E-3</v>
      </c>
      <c r="Q36" s="2123">
        <f t="shared" si="235"/>
        <v>8.8000000000000005E-3</v>
      </c>
      <c r="R36" s="2138"/>
      <c r="S36" s="2130"/>
      <c r="T36" s="2123"/>
      <c r="U36" s="2123"/>
      <c r="V36" s="2123"/>
      <c r="X36" s="2122">
        <f>ROUND(SUMPRODUCT(PRODUCT(1+N36:N$40)),4)</f>
        <v>1.048</v>
      </c>
      <c r="Y36" s="2122">
        <f>ROUND(SUMPRODUCT(PRODUCT(1+O36:O$40)),4)</f>
        <v>1.0524</v>
      </c>
      <c r="Z36" s="2122">
        <f t="shared" si="0"/>
        <v>1.0524</v>
      </c>
      <c r="AA36" s="2122">
        <f>ROUND(SUMPRODUCT(PRODUCT(1+P36:P$40)),4)</f>
        <v>1.0470999999999999</v>
      </c>
      <c r="AB36" s="2122">
        <f>ROUND(SUMPRODUCT(PRODUCT(1+Q36:Q$40)),4)</f>
        <v>1.0504</v>
      </c>
      <c r="AD36" s="2123">
        <f>ROUND(AVERAGE(I36:I$41)/100,4)</f>
        <v>1.2800000000000001E-2</v>
      </c>
      <c r="AE36" s="2123">
        <f>ROUND(AVERAGE(J36:J$41)/100,4)</f>
        <v>1.2500000000000001E-2</v>
      </c>
      <c r="AF36" s="2123">
        <f t="shared" si="236"/>
        <v>1.2500000000000001E-2</v>
      </c>
      <c r="AG36" s="2123">
        <f>ROUND(AVERAGE(K36:K$41)/100,4)</f>
        <v>1.32E-2</v>
      </c>
      <c r="AH36" s="2123">
        <f>ROUND(AVERAGE(L36:L$41)/100,4)</f>
        <v>1.0500000000000001E-2</v>
      </c>
    </row>
    <row r="37" spans="1:34">
      <c r="A37" s="2126" t="s">
        <v>98</v>
      </c>
      <c r="B37" s="2127">
        <f t="shared" si="241"/>
        <v>319.87748030386797</v>
      </c>
      <c r="C37" s="2127">
        <f t="shared" si="241"/>
        <v>269.60135833173649</v>
      </c>
      <c r="D37" s="2127">
        <f t="shared" si="238"/>
        <v>269.60135833173649</v>
      </c>
      <c r="E37" s="2127">
        <f t="shared" si="242"/>
        <v>439.18089823583784</v>
      </c>
      <c r="F37" s="2127">
        <f t="shared" si="242"/>
        <v>239.23503918706311</v>
      </c>
      <c r="G37" s="3456"/>
      <c r="H37" s="2128">
        <v>1</v>
      </c>
      <c r="I37" s="2128">
        <v>0.51</v>
      </c>
      <c r="J37" s="2128">
        <v>0.54</v>
      </c>
      <c r="K37" s="2128">
        <v>0.48</v>
      </c>
      <c r="L37" s="2129">
        <v>0.93</v>
      </c>
      <c r="N37" s="2143">
        <f t="shared" si="240"/>
        <v>5.1000000000000004E-3</v>
      </c>
      <c r="O37" s="2144">
        <f t="shared" si="235"/>
        <v>5.4000000000000003E-3</v>
      </c>
      <c r="P37" s="2144">
        <f t="shared" si="235"/>
        <v>4.7999999999999996E-3</v>
      </c>
      <c r="Q37" s="2144">
        <f t="shared" si="235"/>
        <v>9.300000000000001E-3</v>
      </c>
      <c r="R37" s="2138"/>
      <c r="S37" s="2143">
        <f>B37/B38-1</f>
        <v>5.9040261127922822E-3</v>
      </c>
      <c r="T37" s="2144">
        <f>C37/C38-1</f>
        <v>5.9752176557332781E-3</v>
      </c>
      <c r="U37" s="2144">
        <f>E37/E38-1</f>
        <v>4.9906138119859556E-3</v>
      </c>
      <c r="V37" s="2144">
        <f>F37/F38-1</f>
        <v>9.4305450930933787E-3</v>
      </c>
      <c r="X37" s="2122">
        <f>ROUND(SUMPRODUCT(PRODUCT(1+N37:N$40)),4)</f>
        <v>1.0399</v>
      </c>
      <c r="Y37" s="2122">
        <f>ROUND(SUMPRODUCT(PRODUCT(1+O37:O$40)),4)</f>
        <v>1.0451999999999999</v>
      </c>
      <c r="Z37" s="2122">
        <f t="shared" si="0"/>
        <v>1.0451999999999999</v>
      </c>
      <c r="AA37" s="2122">
        <f>ROUND(SUMPRODUCT(PRODUCT(1+P37:P$40)),4)</f>
        <v>1.0387999999999999</v>
      </c>
      <c r="AB37" s="2122">
        <f>ROUND(SUMPRODUCT(PRODUCT(1+Q37:Q$40)),4)</f>
        <v>1.0411999999999999</v>
      </c>
      <c r="AD37" s="2123">
        <f>ROUND(AVERAGE(I37:I$41)/100,4)</f>
        <v>1.38E-2</v>
      </c>
      <c r="AE37" s="2123">
        <f>ROUND(AVERAGE(J37:J$41)/100,4)</f>
        <v>1.3599999999999999E-2</v>
      </c>
      <c r="AF37" s="2123">
        <f t="shared" si="236"/>
        <v>1.3599999999999999E-2</v>
      </c>
      <c r="AG37" s="2123">
        <f>ROUND(AVERAGE(K37:K$41)/100,4)</f>
        <v>1.4200000000000001E-2</v>
      </c>
      <c r="AH37" s="2123">
        <f>ROUND(AVERAGE(L37:L$41)/100,4)</f>
        <v>1.0800000000000001E-2</v>
      </c>
    </row>
    <row r="38" spans="1:34" ht="13.8" thickBot="1">
      <c r="A38" s="2126" t="s">
        <v>97</v>
      </c>
      <c r="B38" s="2150">
        <v>318</v>
      </c>
      <c r="C38" s="2150">
        <v>268</v>
      </c>
      <c r="D38" s="2150">
        <f t="shared" si="238"/>
        <v>268</v>
      </c>
      <c r="E38" s="2150">
        <v>437</v>
      </c>
      <c r="F38" s="2151">
        <v>237</v>
      </c>
      <c r="G38" s="3454">
        <v>2014</v>
      </c>
      <c r="H38" s="2145">
        <v>4</v>
      </c>
      <c r="I38" s="2145">
        <v>0.21</v>
      </c>
      <c r="J38" s="2145">
        <v>0.41</v>
      </c>
      <c r="K38" s="2145">
        <v>0.12</v>
      </c>
      <c r="L38" s="2146">
        <v>0.89</v>
      </c>
      <c r="N38" s="2130">
        <f t="shared" si="240"/>
        <v>2.0999999999999999E-3</v>
      </c>
      <c r="O38" s="2123">
        <f t="shared" si="235"/>
        <v>4.0999999999999995E-3</v>
      </c>
      <c r="P38" s="2123">
        <f t="shared" si="235"/>
        <v>1.1999999999999999E-3</v>
      </c>
      <c r="Q38" s="2123">
        <f t="shared" si="235"/>
        <v>8.8999999999999999E-3</v>
      </c>
      <c r="R38" s="2138"/>
      <c r="S38" s="2139"/>
      <c r="T38" s="2140"/>
      <c r="U38" s="2140"/>
      <c r="V38" s="2140"/>
      <c r="X38" s="2122">
        <f>ROUND(SUMPRODUCT(PRODUCT(1+N38:N$40)),4)</f>
        <v>1.0347</v>
      </c>
      <c r="Y38" s="2122">
        <f>ROUND(SUMPRODUCT(PRODUCT(1+O38:O$40)),4)</f>
        <v>1.0395000000000001</v>
      </c>
      <c r="Z38" s="2122">
        <f t="shared" si="0"/>
        <v>1.0395000000000001</v>
      </c>
      <c r="AA38" s="2122">
        <f>ROUND(SUMPRODUCT(PRODUCT(1+P38:P$40)),4)</f>
        <v>1.0338000000000001</v>
      </c>
      <c r="AB38" s="2122">
        <f>ROUND(SUMPRODUCT(PRODUCT(1+Q38:Q$40)),4)</f>
        <v>1.0316000000000001</v>
      </c>
      <c r="AD38" s="2123">
        <f>ROUND(AVERAGE(I38:I$41)/100,4)</f>
        <v>1.6E-2</v>
      </c>
      <c r="AE38" s="2123">
        <f>ROUND(AVERAGE(J38:J$41)/100,4)</f>
        <v>1.5599999999999999E-2</v>
      </c>
      <c r="AF38" s="2123">
        <f t="shared" si="236"/>
        <v>1.5599999999999999E-2</v>
      </c>
      <c r="AG38" s="2123">
        <f>ROUND(AVERAGE(K38:K$41)/100,4)</f>
        <v>1.66E-2</v>
      </c>
      <c r="AH38" s="2123">
        <f>ROUND(AVERAGE(L38:L$41)/100,4)</f>
        <v>1.12E-2</v>
      </c>
    </row>
    <row r="39" spans="1:34">
      <c r="A39" s="2126" t="s">
        <v>96</v>
      </c>
      <c r="B39" s="2127">
        <f t="shared" ref="B39:C41" si="243">B38/(1+N38)</f>
        <v>317.33359944117353</v>
      </c>
      <c r="C39" s="2127">
        <f t="shared" si="243"/>
        <v>266.90568668459315</v>
      </c>
      <c r="D39" s="2127">
        <f t="shared" si="238"/>
        <v>266.90568668459315</v>
      </c>
      <c r="E39" s="2127">
        <f t="shared" ref="E39:F41" si="244">E38/(1+P38)</f>
        <v>436.47622852576905</v>
      </c>
      <c r="F39" s="2127">
        <f t="shared" si="244"/>
        <v>234.90930716622066</v>
      </c>
      <c r="G39" s="3455"/>
      <c r="H39" s="2152">
        <v>3</v>
      </c>
      <c r="I39" s="2152">
        <v>0.83</v>
      </c>
      <c r="J39" s="2152">
        <v>1.47</v>
      </c>
      <c r="K39" s="2152">
        <v>0.65</v>
      </c>
      <c r="L39" s="2153">
        <v>0.72</v>
      </c>
      <c r="N39" s="2130">
        <f t="shared" si="240"/>
        <v>8.3000000000000001E-3</v>
      </c>
      <c r="O39" s="2123">
        <f t="shared" si="235"/>
        <v>1.47E-2</v>
      </c>
      <c r="P39" s="2123">
        <f t="shared" si="235"/>
        <v>6.5000000000000006E-3</v>
      </c>
      <c r="Q39" s="2123">
        <f t="shared" si="235"/>
        <v>7.1999999999999998E-3</v>
      </c>
      <c r="R39" s="2138"/>
      <c r="S39" s="2130"/>
      <c r="T39" s="2123"/>
      <c r="U39" s="2123"/>
      <c r="V39" s="2123"/>
      <c r="X39" s="2122">
        <f>ROUND(SUMPRODUCT(PRODUCT(1+N39:N$40)),4)</f>
        <v>1.0325</v>
      </c>
      <c r="Y39" s="2122">
        <f>ROUND(SUMPRODUCT(PRODUCT(1+O39:O$40)),4)</f>
        <v>1.0353000000000001</v>
      </c>
      <c r="Z39" s="2122">
        <f t="shared" ref="Z39:Z40" si="245">Y39</f>
        <v>1.0353000000000001</v>
      </c>
      <c r="AA39" s="2122">
        <f>ROUND(SUMPRODUCT(PRODUCT(1+P39:P$40)),4)</f>
        <v>1.0326</v>
      </c>
      <c r="AB39" s="2122">
        <f>ROUND(SUMPRODUCT(PRODUCT(1+Q39:Q$40)),4)</f>
        <v>1.0225</v>
      </c>
      <c r="AD39" s="2123">
        <f>ROUND(AVERAGE(I39:I$41)/100,4)</f>
        <v>2.07E-2</v>
      </c>
      <c r="AE39" s="2123">
        <f>ROUND(AVERAGE(J39:J$41)/100,4)</f>
        <v>1.95E-2</v>
      </c>
      <c r="AF39" s="2123">
        <f t="shared" si="236"/>
        <v>1.95E-2</v>
      </c>
      <c r="AG39" s="2123">
        <f>ROUND(AVERAGE(K39:K$41)/100,4)</f>
        <v>2.1700000000000001E-2</v>
      </c>
      <c r="AH39" s="2123">
        <f>ROUND(AVERAGE(L39:L$41)/100,4)</f>
        <v>1.2E-2</v>
      </c>
    </row>
    <row r="40" spans="1:34" ht="13.8" thickBot="1">
      <c r="A40" s="2126" t="s">
        <v>95</v>
      </c>
      <c r="B40" s="2127">
        <f t="shared" si="243"/>
        <v>314.72141172386546</v>
      </c>
      <c r="C40" s="2127">
        <f t="shared" si="243"/>
        <v>263.03901319069001</v>
      </c>
      <c r="D40" s="2127">
        <f t="shared" si="238"/>
        <v>263.03901319069001</v>
      </c>
      <c r="E40" s="2127">
        <f t="shared" si="244"/>
        <v>433.65745506782821</v>
      </c>
      <c r="F40" s="2127">
        <f t="shared" si="244"/>
        <v>233.23005080045735</v>
      </c>
      <c r="G40" s="3455"/>
      <c r="H40" s="2145">
        <v>2</v>
      </c>
      <c r="I40" s="2145">
        <v>2.4</v>
      </c>
      <c r="J40" s="2145">
        <v>2.0299999999999998</v>
      </c>
      <c r="K40" s="2145">
        <v>2.59</v>
      </c>
      <c r="L40" s="2146">
        <v>1.52</v>
      </c>
      <c r="N40" s="2130">
        <f t="shared" si="240"/>
        <v>2.4E-2</v>
      </c>
      <c r="O40" s="2123">
        <f t="shared" si="235"/>
        <v>2.0299999999999999E-2</v>
      </c>
      <c r="P40" s="2123">
        <f t="shared" si="235"/>
        <v>2.5899999999999999E-2</v>
      </c>
      <c r="Q40" s="2123">
        <f t="shared" si="235"/>
        <v>1.52E-2</v>
      </c>
      <c r="R40" s="2138"/>
      <c r="S40" s="2130"/>
      <c r="T40" s="2123"/>
      <c r="U40" s="2123"/>
      <c r="V40" s="2123"/>
      <c r="X40" s="2122">
        <f>1+N40</f>
        <v>1.024</v>
      </c>
      <c r="Y40" s="2122">
        <f>1+O40</f>
        <v>1.0203</v>
      </c>
      <c r="Z40" s="2122">
        <f t="shared" si="245"/>
        <v>1.0203</v>
      </c>
      <c r="AA40" s="2122">
        <f>1+P40</f>
        <v>1.0259</v>
      </c>
      <c r="AB40" s="2122">
        <f>1+Q40</f>
        <v>1.0152000000000001</v>
      </c>
      <c r="AD40" s="2123">
        <f>ROUND(AVERAGE(I40:I$41)/100,4)</f>
        <v>2.69E-2</v>
      </c>
      <c r="AE40" s="2123">
        <f>ROUND(AVERAGE(J40:J$41)/100,4)</f>
        <v>2.1899999999999999E-2</v>
      </c>
      <c r="AF40" s="2123">
        <f t="shared" ref="AF40" si="246">AE40</f>
        <v>2.1899999999999999E-2</v>
      </c>
      <c r="AG40" s="2123">
        <f>ROUND(AVERAGE(K40:K$41)/100,4)</f>
        <v>2.9399999999999999E-2</v>
      </c>
      <c r="AH40" s="2123">
        <f>ROUND(AVERAGE(L40:L$41)/100,4)</f>
        <v>1.44E-2</v>
      </c>
    </row>
    <row r="41" spans="1:34" s="2158" customFormat="1" ht="13.8" thickBot="1">
      <c r="A41" s="2154" t="s">
        <v>94</v>
      </c>
      <c r="B41" s="2155">
        <f t="shared" si="243"/>
        <v>307.34512863658733</v>
      </c>
      <c r="C41" s="2155">
        <f t="shared" si="243"/>
        <v>257.80556031626975</v>
      </c>
      <c r="D41" s="2155">
        <f t="shared" si="238"/>
        <v>257.80556031626975</v>
      </c>
      <c r="E41" s="2155">
        <f t="shared" si="244"/>
        <v>422.70928459677179</v>
      </c>
      <c r="F41" s="2155">
        <f t="shared" si="244"/>
        <v>229.73803270336617</v>
      </c>
      <c r="G41" s="3456"/>
      <c r="H41" s="2156">
        <v>1</v>
      </c>
      <c r="I41" s="2156">
        <v>2.97</v>
      </c>
      <c r="J41" s="2156">
        <v>2.34</v>
      </c>
      <c r="K41" s="2156">
        <v>3.28</v>
      </c>
      <c r="L41" s="2157">
        <v>1.36</v>
      </c>
      <c r="N41" s="2159">
        <f t="shared" si="240"/>
        <v>2.9700000000000001E-2</v>
      </c>
      <c r="O41" s="2160">
        <f t="shared" si="235"/>
        <v>2.3399999999999997E-2</v>
      </c>
      <c r="P41" s="2160">
        <f t="shared" si="235"/>
        <v>3.2799999999999996E-2</v>
      </c>
      <c r="Q41" s="2160">
        <f t="shared" si="235"/>
        <v>1.3600000000000001E-2</v>
      </c>
      <c r="R41" s="2161"/>
      <c r="S41" s="2162">
        <f>B41/B42-1</f>
        <v>2.7910129219355539E-2</v>
      </c>
      <c r="T41" s="2163">
        <f>C41/C42-1</f>
        <v>2.3037937762975247E-2</v>
      </c>
      <c r="U41" s="2163">
        <f>E41/E42-1</f>
        <v>3.3519033243940788E-2</v>
      </c>
      <c r="V41" s="2163">
        <f>F41/F42-1</f>
        <v>1.2061818076502862E-2</v>
      </c>
      <c r="W41" s="2164" t="s">
        <v>967</v>
      </c>
      <c r="X41" s="2158">
        <v>1</v>
      </c>
      <c r="Y41" s="2158">
        <v>1</v>
      </c>
      <c r="Z41" s="2158">
        <v>1</v>
      </c>
      <c r="AA41" s="2158">
        <v>1</v>
      </c>
      <c r="AB41" s="2158">
        <v>1</v>
      </c>
      <c r="AD41" s="2160">
        <f>I41/100</f>
        <v>2.9700000000000001E-2</v>
      </c>
      <c r="AE41" s="2160">
        <f>J41/100</f>
        <v>2.3399999999999997E-2</v>
      </c>
      <c r="AF41" s="2160">
        <f>AE41</f>
        <v>2.3399999999999997E-2</v>
      </c>
      <c r="AG41" s="2160">
        <f>K41/100</f>
        <v>3.2799999999999996E-2</v>
      </c>
      <c r="AH41" s="2160">
        <f>L41/100</f>
        <v>1.3600000000000001E-2</v>
      </c>
    </row>
    <row r="42" spans="1:34" ht="13.8" thickBot="1">
      <c r="A42" s="2126" t="s">
        <v>800</v>
      </c>
      <c r="B42" s="2134">
        <v>299</v>
      </c>
      <c r="C42" s="2134">
        <v>252</v>
      </c>
      <c r="D42" s="2134">
        <f t="shared" si="238"/>
        <v>252</v>
      </c>
      <c r="E42" s="2134">
        <v>409</v>
      </c>
      <c r="F42" s="2135">
        <v>227</v>
      </c>
      <c r="G42" s="3459">
        <v>2013</v>
      </c>
      <c r="H42" s="2165">
        <v>4</v>
      </c>
      <c r="I42" s="2165">
        <v>1.83</v>
      </c>
      <c r="J42" s="2165">
        <v>1.68</v>
      </c>
      <c r="K42" s="2165">
        <v>1.97</v>
      </c>
      <c r="L42" s="2166">
        <v>0.87</v>
      </c>
      <c r="N42" s="2136">
        <f t="shared" si="240"/>
        <v>1.83E-2</v>
      </c>
      <c r="O42" s="2137">
        <f t="shared" si="235"/>
        <v>1.6799999999999999E-2</v>
      </c>
      <c r="P42" s="2137">
        <f t="shared" si="235"/>
        <v>1.9699999999999999E-2</v>
      </c>
      <c r="Q42" s="2137">
        <f t="shared" si="235"/>
        <v>8.6999999999999994E-3</v>
      </c>
      <c r="R42" s="2138"/>
      <c r="S42" s="2139"/>
      <c r="T42" s="2140"/>
      <c r="U42" s="2140"/>
      <c r="V42" s="2140"/>
      <c r="X42" s="2140"/>
      <c r="Y42" s="2140"/>
      <c r="Z42" s="2140"/>
    </row>
    <row r="43" spans="1:34">
      <c r="A43" s="2126" t="s">
        <v>801</v>
      </c>
      <c r="B43" s="2127">
        <f t="shared" ref="B43:C45" si="247">B42/(1+N42)</f>
        <v>293.62663262299913</v>
      </c>
      <c r="C43" s="2127">
        <f t="shared" si="247"/>
        <v>247.83634933123525</v>
      </c>
      <c r="D43" s="2127">
        <f t="shared" si="238"/>
        <v>247.83634933123525</v>
      </c>
      <c r="E43" s="2127">
        <f t="shared" ref="E43:F45" si="248">E42/(1+P42)</f>
        <v>401.09836226341076</v>
      </c>
      <c r="F43" s="2127">
        <f t="shared" si="248"/>
        <v>225.04213343908003</v>
      </c>
      <c r="G43" s="3460"/>
      <c r="H43" s="2148">
        <v>3</v>
      </c>
      <c r="I43" s="2148">
        <v>1.86</v>
      </c>
      <c r="J43" s="2148">
        <v>1.72</v>
      </c>
      <c r="K43" s="2148">
        <v>1.98</v>
      </c>
      <c r="L43" s="2149">
        <v>0.88</v>
      </c>
      <c r="N43" s="2130">
        <f t="shared" si="240"/>
        <v>1.8600000000000002E-2</v>
      </c>
      <c r="O43" s="2123">
        <f t="shared" si="235"/>
        <v>1.72E-2</v>
      </c>
      <c r="P43" s="2123">
        <f t="shared" si="235"/>
        <v>1.9799999999999998E-2</v>
      </c>
      <c r="Q43" s="2123">
        <f t="shared" si="235"/>
        <v>8.8000000000000005E-3</v>
      </c>
      <c r="R43" s="2138"/>
      <c r="S43" s="2130"/>
      <c r="T43" s="2123"/>
      <c r="U43" s="2123"/>
      <c r="V43" s="2123"/>
    </row>
    <row r="44" spans="1:34">
      <c r="A44" s="2126" t="s">
        <v>802</v>
      </c>
      <c r="B44" s="2127">
        <f t="shared" si="247"/>
        <v>288.2649053828776</v>
      </c>
      <c r="C44" s="2127">
        <f t="shared" si="247"/>
        <v>243.64564425013293</v>
      </c>
      <c r="D44" s="2127">
        <f t="shared" si="238"/>
        <v>243.64564425013293</v>
      </c>
      <c r="E44" s="2127">
        <f t="shared" si="248"/>
        <v>393.31080825986544</v>
      </c>
      <c r="F44" s="2127">
        <f t="shared" si="248"/>
        <v>223.07903790551154</v>
      </c>
      <c r="G44" s="3460"/>
      <c r="H44" s="2141">
        <v>2</v>
      </c>
      <c r="I44" s="2141">
        <v>2.04</v>
      </c>
      <c r="J44" s="2141">
        <v>2.33</v>
      </c>
      <c r="K44" s="2141">
        <v>2.0699999999999998</v>
      </c>
      <c r="L44" s="2142">
        <v>0.69</v>
      </c>
      <c r="N44" s="2130">
        <f t="shared" si="240"/>
        <v>2.0400000000000001E-2</v>
      </c>
      <c r="O44" s="2123">
        <f t="shared" si="235"/>
        <v>2.3300000000000001E-2</v>
      </c>
      <c r="P44" s="2123">
        <f t="shared" si="235"/>
        <v>2.07E-2</v>
      </c>
      <c r="Q44" s="2123">
        <f t="shared" si="235"/>
        <v>6.8999999999999999E-3</v>
      </c>
      <c r="R44" s="2138"/>
      <c r="S44" s="2130"/>
      <c r="T44" s="2123"/>
      <c r="U44" s="2123"/>
      <c r="V44" s="2123"/>
      <c r="X44" s="2167"/>
      <c r="Y44" s="2168"/>
    </row>
    <row r="45" spans="1:34">
      <c r="A45" s="2126" t="s">
        <v>803</v>
      </c>
      <c r="B45" s="2127">
        <f t="shared" si="247"/>
        <v>282.50186729015837</v>
      </c>
      <c r="C45" s="2127">
        <f t="shared" si="247"/>
        <v>238.09796174155468</v>
      </c>
      <c r="D45" s="2127">
        <f t="shared" si="238"/>
        <v>238.09796174155468</v>
      </c>
      <c r="E45" s="2127">
        <f t="shared" si="248"/>
        <v>385.33438646014054</v>
      </c>
      <c r="F45" s="2127">
        <f t="shared" si="248"/>
        <v>221.55034055567739</v>
      </c>
      <c r="G45" s="3461"/>
      <c r="H45" s="2128">
        <v>1</v>
      </c>
      <c r="I45" s="2128">
        <v>1.67</v>
      </c>
      <c r="J45" s="2128">
        <v>1.31</v>
      </c>
      <c r="K45" s="2128">
        <v>1.85</v>
      </c>
      <c r="L45" s="2129">
        <v>0.96</v>
      </c>
      <c r="N45" s="2143">
        <f t="shared" si="240"/>
        <v>1.67E-2</v>
      </c>
      <c r="O45" s="2144">
        <f t="shared" si="240"/>
        <v>1.3100000000000001E-2</v>
      </c>
      <c r="P45" s="2144">
        <f t="shared" si="240"/>
        <v>1.8500000000000003E-2</v>
      </c>
      <c r="Q45" s="2144">
        <f t="shared" si="240"/>
        <v>9.5999999999999992E-3</v>
      </c>
      <c r="R45" s="2138"/>
      <c r="S45" s="2143">
        <f>B45/B46-1</f>
        <v>1.6193767230785472E-2</v>
      </c>
      <c r="T45" s="2144">
        <f>C45/C46-1</f>
        <v>1.7512657015190891E-2</v>
      </c>
      <c r="U45" s="2144">
        <f>E45/E46-1</f>
        <v>1.6713420739157048E-2</v>
      </c>
      <c r="V45" s="2144">
        <f>F45/F46-1</f>
        <v>7.0470025258062563E-3</v>
      </c>
      <c r="Y45" s="2123"/>
      <c r="Z45" s="2123"/>
    </row>
    <row r="46" spans="1:34" ht="13.8" thickBot="1">
      <c r="A46" s="2126" t="s">
        <v>804</v>
      </c>
      <c r="B46" s="2169">
        <v>278</v>
      </c>
      <c r="C46" s="2169">
        <v>234</v>
      </c>
      <c r="D46" s="2169">
        <f t="shared" si="238"/>
        <v>234</v>
      </c>
      <c r="E46" s="2169">
        <v>379</v>
      </c>
      <c r="F46" s="2170">
        <v>220</v>
      </c>
      <c r="G46" s="3454">
        <v>2012</v>
      </c>
      <c r="H46" s="2145">
        <v>4</v>
      </c>
      <c r="I46" s="2145">
        <v>0.91</v>
      </c>
      <c r="J46" s="2145">
        <v>0.68</v>
      </c>
      <c r="K46" s="2145">
        <v>0.98</v>
      </c>
      <c r="L46" s="2146">
        <v>0.9</v>
      </c>
      <c r="N46" s="2130">
        <f t="shared" si="240"/>
        <v>9.1000000000000004E-3</v>
      </c>
      <c r="O46" s="2123">
        <f t="shared" si="240"/>
        <v>6.8000000000000005E-3</v>
      </c>
      <c r="P46" s="2123">
        <f t="shared" si="240"/>
        <v>9.7999999999999997E-3</v>
      </c>
      <c r="Q46" s="2123">
        <f t="shared" si="240"/>
        <v>9.0000000000000011E-3</v>
      </c>
      <c r="R46" s="2138"/>
      <c r="S46" s="2139"/>
      <c r="T46" s="2140"/>
      <c r="U46" s="2140"/>
      <c r="V46" s="2140"/>
      <c r="X46" s="2140"/>
      <c r="Y46" s="2140"/>
      <c r="Z46" s="2140"/>
    </row>
    <row r="47" spans="1:34">
      <c r="A47" s="2126" t="s">
        <v>805</v>
      </c>
      <c r="B47" s="2127">
        <f>B46/(1+N46)</f>
        <v>275.49301357645425</v>
      </c>
      <c r="C47" s="2127">
        <f>C46/(1+O46)</f>
        <v>232.41954707985698</v>
      </c>
      <c r="D47" s="2127">
        <f t="shared" si="238"/>
        <v>232.41954707985698</v>
      </c>
      <c r="E47" s="2127">
        <f t="shared" ref="E47:F49" si="249">E46/(1+P46)</f>
        <v>375.32184591008121</v>
      </c>
      <c r="F47" s="2127">
        <f t="shared" si="249"/>
        <v>218.03766105054513</v>
      </c>
      <c r="G47" s="3455"/>
      <c r="H47" s="2148">
        <v>3</v>
      </c>
      <c r="I47" s="2148">
        <v>0.09</v>
      </c>
      <c r="J47" s="2148">
        <v>0.28999999999999998</v>
      </c>
      <c r="K47" s="2148">
        <v>-0.01</v>
      </c>
      <c r="L47" s="2149">
        <v>0.57999999999999996</v>
      </c>
      <c r="N47" s="2130">
        <f t="shared" si="240"/>
        <v>8.9999999999999998E-4</v>
      </c>
      <c r="O47" s="2123">
        <f t="shared" si="240"/>
        <v>2.8999999999999998E-3</v>
      </c>
      <c r="P47" s="2123">
        <f t="shared" si="240"/>
        <v>-1E-4</v>
      </c>
      <c r="Q47" s="2123">
        <f t="shared" si="240"/>
        <v>5.7999999999999996E-3</v>
      </c>
      <c r="R47" s="2138"/>
      <c r="S47" s="2130"/>
      <c r="T47" s="2123"/>
      <c r="U47" s="2123"/>
      <c r="V47" s="2123"/>
    </row>
    <row r="48" spans="1:34">
      <c r="A48" s="2126" t="s">
        <v>806</v>
      </c>
      <c r="B48" s="2127">
        <f>B47/(1+N47)</f>
        <v>275.24529281292263</v>
      </c>
      <c r="C48" s="2127">
        <f>C47/(1+O47)</f>
        <v>231.74747938962707</v>
      </c>
      <c r="D48" s="2127">
        <f t="shared" si="238"/>
        <v>231.74747938962707</v>
      </c>
      <c r="E48" s="2127">
        <f t="shared" si="249"/>
        <v>375.35938184826603</v>
      </c>
      <c r="F48" s="2127">
        <f t="shared" si="249"/>
        <v>216.78033510692495</v>
      </c>
      <c r="G48" s="3455"/>
      <c r="H48" s="2141">
        <v>2</v>
      </c>
      <c r="I48" s="2141">
        <v>0.02</v>
      </c>
      <c r="J48" s="2141">
        <v>0.12</v>
      </c>
      <c r="K48" s="2141">
        <v>-0.08</v>
      </c>
      <c r="L48" s="2142">
        <v>1.24</v>
      </c>
      <c r="N48" s="2130">
        <f t="shared" si="240"/>
        <v>2.0000000000000001E-4</v>
      </c>
      <c r="O48" s="2123">
        <f t="shared" si="240"/>
        <v>1.1999999999999999E-3</v>
      </c>
      <c r="P48" s="2123">
        <f t="shared" si="240"/>
        <v>-8.0000000000000004E-4</v>
      </c>
      <c r="Q48" s="2123">
        <f t="shared" si="240"/>
        <v>1.24E-2</v>
      </c>
      <c r="R48" s="2138"/>
      <c r="S48" s="2130"/>
      <c r="T48" s="2123"/>
      <c r="U48" s="2123"/>
      <c r="V48" s="2123"/>
    </row>
    <row r="49" spans="1:26" ht="13.8" thickBot="1">
      <c r="A49" s="2126" t="s">
        <v>807</v>
      </c>
      <c r="B49" s="2127">
        <f>B48/(1+N48)</f>
        <v>275.19025476197027</v>
      </c>
      <c r="C49" s="2171">
        <v>232</v>
      </c>
      <c r="D49" s="2171">
        <f t="shared" si="238"/>
        <v>232</v>
      </c>
      <c r="E49" s="2127">
        <f t="shared" si="249"/>
        <v>375.65990977608692</v>
      </c>
      <c r="F49" s="2127">
        <f t="shared" si="249"/>
        <v>214.12518283971252</v>
      </c>
      <c r="G49" s="3456"/>
      <c r="H49" s="2128">
        <v>1</v>
      </c>
      <c r="I49" s="2128">
        <v>0.02</v>
      </c>
      <c r="J49" s="2128">
        <v>0.13</v>
      </c>
      <c r="K49" s="2128">
        <v>-0.04</v>
      </c>
      <c r="L49" s="2129">
        <v>0.46</v>
      </c>
      <c r="N49" s="2130">
        <f t="shared" si="240"/>
        <v>2.0000000000000001E-4</v>
      </c>
      <c r="O49" s="2123">
        <f t="shared" si="240"/>
        <v>1.2999999999999999E-3</v>
      </c>
      <c r="P49" s="2123">
        <f t="shared" si="240"/>
        <v>-4.0000000000000002E-4</v>
      </c>
      <c r="Q49" s="2123">
        <f t="shared" si="240"/>
        <v>4.5999999999999999E-3</v>
      </c>
      <c r="R49" s="2138"/>
      <c r="S49" s="2143">
        <f>B49/B50-1</f>
        <v>6.9183549807361189E-4</v>
      </c>
      <c r="T49" s="2144">
        <f>C49/C50-1</f>
        <v>0</v>
      </c>
      <c r="U49" s="2144">
        <f>E49/E50-1</f>
        <v>-9.0449527636460303E-4</v>
      </c>
      <c r="V49" s="2144">
        <f>F49/F50-1</f>
        <v>5.2825485432512753E-3</v>
      </c>
      <c r="X49" s="2123"/>
      <c r="Y49" s="2123"/>
      <c r="Z49" s="2123"/>
    </row>
    <row r="50" spans="1:26" ht="13.8" thickBot="1">
      <c r="A50" s="2126" t="s">
        <v>808</v>
      </c>
      <c r="B50" s="2134">
        <v>275</v>
      </c>
      <c r="C50" s="2134">
        <v>232</v>
      </c>
      <c r="D50" s="2134">
        <f t="shared" si="238"/>
        <v>232</v>
      </c>
      <c r="E50" s="2134">
        <v>376</v>
      </c>
      <c r="F50" s="2135">
        <v>213</v>
      </c>
      <c r="G50" s="3454">
        <v>2011</v>
      </c>
      <c r="H50" s="2145">
        <v>4</v>
      </c>
      <c r="I50" s="2145">
        <v>-0.2</v>
      </c>
      <c r="J50" s="2145">
        <v>0.04</v>
      </c>
      <c r="K50" s="2145">
        <v>-0.34</v>
      </c>
      <c r="L50" s="2146">
        <v>0.46</v>
      </c>
      <c r="N50" s="2136">
        <f t="shared" si="240"/>
        <v>-2E-3</v>
      </c>
      <c r="O50" s="2137">
        <f t="shared" si="240"/>
        <v>4.0000000000000002E-4</v>
      </c>
      <c r="P50" s="2137">
        <f t="shared" si="240"/>
        <v>-3.4000000000000002E-3</v>
      </c>
      <c r="Q50" s="2137">
        <f t="shared" si="240"/>
        <v>4.5999999999999999E-3</v>
      </c>
      <c r="R50" s="2138"/>
      <c r="S50" s="2139"/>
      <c r="T50" s="2140"/>
      <c r="U50" s="2140"/>
      <c r="V50" s="2140"/>
      <c r="X50" s="2140"/>
      <c r="Y50" s="2140"/>
      <c r="Z50" s="2140"/>
    </row>
    <row r="51" spans="1:26">
      <c r="A51" s="2126" t="s">
        <v>809</v>
      </c>
      <c r="B51" s="2127">
        <f t="shared" ref="B51:C53" si="250">B50/(1+N50)</f>
        <v>275.55110220440883</v>
      </c>
      <c r="C51" s="2127">
        <f t="shared" si="250"/>
        <v>231.90723710515795</v>
      </c>
      <c r="D51" s="2127">
        <f t="shared" si="238"/>
        <v>231.90723710515795</v>
      </c>
      <c r="E51" s="2127">
        <f t="shared" ref="E51:F53" si="251">E50/(1+P50)</f>
        <v>377.28276138872161</v>
      </c>
      <c r="F51" s="2127">
        <f t="shared" si="251"/>
        <v>212.02468644236512</v>
      </c>
      <c r="G51" s="3455">
        <v>2011</v>
      </c>
      <c r="H51" s="2148">
        <v>3</v>
      </c>
      <c r="I51" s="2148">
        <v>0.13</v>
      </c>
      <c r="J51" s="2148">
        <v>0.75</v>
      </c>
      <c r="K51" s="2148">
        <v>-0.08</v>
      </c>
      <c r="L51" s="2149">
        <v>0.53</v>
      </c>
      <c r="N51" s="2130">
        <f t="shared" si="240"/>
        <v>1.2999999999999999E-3</v>
      </c>
      <c r="O51" s="2123">
        <f t="shared" si="240"/>
        <v>7.4999999999999997E-3</v>
      </c>
      <c r="P51" s="2123">
        <f t="shared" si="240"/>
        <v>-8.0000000000000004E-4</v>
      </c>
      <c r="Q51" s="2123">
        <f t="shared" si="240"/>
        <v>5.3E-3</v>
      </c>
      <c r="R51" s="2138"/>
      <c r="S51" s="2130"/>
      <c r="T51" s="2123"/>
      <c r="U51" s="2123"/>
      <c r="V51" s="2123"/>
    </row>
    <row r="52" spans="1:26">
      <c r="A52" s="2126" t="s">
        <v>810</v>
      </c>
      <c r="B52" s="2127">
        <f t="shared" si="250"/>
        <v>275.19335084830601</v>
      </c>
      <c r="C52" s="2127">
        <f t="shared" si="250"/>
        <v>230.18088050139744</v>
      </c>
      <c r="D52" s="2127">
        <f t="shared" si="238"/>
        <v>230.18088050139744</v>
      </c>
      <c r="E52" s="2127">
        <f t="shared" si="251"/>
        <v>377.58482925212331</v>
      </c>
      <c r="F52" s="2127">
        <f t="shared" si="251"/>
        <v>210.90687997847917</v>
      </c>
      <c r="G52" s="3455">
        <v>2011</v>
      </c>
      <c r="H52" s="2141">
        <v>2</v>
      </c>
      <c r="I52" s="2141">
        <v>-0.4</v>
      </c>
      <c r="J52" s="2141">
        <v>0.17</v>
      </c>
      <c r="K52" s="2141">
        <v>-0.57999999999999996</v>
      </c>
      <c r="L52" s="2142">
        <v>-0.2</v>
      </c>
      <c r="N52" s="2130">
        <f t="shared" si="240"/>
        <v>-4.0000000000000001E-3</v>
      </c>
      <c r="O52" s="2123">
        <f t="shared" si="240"/>
        <v>1.7000000000000001E-3</v>
      </c>
      <c r="P52" s="2123">
        <f t="shared" si="240"/>
        <v>-5.7999999999999996E-3</v>
      </c>
      <c r="Q52" s="2123">
        <f t="shared" si="240"/>
        <v>-2E-3</v>
      </c>
      <c r="R52" s="2138"/>
      <c r="S52" s="2130"/>
      <c r="T52" s="2123"/>
      <c r="U52" s="2123"/>
      <c r="V52" s="2123"/>
    </row>
    <row r="53" spans="1:26" ht="13.8" thickBot="1">
      <c r="A53" s="2126" t="s">
        <v>811</v>
      </c>
      <c r="B53" s="2127">
        <f t="shared" si="250"/>
        <v>276.29854502841971</v>
      </c>
      <c r="C53" s="2127">
        <f t="shared" si="250"/>
        <v>229.79023709833027</v>
      </c>
      <c r="D53" s="2127">
        <f t="shared" si="238"/>
        <v>229.79023709833027</v>
      </c>
      <c r="E53" s="2127">
        <f t="shared" si="251"/>
        <v>379.78759731655936</v>
      </c>
      <c r="F53" s="2127">
        <f t="shared" si="251"/>
        <v>211.32953905659235</v>
      </c>
      <c r="G53" s="3456">
        <v>2011</v>
      </c>
      <c r="H53" s="2128">
        <v>1</v>
      </c>
      <c r="I53" s="2128">
        <v>2.65</v>
      </c>
      <c r="J53" s="2128">
        <v>3.76</v>
      </c>
      <c r="K53" s="2128">
        <v>1.89</v>
      </c>
      <c r="L53" s="2129">
        <v>7.95</v>
      </c>
      <c r="N53" s="2143">
        <f t="shared" si="240"/>
        <v>2.6499999999999999E-2</v>
      </c>
      <c r="O53" s="2144">
        <f t="shared" si="240"/>
        <v>3.7599999999999995E-2</v>
      </c>
      <c r="P53" s="2144">
        <f t="shared" si="240"/>
        <v>1.89E-2</v>
      </c>
      <c r="Q53" s="2144">
        <f t="shared" si="240"/>
        <v>7.9500000000000001E-2</v>
      </c>
      <c r="R53" s="2138"/>
      <c r="S53" s="2143">
        <f>B53/B54-1</f>
        <v>2.713213765211786E-2</v>
      </c>
      <c r="T53" s="2144">
        <f>C53/C54-1</f>
        <v>3.9774828499231862E-2</v>
      </c>
      <c r="U53" s="2144">
        <f>E53/E54-1</f>
        <v>1.8197311840641772E-2</v>
      </c>
      <c r="V53" s="2144">
        <f>F53/F54-1</f>
        <v>7.8211933962205826E-2</v>
      </c>
      <c r="X53" s="2123"/>
      <c r="Y53" s="2123"/>
      <c r="Z53" s="2123"/>
    </row>
    <row r="54" spans="1:26" ht="13.8" thickBot="1">
      <c r="A54" s="2126" t="s">
        <v>812</v>
      </c>
      <c r="B54" s="2134">
        <v>269</v>
      </c>
      <c r="C54" s="2134">
        <v>221</v>
      </c>
      <c r="D54" s="2134">
        <f t="shared" si="238"/>
        <v>221</v>
      </c>
      <c r="E54" s="2134">
        <v>373</v>
      </c>
      <c r="F54" s="2135">
        <v>196</v>
      </c>
      <c r="G54" s="3454">
        <v>2010</v>
      </c>
      <c r="H54" s="2145">
        <v>4</v>
      </c>
      <c r="I54" s="2145">
        <v>5.72</v>
      </c>
      <c r="J54" s="2145">
        <v>6.57</v>
      </c>
      <c r="K54" s="2145">
        <v>5.72</v>
      </c>
      <c r="L54" s="2146">
        <v>2.72</v>
      </c>
      <c r="N54" s="2130">
        <f t="shared" si="240"/>
        <v>5.7200000000000001E-2</v>
      </c>
      <c r="O54" s="2123">
        <f t="shared" si="240"/>
        <v>6.5700000000000008E-2</v>
      </c>
      <c r="P54" s="2123">
        <f t="shared" si="240"/>
        <v>5.7200000000000001E-2</v>
      </c>
      <c r="Q54" s="2123">
        <f t="shared" si="240"/>
        <v>2.7200000000000002E-2</v>
      </c>
      <c r="R54" s="2138"/>
      <c r="S54" s="2139"/>
      <c r="T54" s="2140"/>
      <c r="U54" s="2140"/>
      <c r="V54" s="2140"/>
      <c r="X54" s="2140"/>
      <c r="Y54" s="2140"/>
      <c r="Z54" s="2140"/>
    </row>
    <row r="55" spans="1:26">
      <c r="A55" s="2126" t="s">
        <v>813</v>
      </c>
      <c r="B55" s="2127">
        <f t="shared" ref="B55:C57" si="252">B54/(1+N54)</f>
        <v>254.44570563753314</v>
      </c>
      <c r="C55" s="2127">
        <f t="shared" si="252"/>
        <v>207.37543398705074</v>
      </c>
      <c r="D55" s="2127">
        <f t="shared" si="238"/>
        <v>207.37543398705074</v>
      </c>
      <c r="E55" s="2127">
        <f t="shared" ref="E55:F57" si="253">E54/(1+P54)</f>
        <v>352.81876655315932</v>
      </c>
      <c r="F55" s="2127">
        <f t="shared" si="253"/>
        <v>190.809968847352</v>
      </c>
      <c r="G55" s="3455">
        <v>2010</v>
      </c>
      <c r="H55" s="2148">
        <v>3</v>
      </c>
      <c r="I55" s="2148">
        <v>4.7300000000000004</v>
      </c>
      <c r="J55" s="2148">
        <v>3.9</v>
      </c>
      <c r="K55" s="2148">
        <v>5.03</v>
      </c>
      <c r="L55" s="2149">
        <v>4.21</v>
      </c>
      <c r="N55" s="2130">
        <f t="shared" si="240"/>
        <v>4.7300000000000002E-2</v>
      </c>
      <c r="O55" s="2123">
        <f t="shared" si="240"/>
        <v>3.9E-2</v>
      </c>
      <c r="P55" s="2123">
        <f t="shared" si="240"/>
        <v>5.0300000000000004E-2</v>
      </c>
      <c r="Q55" s="2123">
        <f t="shared" si="240"/>
        <v>4.2099999999999999E-2</v>
      </c>
      <c r="R55" s="2138"/>
      <c r="S55" s="2130"/>
      <c r="T55" s="2123"/>
      <c r="U55" s="2123"/>
      <c r="V55" s="2123"/>
    </row>
    <row r="56" spans="1:26">
      <c r="A56" s="2126" t="s">
        <v>814</v>
      </c>
      <c r="B56" s="2127">
        <f t="shared" si="252"/>
        <v>242.95398227588385</v>
      </c>
      <c r="C56" s="2127">
        <f t="shared" si="252"/>
        <v>199.59137053614126</v>
      </c>
      <c r="D56" s="2127">
        <f t="shared" si="238"/>
        <v>199.59137053614126</v>
      </c>
      <c r="E56" s="2127">
        <f t="shared" si="253"/>
        <v>335.92189522342125</v>
      </c>
      <c r="F56" s="2127">
        <f t="shared" si="253"/>
        <v>183.10139991109489</v>
      </c>
      <c r="G56" s="3455">
        <v>2010</v>
      </c>
      <c r="H56" s="2141">
        <v>2</v>
      </c>
      <c r="I56" s="2141">
        <v>4.6900000000000004</v>
      </c>
      <c r="J56" s="2141">
        <v>3.55</v>
      </c>
      <c r="K56" s="2141">
        <v>5.07</v>
      </c>
      <c r="L56" s="2142">
        <v>4.2300000000000004</v>
      </c>
      <c r="N56" s="2130">
        <f t="shared" si="240"/>
        <v>4.6900000000000004E-2</v>
      </c>
      <c r="O56" s="2123">
        <f t="shared" si="240"/>
        <v>3.5499999999999997E-2</v>
      </c>
      <c r="P56" s="2123">
        <f t="shared" si="240"/>
        <v>5.0700000000000002E-2</v>
      </c>
      <c r="Q56" s="2123">
        <f t="shared" si="240"/>
        <v>4.2300000000000004E-2</v>
      </c>
      <c r="R56" s="2138"/>
      <c r="S56" s="2130"/>
      <c r="T56" s="2123"/>
      <c r="U56" s="2123"/>
      <c r="V56" s="2123"/>
    </row>
    <row r="57" spans="1:26" ht="13.8" thickBot="1">
      <c r="A57" s="2126" t="s">
        <v>815</v>
      </c>
      <c r="B57" s="2127">
        <f t="shared" si="252"/>
        <v>232.06990378821649</v>
      </c>
      <c r="C57" s="2127">
        <f t="shared" si="252"/>
        <v>192.74878854286936</v>
      </c>
      <c r="D57" s="2127">
        <f t="shared" si="238"/>
        <v>192.74878854286936</v>
      </c>
      <c r="E57" s="2127">
        <f t="shared" si="253"/>
        <v>319.71247284992984</v>
      </c>
      <c r="F57" s="2127">
        <f t="shared" si="253"/>
        <v>175.67053622862409</v>
      </c>
      <c r="G57" s="3456">
        <v>2010</v>
      </c>
      <c r="H57" s="2128">
        <v>1</v>
      </c>
      <c r="I57" s="2128">
        <v>5.4</v>
      </c>
      <c r="J57" s="2128">
        <v>3.2</v>
      </c>
      <c r="K57" s="2128">
        <v>6.16</v>
      </c>
      <c r="L57" s="2129">
        <v>4.51</v>
      </c>
      <c r="N57" s="2130">
        <f t="shared" si="240"/>
        <v>5.4000000000000006E-2</v>
      </c>
      <c r="O57" s="2123">
        <f t="shared" si="240"/>
        <v>3.2000000000000001E-2</v>
      </c>
      <c r="P57" s="2123">
        <f t="shared" si="240"/>
        <v>6.1600000000000002E-2</v>
      </c>
      <c r="Q57" s="2123">
        <f t="shared" si="240"/>
        <v>4.5100000000000001E-2</v>
      </c>
      <c r="R57" s="2138"/>
      <c r="S57" s="2143">
        <f>B57/B58-1</f>
        <v>5.4863199037347599E-2</v>
      </c>
      <c r="T57" s="2144">
        <f>C57/C58-1</f>
        <v>3.0742184721226584E-2</v>
      </c>
      <c r="U57" s="2144">
        <f>E57/E58-1</f>
        <v>6.2167683886810154E-2</v>
      </c>
      <c r="V57" s="2144">
        <f>F57/F58-1</f>
        <v>4.5657953741810031E-2</v>
      </c>
      <c r="X57" s="2123"/>
      <c r="Y57" s="2123"/>
      <c r="Z57" s="2123"/>
    </row>
    <row r="58" spans="1:26" ht="13.8" thickBot="1">
      <c r="A58" s="2126" t="s">
        <v>816</v>
      </c>
      <c r="B58" s="2134">
        <v>220</v>
      </c>
      <c r="C58" s="2134">
        <v>187</v>
      </c>
      <c r="D58" s="2134">
        <f t="shared" si="238"/>
        <v>187</v>
      </c>
      <c r="E58" s="2134">
        <v>301</v>
      </c>
      <c r="F58" s="2135">
        <v>168</v>
      </c>
      <c r="G58" s="3454">
        <v>2009</v>
      </c>
      <c r="H58" s="2145">
        <v>4</v>
      </c>
      <c r="I58" s="2145">
        <v>2.2999999999999998</v>
      </c>
      <c r="J58" s="2145">
        <v>1.04</v>
      </c>
      <c r="K58" s="2145">
        <v>2.84</v>
      </c>
      <c r="L58" s="2146">
        <v>0.67</v>
      </c>
      <c r="N58" s="2136">
        <f t="shared" si="240"/>
        <v>2.3E-2</v>
      </c>
      <c r="O58" s="2137">
        <f t="shared" si="240"/>
        <v>1.04E-2</v>
      </c>
      <c r="P58" s="2137">
        <f t="shared" si="240"/>
        <v>2.8399999999999998E-2</v>
      </c>
      <c r="Q58" s="2137">
        <f t="shared" si="240"/>
        <v>6.7000000000000002E-3</v>
      </c>
      <c r="R58" s="2138"/>
      <c r="S58" s="2139"/>
      <c r="T58" s="2140"/>
      <c r="U58" s="2140"/>
      <c r="V58" s="2140"/>
      <c r="X58" s="2140"/>
      <c r="Y58" s="2140"/>
      <c r="Z58" s="2140"/>
    </row>
    <row r="59" spans="1:26">
      <c r="A59" s="2126" t="s">
        <v>817</v>
      </c>
      <c r="B59" s="2127">
        <f t="shared" ref="B59:C61" si="254">B58/(1+N58)</f>
        <v>215.05376344086022</v>
      </c>
      <c r="C59" s="2127">
        <f t="shared" si="254"/>
        <v>185.0752177355503</v>
      </c>
      <c r="D59" s="2127">
        <f t="shared" si="238"/>
        <v>185.0752177355503</v>
      </c>
      <c r="E59" s="2127">
        <f t="shared" ref="E59:F61" si="255">E58/(1+P58)</f>
        <v>292.68767016725008</v>
      </c>
      <c r="F59" s="2127">
        <f t="shared" si="255"/>
        <v>166.88189132810174</v>
      </c>
      <c r="G59" s="3455">
        <v>2009</v>
      </c>
      <c r="H59" s="2148">
        <v>3</v>
      </c>
      <c r="I59" s="2148">
        <v>2.1</v>
      </c>
      <c r="J59" s="2148">
        <v>1.86</v>
      </c>
      <c r="K59" s="2148">
        <v>2.29</v>
      </c>
      <c r="L59" s="2149">
        <v>0.85</v>
      </c>
      <c r="N59" s="2130">
        <f t="shared" si="240"/>
        <v>2.1000000000000001E-2</v>
      </c>
      <c r="O59" s="2123">
        <f t="shared" si="240"/>
        <v>1.8600000000000002E-2</v>
      </c>
      <c r="P59" s="2123">
        <f t="shared" si="240"/>
        <v>2.29E-2</v>
      </c>
      <c r="Q59" s="2123">
        <f t="shared" si="240"/>
        <v>8.5000000000000006E-3</v>
      </c>
      <c r="R59" s="2138"/>
      <c r="S59" s="2130"/>
      <c r="T59" s="2123"/>
      <c r="U59" s="2123"/>
      <c r="V59" s="2123"/>
    </row>
    <row r="60" spans="1:26">
      <c r="A60" s="2126" t="s">
        <v>818</v>
      </c>
      <c r="B60" s="2127">
        <f t="shared" si="254"/>
        <v>210.630522469011</v>
      </c>
      <c r="C60" s="2127">
        <f t="shared" si="254"/>
        <v>181.69567812247232</v>
      </c>
      <c r="D60" s="2127">
        <f t="shared" si="238"/>
        <v>181.69567812247232</v>
      </c>
      <c r="E60" s="2127">
        <f t="shared" si="255"/>
        <v>286.13517466736738</v>
      </c>
      <c r="F60" s="2127">
        <f t="shared" si="255"/>
        <v>165.47535084591149</v>
      </c>
      <c r="G60" s="3455">
        <v>2009</v>
      </c>
      <c r="H60" s="2141">
        <v>2</v>
      </c>
      <c r="I60" s="2141">
        <v>0.86</v>
      </c>
      <c r="J60" s="2141">
        <v>-1.1299999999999999</v>
      </c>
      <c r="K60" s="2141">
        <v>1.79</v>
      </c>
      <c r="L60" s="2142">
        <v>-2.0699999999999998</v>
      </c>
      <c r="N60" s="2130">
        <f t="shared" si="240"/>
        <v>8.6E-3</v>
      </c>
      <c r="O60" s="2123">
        <f t="shared" si="240"/>
        <v>-1.1299999999999999E-2</v>
      </c>
      <c r="P60" s="2123">
        <f t="shared" si="240"/>
        <v>1.7899999999999999E-2</v>
      </c>
      <c r="Q60" s="2123">
        <f t="shared" si="240"/>
        <v>-2.07E-2</v>
      </c>
      <c r="R60" s="2138"/>
      <c r="S60" s="2130"/>
      <c r="T60" s="2123"/>
      <c r="U60" s="2123"/>
      <c r="V60" s="2123"/>
    </row>
    <row r="61" spans="1:26">
      <c r="A61" s="2126" t="s">
        <v>819</v>
      </c>
      <c r="B61" s="2127">
        <f t="shared" si="254"/>
        <v>208.83454537875372</v>
      </c>
      <c r="C61" s="2127">
        <f t="shared" si="254"/>
        <v>183.77230517090351</v>
      </c>
      <c r="D61" s="2127">
        <f t="shared" si="238"/>
        <v>183.77230517090351</v>
      </c>
      <c r="E61" s="2127">
        <f t="shared" si="255"/>
        <v>281.10342338870947</v>
      </c>
      <c r="F61" s="2127">
        <f t="shared" si="255"/>
        <v>168.97309388942256</v>
      </c>
      <c r="G61" s="3456">
        <v>2009</v>
      </c>
      <c r="H61" s="2128">
        <v>1</v>
      </c>
      <c r="I61" s="2128">
        <v>-2.64</v>
      </c>
      <c r="J61" s="2128">
        <v>-2.5299999999999998</v>
      </c>
      <c r="K61" s="2128">
        <v>-3.02</v>
      </c>
      <c r="L61" s="2129">
        <v>1.52</v>
      </c>
      <c r="N61" s="2143">
        <f t="shared" si="240"/>
        <v>-2.64E-2</v>
      </c>
      <c r="O61" s="2144">
        <f t="shared" si="240"/>
        <v>-2.53E-2</v>
      </c>
      <c r="P61" s="2144">
        <f t="shared" si="240"/>
        <v>-3.0200000000000001E-2</v>
      </c>
      <c r="Q61" s="2144">
        <f t="shared" si="240"/>
        <v>1.52E-2</v>
      </c>
      <c r="R61" s="2138"/>
      <c r="S61" s="2143">
        <f>B61/B62-1</f>
        <v>-2.4137638417038754E-2</v>
      </c>
      <c r="T61" s="2144">
        <f>C61/C62-1</f>
        <v>-2.248773845264096E-2</v>
      </c>
      <c r="U61" s="2144">
        <f>E61/E62-1</f>
        <v>-2.7323794502735366E-2</v>
      </c>
      <c r="V61" s="2144">
        <f>F61/F62-1</f>
        <v>1.7910204153148035E-2</v>
      </c>
      <c r="X61" s="2123"/>
      <c r="Y61" s="2123"/>
      <c r="Z61" s="2123"/>
    </row>
    <row r="62" spans="1:26" ht="13.8" thickBot="1">
      <c r="A62" s="2126" t="s">
        <v>820</v>
      </c>
      <c r="B62" s="2169">
        <v>214</v>
      </c>
      <c r="C62" s="2169">
        <v>188</v>
      </c>
      <c r="D62" s="2169">
        <f t="shared" si="238"/>
        <v>188</v>
      </c>
      <c r="E62" s="2169">
        <v>289</v>
      </c>
      <c r="F62" s="2170">
        <v>166</v>
      </c>
      <c r="G62" s="3454">
        <v>2008</v>
      </c>
      <c r="H62" s="2145">
        <v>4</v>
      </c>
      <c r="I62" s="2145">
        <v>1.73</v>
      </c>
      <c r="J62" s="2145">
        <v>0.03</v>
      </c>
      <c r="K62" s="2145">
        <v>2.59</v>
      </c>
      <c r="L62" s="2146">
        <v>-1.66</v>
      </c>
      <c r="N62" s="2130">
        <f t="shared" si="240"/>
        <v>1.7299999999999999E-2</v>
      </c>
      <c r="O62" s="2123">
        <f t="shared" si="240"/>
        <v>2.9999999999999997E-4</v>
      </c>
      <c r="P62" s="2123">
        <f t="shared" si="240"/>
        <v>2.5899999999999999E-2</v>
      </c>
      <c r="Q62" s="2123">
        <f t="shared" si="240"/>
        <v>-1.66E-2</v>
      </c>
      <c r="R62" s="2138"/>
      <c r="S62" s="2139"/>
      <c r="T62" s="2140"/>
      <c r="U62" s="2140"/>
      <c r="V62" s="2140"/>
      <c r="X62" s="2140"/>
      <c r="Y62" s="2140"/>
      <c r="Z62" s="2140"/>
    </row>
    <row r="63" spans="1:26">
      <c r="A63" s="2126" t="s">
        <v>821</v>
      </c>
      <c r="B63" s="2127">
        <f t="shared" ref="B63:C65" si="256">B62/(1+N62)</f>
        <v>210.36075887152265</v>
      </c>
      <c r="C63" s="2127">
        <f t="shared" si="256"/>
        <v>187.94361691492554</v>
      </c>
      <c r="D63" s="2127">
        <f t="shared" si="238"/>
        <v>187.94361691492554</v>
      </c>
      <c r="E63" s="2127">
        <f t="shared" ref="E63:F65" si="257">E62/(1+P62)</f>
        <v>281.70386977288234</v>
      </c>
      <c r="F63" s="2127">
        <f t="shared" si="257"/>
        <v>168.80211511083994</v>
      </c>
      <c r="G63" s="3455">
        <v>2008</v>
      </c>
      <c r="H63" s="2148">
        <v>3</v>
      </c>
      <c r="I63" s="2148">
        <v>1.96</v>
      </c>
      <c r="J63" s="2148">
        <v>2.36</v>
      </c>
      <c r="K63" s="2148">
        <v>1.82</v>
      </c>
      <c r="L63" s="2149">
        <v>2.2200000000000002</v>
      </c>
      <c r="N63" s="2130">
        <f t="shared" si="240"/>
        <v>1.9599999999999999E-2</v>
      </c>
      <c r="O63" s="2123">
        <f t="shared" si="240"/>
        <v>2.3599999999999999E-2</v>
      </c>
      <c r="P63" s="2123">
        <f t="shared" si="240"/>
        <v>1.8200000000000001E-2</v>
      </c>
      <c r="Q63" s="2123">
        <f t="shared" si="240"/>
        <v>2.2200000000000001E-2</v>
      </c>
      <c r="R63" s="2138"/>
      <c r="S63" s="2130"/>
      <c r="T63" s="2123"/>
      <c r="U63" s="2123"/>
      <c r="V63" s="2123"/>
    </row>
    <row r="64" spans="1:26">
      <c r="A64" s="2126" t="s">
        <v>822</v>
      </c>
      <c r="B64" s="2127">
        <f t="shared" si="256"/>
        <v>206.31694671589116</v>
      </c>
      <c r="C64" s="2127">
        <f t="shared" si="256"/>
        <v>183.61041121036101</v>
      </c>
      <c r="D64" s="2127">
        <f t="shared" si="238"/>
        <v>183.61041121036101</v>
      </c>
      <c r="E64" s="2127">
        <f t="shared" si="257"/>
        <v>276.66850301795557</v>
      </c>
      <c r="F64" s="2127">
        <f t="shared" si="257"/>
        <v>165.1360938278614</v>
      </c>
      <c r="G64" s="3455">
        <v>2008</v>
      </c>
      <c r="H64" s="2141">
        <v>2</v>
      </c>
      <c r="I64" s="2141">
        <v>4.93</v>
      </c>
      <c r="J64" s="2141">
        <v>7.38</v>
      </c>
      <c r="K64" s="2141">
        <v>3.98</v>
      </c>
      <c r="L64" s="2142">
        <v>6.86</v>
      </c>
      <c r="N64" s="2130">
        <f t="shared" si="240"/>
        <v>4.9299999999999997E-2</v>
      </c>
      <c r="O64" s="2123">
        <f t="shared" si="240"/>
        <v>7.3800000000000004E-2</v>
      </c>
      <c r="P64" s="2123">
        <f t="shared" si="240"/>
        <v>3.9800000000000002E-2</v>
      </c>
      <c r="Q64" s="2123">
        <f t="shared" si="240"/>
        <v>6.8600000000000008E-2</v>
      </c>
      <c r="R64" s="2138"/>
      <c r="S64" s="2130"/>
      <c r="T64" s="2123"/>
      <c r="U64" s="2123"/>
      <c r="V64" s="2123"/>
    </row>
    <row r="65" spans="1:26" s="2175" customFormat="1" ht="13.8" thickBot="1">
      <c r="A65" s="2126" t="s">
        <v>823</v>
      </c>
      <c r="B65" s="2172">
        <f t="shared" si="256"/>
        <v>196.62341248059772</v>
      </c>
      <c r="C65" s="2172">
        <f t="shared" si="256"/>
        <v>170.99125648199012</v>
      </c>
      <c r="D65" s="2172">
        <f t="shared" si="238"/>
        <v>170.99125648199012</v>
      </c>
      <c r="E65" s="2172">
        <f t="shared" si="257"/>
        <v>266.07857570490052</v>
      </c>
      <c r="F65" s="2172">
        <f t="shared" si="257"/>
        <v>154.53499328828505</v>
      </c>
      <c r="G65" s="3456">
        <v>2008</v>
      </c>
      <c r="H65" s="2173">
        <v>1</v>
      </c>
      <c r="I65" s="2173">
        <v>4.1399999999999997</v>
      </c>
      <c r="J65" s="2173">
        <v>3.45</v>
      </c>
      <c r="K65" s="2173">
        <v>4.95</v>
      </c>
      <c r="L65" s="2174">
        <v>4.82</v>
      </c>
      <c r="N65" s="2176">
        <f t="shared" si="240"/>
        <v>4.1399999999999999E-2</v>
      </c>
      <c r="O65" s="2177">
        <f t="shared" si="240"/>
        <v>3.4500000000000003E-2</v>
      </c>
      <c r="P65" s="2177">
        <f t="shared" si="240"/>
        <v>4.9500000000000002E-2</v>
      </c>
      <c r="Q65" s="2177">
        <f t="shared" si="240"/>
        <v>4.82E-2</v>
      </c>
      <c r="R65" s="2178"/>
      <c r="S65" s="2176">
        <f>B65/B66-1</f>
        <v>4.5869215322328349E-2</v>
      </c>
      <c r="T65" s="2177">
        <f>C65/C66-1</f>
        <v>3.6310645345394743E-2</v>
      </c>
      <c r="U65" s="2177">
        <f>E65/E66-1</f>
        <v>4.7553447657088688E-2</v>
      </c>
      <c r="V65" s="2177">
        <f>F65/F66-1</f>
        <v>4.4155360055980086E-2</v>
      </c>
      <c r="X65" s="2177"/>
      <c r="Y65" s="2177"/>
      <c r="Z65" s="2177"/>
    </row>
    <row r="66" spans="1:26" ht="13.8" thickBot="1">
      <c r="A66" s="2126" t="s">
        <v>824</v>
      </c>
      <c r="B66" s="2134">
        <v>188</v>
      </c>
      <c r="C66" s="2134">
        <v>165</v>
      </c>
      <c r="D66" s="2134">
        <f t="shared" si="238"/>
        <v>165</v>
      </c>
      <c r="E66" s="2134">
        <v>254</v>
      </c>
      <c r="F66" s="2135">
        <v>148</v>
      </c>
      <c r="G66" s="3454">
        <v>2007</v>
      </c>
      <c r="H66" s="2179">
        <v>4</v>
      </c>
      <c r="I66" s="2179">
        <v>5.51</v>
      </c>
      <c r="J66" s="2179">
        <v>4.8899999999999997</v>
      </c>
      <c r="K66" s="2179">
        <v>6.43</v>
      </c>
      <c r="L66" s="2180">
        <v>5.36</v>
      </c>
      <c r="N66" s="2181">
        <f t="shared" ref="N66:O69" si="258">B66/B67-1</f>
        <v>4.1339718365245526E-2</v>
      </c>
      <c r="O66" s="2182">
        <f t="shared" si="258"/>
        <v>4.0324492593776018E-2</v>
      </c>
      <c r="P66" s="2182">
        <f t="shared" ref="P66:Q69" si="259">E66/E67-1</f>
        <v>6.1625555347990968E-2</v>
      </c>
      <c r="Q66" s="2182">
        <f t="shared" si="259"/>
        <v>4.6757569250590603E-2</v>
      </c>
      <c r="R66" s="2138"/>
      <c r="S66" s="2139"/>
      <c r="T66" s="2140"/>
      <c r="U66" s="2140"/>
      <c r="V66" s="2140"/>
      <c r="X66" s="2140"/>
      <c r="Y66" s="2140"/>
      <c r="Z66" s="2140"/>
    </row>
    <row r="67" spans="1:26">
      <c r="A67" s="2126" t="s">
        <v>825</v>
      </c>
      <c r="B67" s="2127">
        <f t="shared" ref="B67:C69" si="260">B68+(B$66-B$70)*I67/SUM(I$66:I$69)</f>
        <v>180.5366651097618</v>
      </c>
      <c r="C67" s="2127">
        <f t="shared" si="260"/>
        <v>158.60435967302453</v>
      </c>
      <c r="D67" s="2127">
        <f t="shared" si="238"/>
        <v>158.60435967302453</v>
      </c>
      <c r="E67" s="2127">
        <f t="shared" ref="E67:F69" si="261">E68+(E$66-E$70)*K67/SUM(K$66:K$69)</f>
        <v>239.25573260785075</v>
      </c>
      <c r="F67" s="2127">
        <f t="shared" si="261"/>
        <v>141.38899430740037</v>
      </c>
      <c r="G67" s="3455">
        <v>2007</v>
      </c>
      <c r="H67" s="2148">
        <v>3</v>
      </c>
      <c r="I67" s="2148">
        <v>8.65</v>
      </c>
      <c r="J67" s="2148">
        <v>8.06</v>
      </c>
      <c r="K67" s="2148">
        <v>9.94</v>
      </c>
      <c r="L67" s="2149">
        <v>5.8</v>
      </c>
      <c r="N67" s="2181">
        <f t="shared" si="258"/>
        <v>6.940217571740015E-2</v>
      </c>
      <c r="O67" s="2182">
        <f t="shared" si="258"/>
        <v>7.1197482471153428E-2</v>
      </c>
      <c r="P67" s="2182">
        <f t="shared" si="259"/>
        <v>0.10529679922579582</v>
      </c>
      <c r="Q67" s="2182">
        <f t="shared" si="259"/>
        <v>5.3292245059512133E-2</v>
      </c>
      <c r="R67" s="2138"/>
      <c r="S67" s="2130"/>
      <c r="T67" s="2123"/>
      <c r="U67" s="2123"/>
      <c r="V67" s="2123"/>
      <c r="X67" s="2183"/>
      <c r="Y67" s="2183"/>
      <c r="Z67" s="2183"/>
    </row>
    <row r="68" spans="1:26">
      <c r="A68" s="2126" t="s">
        <v>826</v>
      </c>
      <c r="B68" s="2127">
        <f t="shared" si="260"/>
        <v>168.82017748715555</v>
      </c>
      <c r="C68" s="2127">
        <f t="shared" si="260"/>
        <v>148.06267029972753</v>
      </c>
      <c r="D68" s="2127">
        <f t="shared" si="238"/>
        <v>148.06267029972753</v>
      </c>
      <c r="E68" s="2127">
        <f t="shared" si="261"/>
        <v>216.46288379323747</v>
      </c>
      <c r="F68" s="2127">
        <f t="shared" si="261"/>
        <v>134.23529411764704</v>
      </c>
      <c r="G68" s="3455">
        <v>2007</v>
      </c>
      <c r="H68" s="2141">
        <v>2</v>
      </c>
      <c r="I68" s="2141">
        <v>3.67</v>
      </c>
      <c r="J68" s="2141">
        <v>2.3199999999999998</v>
      </c>
      <c r="K68" s="2141">
        <v>5.0199999999999996</v>
      </c>
      <c r="L68" s="2142">
        <v>6.71</v>
      </c>
      <c r="N68" s="2181">
        <f t="shared" si="258"/>
        <v>3.0339138143848032E-2</v>
      </c>
      <c r="O68" s="2182">
        <f t="shared" si="258"/>
        <v>2.0922341588790472E-2</v>
      </c>
      <c r="P68" s="2182">
        <f t="shared" si="259"/>
        <v>5.6164796592717003E-2</v>
      </c>
      <c r="Q68" s="2182">
        <f t="shared" si="259"/>
        <v>6.5704536723887319E-2</v>
      </c>
      <c r="R68" s="2138"/>
      <c r="S68" s="2130"/>
      <c r="T68" s="2123"/>
      <c r="U68" s="2123"/>
      <c r="V68" s="2123"/>
      <c r="X68" s="2183"/>
      <c r="Y68" s="2183"/>
      <c r="Z68" s="2183"/>
    </row>
    <row r="69" spans="1:26">
      <c r="A69" s="2126" t="s">
        <v>827</v>
      </c>
      <c r="B69" s="2127">
        <f t="shared" si="260"/>
        <v>163.84913591779542</v>
      </c>
      <c r="C69" s="2127">
        <f t="shared" si="260"/>
        <v>145.0283378746594</v>
      </c>
      <c r="D69" s="2127">
        <f t="shared" si="238"/>
        <v>145.0283378746594</v>
      </c>
      <c r="E69" s="2127">
        <f t="shared" si="261"/>
        <v>204.95180722891567</v>
      </c>
      <c r="F69" s="2127">
        <f t="shared" si="261"/>
        <v>125.95920303605313</v>
      </c>
      <c r="G69" s="3456">
        <v>2007</v>
      </c>
      <c r="H69" s="2128">
        <v>1</v>
      </c>
      <c r="I69" s="2128">
        <v>3.58</v>
      </c>
      <c r="J69" s="2128">
        <v>3.08</v>
      </c>
      <c r="K69" s="2128">
        <v>4.34</v>
      </c>
      <c r="L69" s="2129">
        <v>3.21</v>
      </c>
      <c r="N69" s="2184">
        <f t="shared" si="258"/>
        <v>3.0497710174814063E-2</v>
      </c>
      <c r="O69" s="2185">
        <f t="shared" si="258"/>
        <v>2.8569772160704998E-2</v>
      </c>
      <c r="P69" s="2185">
        <f t="shared" si="259"/>
        <v>5.1034908866234296E-2</v>
      </c>
      <c r="Q69" s="2185">
        <f t="shared" si="259"/>
        <v>3.245248390207478E-2</v>
      </c>
      <c r="R69" s="2138"/>
      <c r="S69" s="2143">
        <f>B69/B70-1</f>
        <v>3.0497710174814063E-2</v>
      </c>
      <c r="T69" s="2144">
        <f>C69/C70-1</f>
        <v>2.8569772160704998E-2</v>
      </c>
      <c r="U69" s="2144">
        <f>E69/E70-1</f>
        <v>5.1034908866234296E-2</v>
      </c>
      <c r="V69" s="2144">
        <f>F69/F70-1</f>
        <v>3.245248390207478E-2</v>
      </c>
      <c r="X69" s="2183"/>
      <c r="Y69" s="2183"/>
      <c r="Z69" s="2183"/>
    </row>
    <row r="70" spans="1:26" ht="13.8" thickBot="1">
      <c r="A70" s="2126" t="s">
        <v>828</v>
      </c>
      <c r="B70" s="2150">
        <v>159</v>
      </c>
      <c r="C70" s="2150">
        <v>141</v>
      </c>
      <c r="D70" s="2150">
        <f t="shared" si="238"/>
        <v>141</v>
      </c>
      <c r="E70" s="2150">
        <v>195</v>
      </c>
      <c r="F70" s="2151">
        <v>122</v>
      </c>
      <c r="G70" s="3454">
        <v>2006</v>
      </c>
      <c r="H70" s="2145">
        <v>4</v>
      </c>
      <c r="I70" s="2145">
        <v>3.79</v>
      </c>
      <c r="J70" s="2145">
        <v>2.21</v>
      </c>
      <c r="K70" s="2145">
        <v>5.65</v>
      </c>
      <c r="L70" s="2146">
        <v>5.41</v>
      </c>
      <c r="N70" s="2181">
        <f t="shared" ref="N70:O73" si="262">I70/SUM(I$70:I$73)*(B$70/B$74-1)</f>
        <v>7.245466462748526E-2</v>
      </c>
      <c r="O70" s="2182">
        <f t="shared" si="262"/>
        <v>2.3237230038062766E-2</v>
      </c>
      <c r="P70" s="2182">
        <f t="shared" ref="P70:Q73" si="263">K70/SUM(K$70:K$73)*(E$70/E$74-1)</f>
        <v>0.16146893866323722</v>
      </c>
      <c r="Q70" s="2182">
        <f t="shared" si="263"/>
        <v>5.0755230321793784E-2</v>
      </c>
      <c r="R70" s="2138"/>
      <c r="S70" s="2139"/>
      <c r="T70" s="2140"/>
      <c r="U70" s="2140"/>
      <c r="V70" s="2140"/>
      <c r="X70" s="2183"/>
      <c r="Y70" s="2183"/>
      <c r="Z70" s="2183"/>
    </row>
    <row r="71" spans="1:26">
      <c r="A71" s="2126" t="s">
        <v>829</v>
      </c>
      <c r="B71" s="2127">
        <f t="shared" ref="B71:C73" si="264">B72+(B$70-B$74)*I71/SUM(I$70:I$73)</f>
        <v>149.00125628140702</v>
      </c>
      <c r="C71" s="2127">
        <f t="shared" si="264"/>
        <v>137.95592286501378</v>
      </c>
      <c r="D71" s="2127">
        <f t="shared" si="238"/>
        <v>137.95592286501378</v>
      </c>
      <c r="E71" s="2127">
        <f t="shared" ref="E71:F73" si="265">E72+(E$70-E$74)*K71/SUM(K$70:K$73)</f>
        <v>169.97231450719823</v>
      </c>
      <c r="F71" s="2127">
        <f t="shared" si="265"/>
        <v>116.21390374331551</v>
      </c>
      <c r="G71" s="3455">
        <v>2006</v>
      </c>
      <c r="H71" s="2148">
        <v>3</v>
      </c>
      <c r="I71" s="2148">
        <v>0.92</v>
      </c>
      <c r="J71" s="2148">
        <v>1.08</v>
      </c>
      <c r="K71" s="2148">
        <v>0.73</v>
      </c>
      <c r="L71" s="2149">
        <v>1.08</v>
      </c>
      <c r="N71" s="2181">
        <f t="shared" si="262"/>
        <v>1.7587939698492462E-2</v>
      </c>
      <c r="O71" s="2182">
        <f t="shared" si="262"/>
        <v>1.1355750425840628E-2</v>
      </c>
      <c r="P71" s="2182">
        <f t="shared" si="263"/>
        <v>2.0862358446754544E-2</v>
      </c>
      <c r="Q71" s="2182">
        <f t="shared" si="263"/>
        <v>1.0132282578103011E-2</v>
      </c>
      <c r="R71" s="2138"/>
      <c r="S71" s="2130"/>
      <c r="T71" s="2123"/>
      <c r="U71" s="2123"/>
      <c r="V71" s="2123"/>
      <c r="X71" s="2183"/>
      <c r="Y71" s="2183"/>
      <c r="Z71" s="2183"/>
    </row>
    <row r="72" spans="1:26">
      <c r="A72" s="2126" t="s">
        <v>830</v>
      </c>
      <c r="B72" s="2127">
        <f t="shared" si="264"/>
        <v>146.57412060301507</v>
      </c>
      <c r="C72" s="2127">
        <f t="shared" si="264"/>
        <v>136.46831955922866</v>
      </c>
      <c r="D72" s="2127">
        <f t="shared" si="238"/>
        <v>136.46831955922866</v>
      </c>
      <c r="E72" s="2127">
        <f t="shared" si="265"/>
        <v>166.73864894795128</v>
      </c>
      <c r="F72" s="2127">
        <f t="shared" si="265"/>
        <v>115.05882352941177</v>
      </c>
      <c r="G72" s="3455">
        <v>2006</v>
      </c>
      <c r="H72" s="2141">
        <v>2</v>
      </c>
      <c r="I72" s="2141">
        <v>0.96</v>
      </c>
      <c r="J72" s="2141">
        <v>0.25</v>
      </c>
      <c r="K72" s="2141">
        <v>1.9</v>
      </c>
      <c r="L72" s="2142">
        <v>0.95</v>
      </c>
      <c r="N72" s="2181">
        <f t="shared" si="262"/>
        <v>1.8352632728861701E-2</v>
      </c>
      <c r="O72" s="2182">
        <f t="shared" si="262"/>
        <v>2.6286459319075526E-3</v>
      </c>
      <c r="P72" s="2182">
        <f t="shared" si="263"/>
        <v>5.4299289107991269E-2</v>
      </c>
      <c r="Q72" s="2182">
        <f t="shared" si="263"/>
        <v>8.9126559714794995E-3</v>
      </c>
      <c r="R72" s="2138"/>
      <c r="S72" s="2130"/>
      <c r="T72" s="2123"/>
      <c r="U72" s="2123"/>
      <c r="V72" s="2123"/>
      <c r="X72" s="2183"/>
      <c r="Y72" s="2183"/>
      <c r="Z72" s="2183"/>
    </row>
    <row r="73" spans="1:26">
      <c r="A73" s="2126" t="s">
        <v>831</v>
      </c>
      <c r="B73" s="2127">
        <f t="shared" si="264"/>
        <v>144.04145728643215</v>
      </c>
      <c r="C73" s="2127">
        <f t="shared" si="264"/>
        <v>136.12396694214877</v>
      </c>
      <c r="D73" s="2127">
        <f t="shared" si="238"/>
        <v>136.12396694214877</v>
      </c>
      <c r="E73" s="2127">
        <f t="shared" si="265"/>
        <v>158.32225913621264</v>
      </c>
      <c r="F73" s="2127">
        <f t="shared" si="265"/>
        <v>114.04278074866311</v>
      </c>
      <c r="G73" s="3456">
        <v>2006</v>
      </c>
      <c r="H73" s="2128">
        <v>1</v>
      </c>
      <c r="I73" s="2128">
        <v>2.29</v>
      </c>
      <c r="J73" s="2128">
        <v>3.72</v>
      </c>
      <c r="K73" s="2128">
        <v>0.75</v>
      </c>
      <c r="L73" s="2129">
        <v>0.04</v>
      </c>
      <c r="N73" s="2184">
        <f t="shared" si="262"/>
        <v>4.3778675988638847E-2</v>
      </c>
      <c r="O73" s="2185">
        <f t="shared" si="262"/>
        <v>3.9114251466784385E-2</v>
      </c>
      <c r="P73" s="2185">
        <f t="shared" si="263"/>
        <v>2.1433929911049188E-2</v>
      </c>
      <c r="Q73" s="2185">
        <f t="shared" si="263"/>
        <v>3.7526972511492629E-4</v>
      </c>
      <c r="R73" s="2138"/>
      <c r="S73" s="2143">
        <f>B73/B74-1</f>
        <v>4.3778675988638716E-2</v>
      </c>
      <c r="T73" s="2144">
        <f>C73/C74-1</f>
        <v>3.91142514667846E-2</v>
      </c>
      <c r="U73" s="2144">
        <f>E73/E74-1</f>
        <v>2.143392991104931E-2</v>
      </c>
      <c r="V73" s="2144">
        <f>F73/F74-1</f>
        <v>3.7526972511492396E-4</v>
      </c>
      <c r="X73" s="2183"/>
      <c r="Y73" s="2183"/>
      <c r="Z73" s="2183"/>
    </row>
    <row r="74" spans="1:26" ht="13.8" thickBot="1">
      <c r="A74" s="2126" t="s">
        <v>832</v>
      </c>
      <c r="B74" s="2150">
        <v>138</v>
      </c>
      <c r="C74" s="2150">
        <v>131</v>
      </c>
      <c r="D74" s="2150">
        <f t="shared" si="238"/>
        <v>131</v>
      </c>
      <c r="E74" s="2150">
        <v>155</v>
      </c>
      <c r="F74" s="2151">
        <v>114</v>
      </c>
      <c r="G74" s="3454">
        <v>2005</v>
      </c>
      <c r="H74" s="2145">
        <v>4</v>
      </c>
      <c r="I74" s="2145">
        <v>3.29</v>
      </c>
      <c r="J74" s="2145">
        <v>1.44</v>
      </c>
      <c r="K74" s="2145">
        <v>0.66</v>
      </c>
      <c r="L74" s="2146">
        <v>7.78</v>
      </c>
      <c r="N74" s="2181">
        <f t="shared" ref="N74:O77" si="266">I74/SUM(I$74:I$77)*(B$74/B$78-1)</f>
        <v>9.9404603216919935E-2</v>
      </c>
      <c r="O74" s="2182">
        <f t="shared" si="266"/>
        <v>4.7636550760861554E-2</v>
      </c>
      <c r="P74" s="2182">
        <f t="shared" ref="P74:Q77" si="267">K74/SUM(K$74:K$77)*(E$74/E$78-1)</f>
        <v>8.3756345177664976E-2</v>
      </c>
      <c r="Q74" s="2182">
        <f t="shared" si="267"/>
        <v>5.2148766661559584E-2</v>
      </c>
      <c r="R74" s="2138"/>
      <c r="S74" s="2139"/>
      <c r="T74" s="2140"/>
      <c r="U74" s="2140"/>
      <c r="V74" s="2140"/>
      <c r="X74" s="2183"/>
      <c r="Y74" s="2183"/>
      <c r="Z74" s="2183"/>
    </row>
    <row r="75" spans="1:26">
      <c r="A75" s="2126" t="s">
        <v>833</v>
      </c>
      <c r="B75" s="2127">
        <f t="shared" ref="B75:C77" si="268">B76+(B$74-B$78)*I75/SUM(I$74:I$77)</f>
        <v>125.9720430107527</v>
      </c>
      <c r="C75" s="2127">
        <f t="shared" si="268"/>
        <v>125.1883408071749</v>
      </c>
      <c r="D75" s="2127">
        <f t="shared" si="238"/>
        <v>125.1883408071749</v>
      </c>
      <c r="E75" s="2127">
        <f t="shared" ref="E75:F77" si="269">E76+(E$74-E$78)*K75/SUM(K$74:K$77)</f>
        <v>144.61421319796952</v>
      </c>
      <c r="F75" s="2127">
        <f t="shared" si="269"/>
        <v>108.42008196721311</v>
      </c>
      <c r="G75" s="3455">
        <v>2005</v>
      </c>
      <c r="H75" s="2148">
        <v>3</v>
      </c>
      <c r="I75" s="2148">
        <v>0.46</v>
      </c>
      <c r="J75" s="2148">
        <v>0.32</v>
      </c>
      <c r="K75" s="2148">
        <v>0.42</v>
      </c>
      <c r="L75" s="2149">
        <v>0.64</v>
      </c>
      <c r="N75" s="2181">
        <f t="shared" si="266"/>
        <v>1.3898515951301874E-2</v>
      </c>
      <c r="O75" s="2182">
        <f t="shared" si="266"/>
        <v>1.0585900169080346E-2</v>
      </c>
      <c r="P75" s="2182">
        <f t="shared" si="267"/>
        <v>5.3299492385786795E-2</v>
      </c>
      <c r="Q75" s="2182">
        <f t="shared" si="267"/>
        <v>4.2898728359123568E-3</v>
      </c>
      <c r="R75" s="2138"/>
      <c r="S75" s="2130"/>
      <c r="T75" s="2123"/>
      <c r="U75" s="2123"/>
      <c r="V75" s="2123"/>
      <c r="X75" s="2183"/>
      <c r="Y75" s="2183"/>
      <c r="Z75" s="2183"/>
    </row>
    <row r="76" spans="1:26">
      <c r="A76" s="2126" t="s">
        <v>834</v>
      </c>
      <c r="B76" s="2127">
        <f t="shared" si="268"/>
        <v>124.29032258064517</v>
      </c>
      <c r="C76" s="2127">
        <f t="shared" si="268"/>
        <v>123.8968609865471</v>
      </c>
      <c r="D76" s="2127">
        <f t="shared" si="238"/>
        <v>123.8968609865471</v>
      </c>
      <c r="E76" s="2127">
        <f t="shared" si="269"/>
        <v>138.00507614213197</v>
      </c>
      <c r="F76" s="2127">
        <f t="shared" si="269"/>
        <v>107.96106557377048</v>
      </c>
      <c r="G76" s="3455">
        <v>2005</v>
      </c>
      <c r="H76" s="2141">
        <v>2</v>
      </c>
      <c r="I76" s="2141">
        <v>0.47</v>
      </c>
      <c r="J76" s="2141">
        <v>0.1</v>
      </c>
      <c r="K76" s="2141">
        <v>0.52</v>
      </c>
      <c r="L76" s="2142">
        <v>0.79</v>
      </c>
      <c r="N76" s="2181">
        <f t="shared" si="266"/>
        <v>1.420065760241713E-2</v>
      </c>
      <c r="O76" s="2182">
        <f t="shared" si="266"/>
        <v>3.3080938028376083E-3</v>
      </c>
      <c r="P76" s="2182">
        <f t="shared" si="267"/>
        <v>6.598984771573603E-2</v>
      </c>
      <c r="Q76" s="2182">
        <f t="shared" si="267"/>
        <v>5.2953117818293153E-3</v>
      </c>
      <c r="R76" s="2138"/>
      <c r="S76" s="2130"/>
      <c r="T76" s="2123"/>
      <c r="U76" s="2123"/>
      <c r="V76" s="2123"/>
      <c r="X76" s="2183"/>
      <c r="Y76" s="2183"/>
      <c r="Z76" s="2183"/>
    </row>
    <row r="77" spans="1:26">
      <c r="A77" s="2126" t="s">
        <v>835</v>
      </c>
      <c r="B77" s="2127">
        <f t="shared" si="268"/>
        <v>122.57204301075269</v>
      </c>
      <c r="C77" s="2127">
        <f t="shared" si="268"/>
        <v>123.4932735426009</v>
      </c>
      <c r="D77" s="2127">
        <f t="shared" si="238"/>
        <v>123.4932735426009</v>
      </c>
      <c r="E77" s="2127">
        <f t="shared" si="269"/>
        <v>129.82233502538071</v>
      </c>
      <c r="F77" s="2127">
        <f t="shared" si="269"/>
        <v>107.39446721311475</v>
      </c>
      <c r="G77" s="3456">
        <v>2005</v>
      </c>
      <c r="H77" s="2128">
        <v>1</v>
      </c>
      <c r="I77" s="2128">
        <v>0.43</v>
      </c>
      <c r="J77" s="2128">
        <v>0.37</v>
      </c>
      <c r="K77" s="2128">
        <v>0.37</v>
      </c>
      <c r="L77" s="2129">
        <v>0.55000000000000004</v>
      </c>
      <c r="N77" s="2184">
        <f t="shared" si="266"/>
        <v>1.2992090997956099E-2</v>
      </c>
      <c r="O77" s="2185">
        <f t="shared" si="266"/>
        <v>1.2239947070499151E-2</v>
      </c>
      <c r="P77" s="2185">
        <f t="shared" si="267"/>
        <v>4.6954314720812178E-2</v>
      </c>
      <c r="Q77" s="2185">
        <f t="shared" si="267"/>
        <v>3.6866094683621815E-3</v>
      </c>
      <c r="R77" s="2138"/>
      <c r="S77" s="2143">
        <f>B77/B78-1</f>
        <v>1.2992090997956174E-2</v>
      </c>
      <c r="T77" s="2144">
        <f>C77/C78-1</f>
        <v>1.2239947070499246E-2</v>
      </c>
      <c r="U77" s="2144">
        <f>E77/E78-1</f>
        <v>4.695431472081224E-2</v>
      </c>
      <c r="V77" s="2144">
        <f>F77/F78-1</f>
        <v>3.6866094683620787E-3</v>
      </c>
      <c r="X77" s="2183"/>
      <c r="Y77" s="2183"/>
      <c r="Z77" s="2183"/>
    </row>
    <row r="78" spans="1:26" ht="13.8" thickBot="1">
      <c r="A78" s="2126" t="s">
        <v>836</v>
      </c>
      <c r="B78" s="2169">
        <v>121</v>
      </c>
      <c r="C78" s="2169">
        <v>122</v>
      </c>
      <c r="D78" s="2169">
        <f t="shared" si="238"/>
        <v>122</v>
      </c>
      <c r="E78" s="2169">
        <v>124</v>
      </c>
      <c r="F78" s="2170">
        <v>107</v>
      </c>
      <c r="G78" s="3454">
        <v>2004</v>
      </c>
      <c r="H78" s="2145">
        <v>4</v>
      </c>
      <c r="I78" s="2145">
        <v>0.33</v>
      </c>
      <c r="J78" s="2145">
        <v>0.5</v>
      </c>
      <c r="K78" s="2145">
        <v>0.5</v>
      </c>
      <c r="L78" s="2146">
        <v>0</v>
      </c>
      <c r="N78" s="2181">
        <f t="shared" ref="N78:O81" si="270">I78/SUM(I$78:I$81)*(B$78/B$82-1)</f>
        <v>1.3391770148526898E-2</v>
      </c>
      <c r="O78" s="2182">
        <f t="shared" si="270"/>
        <v>1.063264221158958E-2</v>
      </c>
      <c r="P78" s="2182">
        <f t="shared" ref="P78:Q81" si="271">K78/SUM(K$78:K$81)*(E$78/E$82-1)</f>
        <v>2.2244466688911134E-2</v>
      </c>
      <c r="Q78" s="2182">
        <f t="shared" si="271"/>
        <v>0</v>
      </c>
      <c r="R78" s="2138"/>
      <c r="S78" s="2139"/>
      <c r="T78" s="2140"/>
      <c r="U78" s="2140"/>
      <c r="V78" s="2140"/>
      <c r="X78" s="2183"/>
      <c r="Y78" s="2183"/>
      <c r="Z78" s="2183"/>
    </row>
    <row r="79" spans="1:26">
      <c r="A79" s="2126" t="s">
        <v>837</v>
      </c>
      <c r="B79" s="2127">
        <f t="shared" ref="B79:C81" si="272">B80+(B$78-B$82)*I79/SUM(I$78:I$81)</f>
        <v>119.51351351351352</v>
      </c>
      <c r="C79" s="2127">
        <f t="shared" si="272"/>
        <v>120.7878787878788</v>
      </c>
      <c r="D79" s="2127">
        <f t="shared" si="238"/>
        <v>120.7878787878788</v>
      </c>
      <c r="E79" s="2127">
        <f t="shared" ref="E79:F81" si="273">E80+(E$78-E$82)*K79/SUM(K$78:K$81)</f>
        <v>121.5975975975976</v>
      </c>
      <c r="F79" s="2127">
        <f t="shared" si="273"/>
        <v>107</v>
      </c>
      <c r="G79" s="3455">
        <v>2004</v>
      </c>
      <c r="H79" s="2148">
        <v>3</v>
      </c>
      <c r="I79" s="2148">
        <v>0.56000000000000005</v>
      </c>
      <c r="J79" s="2148">
        <v>0.8</v>
      </c>
      <c r="K79" s="2148">
        <v>0.83</v>
      </c>
      <c r="L79" s="2149">
        <v>0.06</v>
      </c>
      <c r="N79" s="2181">
        <f t="shared" si="270"/>
        <v>2.2725428130833527E-2</v>
      </c>
      <c r="O79" s="2182">
        <f t="shared" si="270"/>
        <v>1.7012227538543329E-2</v>
      </c>
      <c r="P79" s="2182">
        <f t="shared" si="271"/>
        <v>3.6925814703592477E-2</v>
      </c>
      <c r="Q79" s="2182">
        <f t="shared" si="271"/>
        <v>2.8846153846153744E-2</v>
      </c>
      <c r="R79" s="2138"/>
      <c r="S79" s="2130"/>
      <c r="T79" s="2123"/>
      <c r="U79" s="2123"/>
      <c r="V79" s="2123"/>
      <c r="X79" s="2183"/>
      <c r="Y79" s="2183"/>
      <c r="Z79" s="2183"/>
    </row>
    <row r="80" spans="1:26">
      <c r="A80" s="2126" t="s">
        <v>838</v>
      </c>
      <c r="B80" s="2127">
        <f t="shared" si="272"/>
        <v>116.99099099099099</v>
      </c>
      <c r="C80" s="2127">
        <f t="shared" si="272"/>
        <v>118.84848484848486</v>
      </c>
      <c r="D80" s="2127">
        <f t="shared" si="238"/>
        <v>118.84848484848486</v>
      </c>
      <c r="E80" s="2127">
        <f t="shared" si="273"/>
        <v>117.60960960960961</v>
      </c>
      <c r="F80" s="2127">
        <f t="shared" si="273"/>
        <v>104</v>
      </c>
      <c r="G80" s="3455">
        <v>2004</v>
      </c>
      <c r="H80" s="2141">
        <v>2</v>
      </c>
      <c r="I80" s="2141">
        <v>1</v>
      </c>
      <c r="J80" s="2141">
        <v>1.5</v>
      </c>
      <c r="K80" s="2141">
        <v>1.5</v>
      </c>
      <c r="L80" s="2142">
        <v>0</v>
      </c>
      <c r="N80" s="2181">
        <f t="shared" si="270"/>
        <v>4.0581121662202721E-2</v>
      </c>
      <c r="O80" s="2182">
        <f t="shared" si="270"/>
        <v>3.1897926634768738E-2</v>
      </c>
      <c r="P80" s="2182">
        <f t="shared" si="271"/>
        <v>6.6733400066733395E-2</v>
      </c>
      <c r="Q80" s="2182">
        <f t="shared" si="271"/>
        <v>0</v>
      </c>
      <c r="R80" s="2138"/>
      <c r="S80" s="2130"/>
      <c r="T80" s="2123"/>
      <c r="U80" s="2123"/>
      <c r="V80" s="2123"/>
      <c r="X80" s="2183"/>
      <c r="Y80" s="2183"/>
      <c r="Z80" s="2183"/>
    </row>
    <row r="81" spans="1:26" s="2175" customFormat="1" ht="13.8" thickBot="1">
      <c r="A81" s="2126" t="s">
        <v>839</v>
      </c>
      <c r="B81" s="2172">
        <f t="shared" si="272"/>
        <v>112.48648648648648</v>
      </c>
      <c r="C81" s="2172">
        <f t="shared" si="272"/>
        <v>115.21212121212122</v>
      </c>
      <c r="D81" s="2172">
        <f t="shared" si="238"/>
        <v>115.21212121212122</v>
      </c>
      <c r="E81" s="2172">
        <f t="shared" si="273"/>
        <v>110.4024024024024</v>
      </c>
      <c r="F81" s="2172">
        <f t="shared" si="273"/>
        <v>104</v>
      </c>
      <c r="G81" s="3456">
        <v>2004</v>
      </c>
      <c r="H81" s="2173">
        <v>1</v>
      </c>
      <c r="I81" s="2173">
        <v>0.33</v>
      </c>
      <c r="J81" s="2173">
        <v>0.5</v>
      </c>
      <c r="K81" s="2173">
        <v>0.5</v>
      </c>
      <c r="L81" s="2174">
        <v>0</v>
      </c>
      <c r="N81" s="2186">
        <f t="shared" si="270"/>
        <v>1.3391770148526898E-2</v>
      </c>
      <c r="O81" s="2187">
        <f t="shared" si="270"/>
        <v>1.063264221158958E-2</v>
      </c>
      <c r="P81" s="2187">
        <f t="shared" si="271"/>
        <v>2.2244466688911134E-2</v>
      </c>
      <c r="Q81" s="2187">
        <f t="shared" si="271"/>
        <v>0</v>
      </c>
      <c r="R81" s="2178"/>
      <c r="S81" s="2176">
        <f>B81/B82-1</f>
        <v>1.3391770148526883E-2</v>
      </c>
      <c r="T81" s="2177">
        <f>C81/C82-1</f>
        <v>1.063264221158966E-2</v>
      </c>
      <c r="U81" s="2177">
        <f>E81/E82-1</f>
        <v>2.2244466688911224E-2</v>
      </c>
      <c r="V81" s="2177">
        <f>F81/F82-1</f>
        <v>0</v>
      </c>
      <c r="X81" s="2188"/>
      <c r="Y81" s="2188"/>
      <c r="Z81" s="2188"/>
    </row>
    <row r="82" spans="1:26" ht="13.8" thickBot="1">
      <c r="A82" s="2126" t="s">
        <v>840</v>
      </c>
      <c r="B82" s="2189">
        <v>111</v>
      </c>
      <c r="C82" s="2189">
        <v>114</v>
      </c>
      <c r="D82" s="2189">
        <f t="shared" si="238"/>
        <v>114</v>
      </c>
      <c r="E82" s="2189">
        <v>108</v>
      </c>
      <c r="F82" s="2190">
        <v>104</v>
      </c>
      <c r="G82" s="3454">
        <v>2003</v>
      </c>
      <c r="H82" s="2179">
        <v>4</v>
      </c>
      <c r="I82" s="2191"/>
      <c r="J82" s="2191"/>
      <c r="K82" s="2191"/>
      <c r="L82" s="2191"/>
      <c r="N82" s="2192"/>
      <c r="O82" s="2191"/>
      <c r="P82" s="2191"/>
      <c r="Q82" s="2191"/>
      <c r="S82" s="2192"/>
      <c r="T82" s="2191"/>
      <c r="U82" s="2191"/>
      <c r="V82" s="2191"/>
      <c r="X82" s="2183"/>
      <c r="Y82" s="2183"/>
      <c r="Z82" s="2183"/>
    </row>
    <row r="83" spans="1:26">
      <c r="A83" s="2126" t="s">
        <v>841</v>
      </c>
      <c r="B83" s="2193">
        <f t="shared" ref="B83:C85" si="274">B84+(B$82-B$86)/4</f>
        <v>109.75</v>
      </c>
      <c r="C83" s="2193">
        <f t="shared" si="274"/>
        <v>112.25</v>
      </c>
      <c r="D83" s="2193">
        <f t="shared" si="238"/>
        <v>112.25</v>
      </c>
      <c r="E83" s="2193">
        <f t="shared" ref="E83:F85" si="275">E84+(E$82-E$86)/4</f>
        <v>107.25</v>
      </c>
      <c r="F83" s="2193">
        <f t="shared" si="275"/>
        <v>103.5</v>
      </c>
      <c r="G83" s="3455">
        <v>2003</v>
      </c>
      <c r="H83" s="2148">
        <v>3</v>
      </c>
      <c r="I83" s="2191"/>
      <c r="J83" s="2191"/>
      <c r="K83" s="2191"/>
      <c r="L83" s="2191"/>
      <c r="X83" s="2183"/>
      <c r="Y83" s="2183"/>
      <c r="Z83" s="2183"/>
    </row>
    <row r="84" spans="1:26">
      <c r="A84" s="2126" t="s">
        <v>842</v>
      </c>
      <c r="B84" s="2193">
        <f t="shared" si="274"/>
        <v>108.5</v>
      </c>
      <c r="C84" s="2193">
        <f t="shared" si="274"/>
        <v>110.5</v>
      </c>
      <c r="D84" s="2193">
        <f t="shared" si="238"/>
        <v>110.5</v>
      </c>
      <c r="E84" s="2193">
        <f t="shared" si="275"/>
        <v>106.5</v>
      </c>
      <c r="F84" s="2193">
        <f t="shared" si="275"/>
        <v>103</v>
      </c>
      <c r="G84" s="3455">
        <v>2003</v>
      </c>
      <c r="H84" s="2141">
        <v>2</v>
      </c>
      <c r="I84" s="2191"/>
      <c r="J84" s="2191"/>
      <c r="K84" s="2191"/>
      <c r="L84" s="2191"/>
      <c r="X84" s="2183"/>
      <c r="Y84" s="2183"/>
      <c r="Z84" s="2183"/>
    </row>
    <row r="85" spans="1:26" ht="13.8" thickBot="1">
      <c r="A85" s="2126" t="s">
        <v>843</v>
      </c>
      <c r="B85" s="2193">
        <f t="shared" si="274"/>
        <v>107.25</v>
      </c>
      <c r="C85" s="2193">
        <f t="shared" si="274"/>
        <v>108.75</v>
      </c>
      <c r="D85" s="2193">
        <f t="shared" si="238"/>
        <v>108.75</v>
      </c>
      <c r="E85" s="2193">
        <f t="shared" si="275"/>
        <v>105.75</v>
      </c>
      <c r="F85" s="2193">
        <f t="shared" si="275"/>
        <v>102.5</v>
      </c>
      <c r="G85" s="3456">
        <v>2003</v>
      </c>
      <c r="H85" s="2194">
        <v>1</v>
      </c>
      <c r="I85" s="2191"/>
      <c r="J85" s="2191"/>
      <c r="K85" s="2191"/>
      <c r="L85" s="2191"/>
      <c r="S85" s="2130"/>
      <c r="T85" s="2123"/>
      <c r="U85" s="2123"/>
      <c r="X85" s="2183"/>
      <c r="Y85" s="2183"/>
      <c r="Z85" s="2183"/>
    </row>
    <row r="86" spans="1:26" ht="13.8" thickBot="1">
      <c r="A86" s="2126" t="s">
        <v>844</v>
      </c>
      <c r="B86" s="2195">
        <v>106</v>
      </c>
      <c r="C86" s="2195">
        <v>107</v>
      </c>
      <c r="D86" s="2195">
        <f t="shared" si="238"/>
        <v>107</v>
      </c>
      <c r="E86" s="2195">
        <v>105</v>
      </c>
      <c r="F86" s="2196">
        <v>102</v>
      </c>
      <c r="G86" s="3454">
        <v>2002</v>
      </c>
      <c r="H86" s="2145">
        <v>4</v>
      </c>
      <c r="I86" s="2191"/>
      <c r="J86" s="2191"/>
      <c r="K86" s="2191"/>
      <c r="L86" s="2191"/>
      <c r="N86" s="2192"/>
      <c r="O86" s="2191"/>
      <c r="P86" s="2191"/>
      <c r="Q86" s="2191"/>
      <c r="S86" s="2192"/>
      <c r="T86" s="2191"/>
      <c r="U86" s="2191"/>
      <c r="V86" s="2191"/>
      <c r="X86" s="2183"/>
      <c r="Y86" s="2183"/>
      <c r="Z86" s="2183"/>
    </row>
    <row r="87" spans="1:26">
      <c r="A87" s="2126" t="s">
        <v>845</v>
      </c>
      <c r="B87" s="2193">
        <f t="shared" ref="B87:C89" si="276">B88+(B$86-B$90)/4</f>
        <v>105</v>
      </c>
      <c r="C87" s="2193">
        <f t="shared" si="276"/>
        <v>106</v>
      </c>
      <c r="D87" s="2193">
        <f t="shared" si="238"/>
        <v>106</v>
      </c>
      <c r="E87" s="2193">
        <f t="shared" ref="E87:F89" si="277">E88+(E$86-E$90)/4</f>
        <v>104.5</v>
      </c>
      <c r="F87" s="2193">
        <f t="shared" si="277"/>
        <v>101.5</v>
      </c>
      <c r="G87" s="3455">
        <v>2002</v>
      </c>
      <c r="H87" s="2148">
        <v>3</v>
      </c>
      <c r="I87" s="2191"/>
      <c r="J87" s="2191"/>
      <c r="K87" s="2191"/>
      <c r="L87" s="2191"/>
      <c r="X87" s="2183"/>
      <c r="Y87" s="2183"/>
      <c r="Z87" s="2183"/>
    </row>
    <row r="88" spans="1:26">
      <c r="A88" s="2126" t="s">
        <v>846</v>
      </c>
      <c r="B88" s="2193">
        <f t="shared" si="276"/>
        <v>104</v>
      </c>
      <c r="C88" s="2193">
        <f t="shared" si="276"/>
        <v>105</v>
      </c>
      <c r="D88" s="2193">
        <f t="shared" si="238"/>
        <v>105</v>
      </c>
      <c r="E88" s="2193">
        <f t="shared" si="277"/>
        <v>104</v>
      </c>
      <c r="F88" s="2193">
        <f t="shared" si="277"/>
        <v>101</v>
      </c>
      <c r="G88" s="3455">
        <v>2002</v>
      </c>
      <c r="H88" s="2141">
        <v>2</v>
      </c>
      <c r="I88" s="2191"/>
      <c r="J88" s="2191"/>
      <c r="K88" s="2191"/>
      <c r="L88" s="2191"/>
      <c r="X88" s="2183"/>
      <c r="Y88" s="2183"/>
      <c r="Z88" s="2183"/>
    </row>
    <row r="89" spans="1:26" s="2158" customFormat="1" ht="13.8" thickBot="1">
      <c r="A89" s="2154" t="s">
        <v>847</v>
      </c>
      <c r="B89" s="2161">
        <f t="shared" si="276"/>
        <v>103</v>
      </c>
      <c r="C89" s="2161">
        <f t="shared" si="276"/>
        <v>104</v>
      </c>
      <c r="D89" s="2161">
        <f t="shared" si="238"/>
        <v>104</v>
      </c>
      <c r="E89" s="2161">
        <f t="shared" si="277"/>
        <v>103.5</v>
      </c>
      <c r="F89" s="2161">
        <f t="shared" si="277"/>
        <v>100.5</v>
      </c>
      <c r="G89" s="3456">
        <v>2002</v>
      </c>
      <c r="H89" s="2197">
        <v>1</v>
      </c>
      <c r="I89" s="2198"/>
      <c r="J89" s="2198"/>
      <c r="K89" s="2198"/>
      <c r="L89" s="2198"/>
      <c r="N89" s="2199"/>
      <c r="S89" s="2199"/>
      <c r="X89" s="2200"/>
      <c r="Y89" s="2200"/>
      <c r="Z89" s="2200"/>
    </row>
    <row r="90" spans="1:26" ht="13.8" thickBot="1">
      <c r="B90" s="2201">
        <v>102</v>
      </c>
      <c r="C90" s="2202">
        <v>103</v>
      </c>
      <c r="D90" s="2202">
        <f t="shared" si="238"/>
        <v>103</v>
      </c>
      <c r="E90" s="2202">
        <v>103</v>
      </c>
      <c r="F90" s="2203">
        <v>100</v>
      </c>
      <c r="I90" s="2191"/>
      <c r="J90" s="2191"/>
      <c r="K90" s="2191"/>
      <c r="L90" s="2191"/>
      <c r="N90" s="2192"/>
      <c r="O90" s="2191"/>
      <c r="P90" s="2191"/>
      <c r="Q90" s="2191"/>
      <c r="S90" s="2192"/>
      <c r="T90" s="2191"/>
      <c r="U90" s="2191"/>
      <c r="V90" s="2191"/>
      <c r="X90" s="2140"/>
      <c r="Y90" s="2140"/>
      <c r="Z90" s="2140"/>
    </row>
    <row r="92" spans="1:26" s="2205" customFormat="1">
      <c r="A92" s="2204" t="s">
        <v>848</v>
      </c>
      <c r="G92" s="2206"/>
      <c r="N92" s="2206"/>
      <c r="S92" s="2206"/>
    </row>
    <row r="93" spans="1:26" s="2205" customFormat="1">
      <c r="A93" s="2205" t="s">
        <v>849</v>
      </c>
      <c r="G93" s="2206"/>
      <c r="N93" s="2206"/>
      <c r="S93" s="2206"/>
    </row>
    <row r="94" spans="1:26" s="2205" customFormat="1">
      <c r="A94" s="2205" t="s">
        <v>850</v>
      </c>
      <c r="G94" s="2206"/>
      <c r="I94" s="2207"/>
      <c r="J94" s="2207"/>
      <c r="K94" s="2207"/>
      <c r="L94" s="2207"/>
      <c r="N94" s="2208"/>
      <c r="O94" s="2207"/>
      <c r="P94" s="2207"/>
      <c r="Q94" s="2207"/>
      <c r="S94" s="2208"/>
      <c r="T94" s="2207"/>
      <c r="U94" s="2207"/>
      <c r="V94" s="2207"/>
    </row>
    <row r="95" spans="1:26" s="2205" customFormat="1">
      <c r="A95" s="2205" t="s">
        <v>851</v>
      </c>
      <c r="G95" s="2206"/>
      <c r="N95" s="2206"/>
      <c r="S95" s="2206"/>
    </row>
    <row r="102" spans="7:22" ht="13.8" thickBot="1"/>
    <row r="103" spans="7:22">
      <c r="G103" s="2122"/>
      <c r="S103" s="2209" t="s">
        <v>852</v>
      </c>
      <c r="T103" s="2148" t="s">
        <v>853</v>
      </c>
      <c r="U103" s="2148" t="s">
        <v>854</v>
      </c>
      <c r="V103" s="2148" t="s">
        <v>855</v>
      </c>
    </row>
    <row r="104" spans="7:22">
      <c r="G104" s="2122"/>
      <c r="N104" s="2139"/>
      <c r="O104" s="2140"/>
      <c r="P104" s="2140"/>
      <c r="Q104" s="2140"/>
      <c r="S104" s="2210">
        <v>2006</v>
      </c>
      <c r="T104" s="2141">
        <v>15.1</v>
      </c>
      <c r="U104" s="2141">
        <v>7.43</v>
      </c>
      <c r="V104" s="2141">
        <v>26.26</v>
      </c>
    </row>
    <row r="105" spans="7:22">
      <c r="G105" s="2122"/>
      <c r="N105" s="2139"/>
      <c r="O105" s="2140"/>
      <c r="P105" s="2140"/>
      <c r="Q105" s="2140"/>
      <c r="S105" s="2211">
        <v>2005</v>
      </c>
      <c r="T105" s="2128">
        <v>13.9</v>
      </c>
      <c r="U105" s="2128">
        <v>7.49</v>
      </c>
      <c r="V105" s="2128">
        <v>24.92</v>
      </c>
    </row>
    <row r="106" spans="7:22">
      <c r="G106" s="2122"/>
      <c r="N106" s="2139"/>
      <c r="O106" s="2140"/>
      <c r="P106" s="2140"/>
      <c r="Q106" s="2140"/>
      <c r="S106" s="2210">
        <v>2004</v>
      </c>
      <c r="T106" s="2141">
        <v>9.48</v>
      </c>
      <c r="U106" s="2141">
        <v>7.2</v>
      </c>
      <c r="V106" s="2141">
        <v>14.68</v>
      </c>
    </row>
    <row r="107" spans="7:22">
      <c r="G107" s="2122"/>
      <c r="N107" s="2139"/>
      <c r="O107" s="2140"/>
      <c r="P107" s="2140"/>
      <c r="Q107" s="2140"/>
      <c r="S107" s="2211">
        <v>2003</v>
      </c>
      <c r="T107" s="2128">
        <v>4.5</v>
      </c>
      <c r="U107" s="2128">
        <v>6.12</v>
      </c>
      <c r="V107" s="2128">
        <v>2.34</v>
      </c>
    </row>
    <row r="108" spans="7:22" ht="13.8" thickBot="1">
      <c r="G108" s="2122"/>
      <c r="N108" s="2139"/>
      <c r="O108" s="2140"/>
      <c r="P108" s="2140"/>
      <c r="Q108" s="2140"/>
      <c r="S108" s="2212">
        <v>2002</v>
      </c>
      <c r="T108" s="2145">
        <v>3.59</v>
      </c>
      <c r="U108" s="2145">
        <v>4.54</v>
      </c>
      <c r="V108" s="2145">
        <v>2.5499999999999998</v>
      </c>
    </row>
    <row r="109" spans="7:22">
      <c r="G109" s="2122"/>
      <c r="N109" s="2139"/>
      <c r="O109" s="2140"/>
      <c r="P109" s="2140"/>
      <c r="Q109" s="2140"/>
    </row>
    <row r="110" spans="7:22">
      <c r="G110" s="2122"/>
      <c r="N110" s="2139"/>
      <c r="O110" s="2140"/>
      <c r="P110" s="2140"/>
      <c r="Q110" s="2140"/>
    </row>
    <row r="111" spans="7:22">
      <c r="G111" s="2122"/>
      <c r="N111" s="2139"/>
      <c r="O111" s="2140"/>
      <c r="P111" s="2140"/>
      <c r="Q111" s="2140"/>
    </row>
    <row r="112" spans="7:22">
      <c r="G112" s="2122"/>
      <c r="N112" s="2139"/>
      <c r="O112" s="2140"/>
      <c r="P112" s="2140"/>
      <c r="Q112" s="2140"/>
    </row>
    <row r="113" spans="7:19">
      <c r="G113" s="2122"/>
      <c r="N113" s="2139"/>
      <c r="O113" s="2140"/>
      <c r="P113" s="2140"/>
      <c r="Q113" s="2140"/>
    </row>
    <row r="114" spans="7:19">
      <c r="G114" s="2122"/>
      <c r="N114" s="2139"/>
      <c r="O114" s="2140"/>
      <c r="P114" s="2140"/>
      <c r="Q114" s="2140"/>
    </row>
    <row r="115" spans="7:19">
      <c r="G115" s="2122"/>
      <c r="N115" s="2139"/>
      <c r="O115" s="2140"/>
      <c r="P115" s="2140"/>
      <c r="Q115" s="2140"/>
    </row>
    <row r="116" spans="7:19">
      <c r="G116" s="2122"/>
      <c r="N116" s="2139"/>
      <c r="O116" s="2140"/>
      <c r="P116" s="2140"/>
      <c r="Q116" s="2140"/>
    </row>
    <row r="117" spans="7:19">
      <c r="G117" s="2122"/>
      <c r="N117" s="2139"/>
      <c r="O117" s="2140"/>
      <c r="P117" s="2140"/>
      <c r="Q117" s="2140"/>
    </row>
    <row r="118" spans="7:19">
      <c r="G118" s="2122"/>
      <c r="N118" s="2139"/>
      <c r="O118" s="2140"/>
      <c r="P118" s="2140"/>
      <c r="Q118" s="2140"/>
    </row>
    <row r="119" spans="7:19">
      <c r="G119" s="2122"/>
      <c r="N119" s="2139"/>
      <c r="O119" s="2140"/>
      <c r="P119" s="2140"/>
      <c r="Q119" s="2140"/>
      <c r="S119" s="2122"/>
    </row>
    <row r="120" spans="7:19">
      <c r="G120" s="2122"/>
      <c r="N120" s="2139"/>
      <c r="O120" s="2140"/>
      <c r="P120" s="2140"/>
      <c r="Q120" s="2140"/>
      <c r="S120" s="2122"/>
    </row>
    <row r="121" spans="7:19">
      <c r="G121" s="2122"/>
      <c r="N121" s="2139"/>
      <c r="O121" s="2140"/>
      <c r="P121" s="2140"/>
      <c r="Q121" s="2140"/>
      <c r="S121" s="2122"/>
    </row>
    <row r="122" spans="7:19">
      <c r="G122" s="2122"/>
      <c r="N122" s="2139"/>
      <c r="O122" s="2140"/>
      <c r="P122" s="2140"/>
      <c r="Q122" s="2140"/>
      <c r="S122" s="2122"/>
    </row>
    <row r="123" spans="7:19">
      <c r="G123" s="2122"/>
      <c r="N123" s="2139"/>
      <c r="O123" s="2140"/>
      <c r="P123" s="2140"/>
      <c r="Q123" s="2140"/>
      <c r="S123" s="2122"/>
    </row>
    <row r="124" spans="7:19">
      <c r="G124" s="2122"/>
      <c r="N124" s="2139"/>
      <c r="O124" s="2140"/>
      <c r="P124" s="2140"/>
      <c r="Q124" s="2140"/>
      <c r="S124" s="212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4.4"/>
  <cols>
    <col min="1" max="1" width="4.88671875" style="1110" customWidth="1"/>
    <col min="2" max="2" width="13.21875" style="1116" customWidth="1"/>
    <col min="3" max="3" width="15.6640625" style="1116" customWidth="1"/>
    <col min="4" max="4" width="9.33203125" style="1116" bestFit="1" customWidth="1"/>
    <col min="5" max="5" width="13.44140625" style="1116" customWidth="1"/>
    <col min="6" max="6" width="9" style="1116"/>
    <col min="7" max="7" width="9.33203125" style="1116" bestFit="1" customWidth="1"/>
    <col min="8" max="8" width="11.44140625" style="1116" customWidth="1"/>
    <col min="9" max="9" width="9" style="1116"/>
    <col min="10" max="10" width="9.33203125" style="1116" bestFit="1" customWidth="1"/>
    <col min="11" max="11" width="4" style="1110" customWidth="1"/>
    <col min="12" max="12" width="5.109375" style="1116" customWidth="1"/>
    <col min="13" max="13" width="13.77734375" style="1116" customWidth="1"/>
    <col min="14" max="256" width="9" style="1116"/>
    <col min="257" max="257" width="4.88671875" style="1107" customWidth="1"/>
    <col min="258" max="258" width="13.21875" style="1107" customWidth="1"/>
    <col min="259" max="259" width="15.6640625" style="1107" customWidth="1"/>
    <col min="260" max="260" width="9.33203125" style="1107" bestFit="1" customWidth="1"/>
    <col min="261" max="261" width="13.44140625" style="1107" customWidth="1"/>
    <col min="262" max="262" width="9" style="1107"/>
    <col min="263" max="263" width="9.33203125" style="1107" bestFit="1" customWidth="1"/>
    <col min="264" max="265" width="9" style="1107"/>
    <col min="266" max="266" width="9.33203125" style="1107" bestFit="1" customWidth="1"/>
    <col min="267" max="267" width="4" style="1107" customWidth="1"/>
    <col min="268" max="268" width="5.109375" style="1107" customWidth="1"/>
    <col min="269" max="269" width="13.77734375" style="1107" customWidth="1"/>
    <col min="270" max="512" width="9" style="1107"/>
    <col min="513" max="513" width="4.88671875" style="1107" customWidth="1"/>
    <col min="514" max="514" width="13.21875" style="1107" customWidth="1"/>
    <col min="515" max="515" width="15.6640625" style="1107" customWidth="1"/>
    <col min="516" max="516" width="9.33203125" style="1107" bestFit="1" customWidth="1"/>
    <col min="517" max="517" width="13.44140625" style="1107" customWidth="1"/>
    <col min="518" max="518" width="9" style="1107"/>
    <col min="519" max="519" width="9.33203125" style="1107" bestFit="1" customWidth="1"/>
    <col min="520" max="521" width="9" style="1107"/>
    <col min="522" max="522" width="9.33203125" style="1107" bestFit="1" customWidth="1"/>
    <col min="523" max="523" width="4" style="1107" customWidth="1"/>
    <col min="524" max="524" width="5.109375" style="1107" customWidth="1"/>
    <col min="525" max="525" width="13.77734375" style="1107" customWidth="1"/>
    <col min="526" max="768" width="9" style="1107"/>
    <col min="769" max="769" width="4.88671875" style="1107" customWidth="1"/>
    <col min="770" max="770" width="13.21875" style="1107" customWidth="1"/>
    <col min="771" max="771" width="15.6640625" style="1107" customWidth="1"/>
    <col min="772" max="772" width="9.33203125" style="1107" bestFit="1" customWidth="1"/>
    <col min="773" max="773" width="13.44140625" style="1107" customWidth="1"/>
    <col min="774" max="774" width="9" style="1107"/>
    <col min="775" max="775" width="9.33203125" style="1107" bestFit="1" customWidth="1"/>
    <col min="776" max="777" width="9" style="1107"/>
    <col min="778" max="778" width="9.33203125" style="1107" bestFit="1" customWidth="1"/>
    <col min="779" max="779" width="4" style="1107" customWidth="1"/>
    <col min="780" max="780" width="5.109375" style="1107" customWidth="1"/>
    <col min="781" max="781" width="13.77734375" style="1107" customWidth="1"/>
    <col min="782" max="1024" width="9" style="1107"/>
    <col min="1025" max="1025" width="4.88671875" style="1107" customWidth="1"/>
    <col min="1026" max="1026" width="13.21875" style="1107" customWidth="1"/>
    <col min="1027" max="1027" width="15.6640625" style="1107" customWidth="1"/>
    <col min="1028" max="1028" width="9.33203125" style="1107" bestFit="1" customWidth="1"/>
    <col min="1029" max="1029" width="13.44140625" style="1107" customWidth="1"/>
    <col min="1030" max="1030" width="9" style="1107"/>
    <col min="1031" max="1031" width="9.33203125" style="1107" bestFit="1" customWidth="1"/>
    <col min="1032" max="1033" width="9" style="1107"/>
    <col min="1034" max="1034" width="9.33203125" style="1107" bestFit="1" customWidth="1"/>
    <col min="1035" max="1035" width="4" style="1107" customWidth="1"/>
    <col min="1036" max="1036" width="5.109375" style="1107" customWidth="1"/>
    <col min="1037" max="1037" width="13.77734375" style="1107" customWidth="1"/>
    <col min="1038" max="1280" width="9" style="1107"/>
    <col min="1281" max="1281" width="4.88671875" style="1107" customWidth="1"/>
    <col min="1282" max="1282" width="13.21875" style="1107" customWidth="1"/>
    <col min="1283" max="1283" width="15.6640625" style="1107" customWidth="1"/>
    <col min="1284" max="1284" width="9.33203125" style="1107" bestFit="1" customWidth="1"/>
    <col min="1285" max="1285" width="13.44140625" style="1107" customWidth="1"/>
    <col min="1286" max="1286" width="9" style="1107"/>
    <col min="1287" max="1287" width="9.33203125" style="1107" bestFit="1" customWidth="1"/>
    <col min="1288" max="1289" width="9" style="1107"/>
    <col min="1290" max="1290" width="9.33203125" style="1107" bestFit="1" customWidth="1"/>
    <col min="1291" max="1291" width="4" style="1107" customWidth="1"/>
    <col min="1292" max="1292" width="5.109375" style="1107" customWidth="1"/>
    <col min="1293" max="1293" width="13.77734375" style="1107" customWidth="1"/>
    <col min="1294" max="1536" width="9" style="1107"/>
    <col min="1537" max="1537" width="4.88671875" style="1107" customWidth="1"/>
    <col min="1538" max="1538" width="13.21875" style="1107" customWidth="1"/>
    <col min="1539" max="1539" width="15.6640625" style="1107" customWidth="1"/>
    <col min="1540" max="1540" width="9.33203125" style="1107" bestFit="1" customWidth="1"/>
    <col min="1541" max="1541" width="13.44140625" style="1107" customWidth="1"/>
    <col min="1542" max="1542" width="9" style="1107"/>
    <col min="1543" max="1543" width="9.33203125" style="1107" bestFit="1" customWidth="1"/>
    <col min="1544" max="1545" width="9" style="1107"/>
    <col min="1546" max="1546" width="9.33203125" style="1107" bestFit="1" customWidth="1"/>
    <col min="1547" max="1547" width="4" style="1107" customWidth="1"/>
    <col min="1548" max="1548" width="5.109375" style="1107" customWidth="1"/>
    <col min="1549" max="1549" width="13.77734375" style="1107" customWidth="1"/>
    <col min="1550" max="1792" width="9" style="1107"/>
    <col min="1793" max="1793" width="4.88671875" style="1107" customWidth="1"/>
    <col min="1794" max="1794" width="13.21875" style="1107" customWidth="1"/>
    <col min="1795" max="1795" width="15.6640625" style="1107" customWidth="1"/>
    <col min="1796" max="1796" width="9.33203125" style="1107" bestFit="1" customWidth="1"/>
    <col min="1797" max="1797" width="13.44140625" style="1107" customWidth="1"/>
    <col min="1798" max="1798" width="9" style="1107"/>
    <col min="1799" max="1799" width="9.33203125" style="1107" bestFit="1" customWidth="1"/>
    <col min="1800" max="1801" width="9" style="1107"/>
    <col min="1802" max="1802" width="9.33203125" style="1107" bestFit="1" customWidth="1"/>
    <col min="1803" max="1803" width="4" style="1107" customWidth="1"/>
    <col min="1804" max="1804" width="5.109375" style="1107" customWidth="1"/>
    <col min="1805" max="1805" width="13.77734375" style="1107" customWidth="1"/>
    <col min="1806" max="2048" width="9" style="1107"/>
    <col min="2049" max="2049" width="4.88671875" style="1107" customWidth="1"/>
    <col min="2050" max="2050" width="13.21875" style="1107" customWidth="1"/>
    <col min="2051" max="2051" width="15.6640625" style="1107" customWidth="1"/>
    <col min="2052" max="2052" width="9.33203125" style="1107" bestFit="1" customWidth="1"/>
    <col min="2053" max="2053" width="13.44140625" style="1107" customWidth="1"/>
    <col min="2054" max="2054" width="9" style="1107"/>
    <col min="2055" max="2055" width="9.33203125" style="1107" bestFit="1" customWidth="1"/>
    <col min="2056" max="2057" width="9" style="1107"/>
    <col min="2058" max="2058" width="9.33203125" style="1107" bestFit="1" customWidth="1"/>
    <col min="2059" max="2059" width="4" style="1107" customWidth="1"/>
    <col min="2060" max="2060" width="5.109375" style="1107" customWidth="1"/>
    <col min="2061" max="2061" width="13.77734375" style="1107" customWidth="1"/>
    <col min="2062" max="2304" width="9" style="1107"/>
    <col min="2305" max="2305" width="4.88671875" style="1107" customWidth="1"/>
    <col min="2306" max="2306" width="13.21875" style="1107" customWidth="1"/>
    <col min="2307" max="2307" width="15.6640625" style="1107" customWidth="1"/>
    <col min="2308" max="2308" width="9.33203125" style="1107" bestFit="1" customWidth="1"/>
    <col min="2309" max="2309" width="13.44140625" style="1107" customWidth="1"/>
    <col min="2310" max="2310" width="9" style="1107"/>
    <col min="2311" max="2311" width="9.33203125" style="1107" bestFit="1" customWidth="1"/>
    <col min="2312" max="2313" width="9" style="1107"/>
    <col min="2314" max="2314" width="9.33203125" style="1107" bestFit="1" customWidth="1"/>
    <col min="2315" max="2315" width="4" style="1107" customWidth="1"/>
    <col min="2316" max="2316" width="5.109375" style="1107" customWidth="1"/>
    <col min="2317" max="2317" width="13.77734375" style="1107" customWidth="1"/>
    <col min="2318" max="2560" width="9" style="1107"/>
    <col min="2561" max="2561" width="4.88671875" style="1107" customWidth="1"/>
    <col min="2562" max="2562" width="13.21875" style="1107" customWidth="1"/>
    <col min="2563" max="2563" width="15.6640625" style="1107" customWidth="1"/>
    <col min="2564" max="2564" width="9.33203125" style="1107" bestFit="1" customWidth="1"/>
    <col min="2565" max="2565" width="13.44140625" style="1107" customWidth="1"/>
    <col min="2566" max="2566" width="9" style="1107"/>
    <col min="2567" max="2567" width="9.33203125" style="1107" bestFit="1" customWidth="1"/>
    <col min="2568" max="2569" width="9" style="1107"/>
    <col min="2570" max="2570" width="9.33203125" style="1107" bestFit="1" customWidth="1"/>
    <col min="2571" max="2571" width="4" style="1107" customWidth="1"/>
    <col min="2572" max="2572" width="5.109375" style="1107" customWidth="1"/>
    <col min="2573" max="2573" width="13.77734375" style="1107" customWidth="1"/>
    <col min="2574" max="2816" width="9" style="1107"/>
    <col min="2817" max="2817" width="4.88671875" style="1107" customWidth="1"/>
    <col min="2818" max="2818" width="13.21875" style="1107" customWidth="1"/>
    <col min="2819" max="2819" width="15.6640625" style="1107" customWidth="1"/>
    <col min="2820" max="2820" width="9.33203125" style="1107" bestFit="1" customWidth="1"/>
    <col min="2821" max="2821" width="13.44140625" style="1107" customWidth="1"/>
    <col min="2822" max="2822" width="9" style="1107"/>
    <col min="2823" max="2823" width="9.33203125" style="1107" bestFit="1" customWidth="1"/>
    <col min="2824" max="2825" width="9" style="1107"/>
    <col min="2826" max="2826" width="9.33203125" style="1107" bestFit="1" customWidth="1"/>
    <col min="2827" max="2827" width="4" style="1107" customWidth="1"/>
    <col min="2828" max="2828" width="5.109375" style="1107" customWidth="1"/>
    <col min="2829" max="2829" width="13.77734375" style="1107" customWidth="1"/>
    <col min="2830" max="3072" width="9" style="1107"/>
    <col min="3073" max="3073" width="4.88671875" style="1107" customWidth="1"/>
    <col min="3074" max="3074" width="13.21875" style="1107" customWidth="1"/>
    <col min="3075" max="3075" width="15.6640625" style="1107" customWidth="1"/>
    <col min="3076" max="3076" width="9.33203125" style="1107" bestFit="1" customWidth="1"/>
    <col min="3077" max="3077" width="13.44140625" style="1107" customWidth="1"/>
    <col min="3078" max="3078" width="9" style="1107"/>
    <col min="3079" max="3079" width="9.33203125" style="1107" bestFit="1" customWidth="1"/>
    <col min="3080" max="3081" width="9" style="1107"/>
    <col min="3082" max="3082" width="9.33203125" style="1107" bestFit="1" customWidth="1"/>
    <col min="3083" max="3083" width="4" style="1107" customWidth="1"/>
    <col min="3084" max="3084" width="5.109375" style="1107" customWidth="1"/>
    <col min="3085" max="3085" width="13.77734375" style="1107" customWidth="1"/>
    <col min="3086" max="3328" width="9" style="1107"/>
    <col min="3329" max="3329" width="4.88671875" style="1107" customWidth="1"/>
    <col min="3330" max="3330" width="13.21875" style="1107" customWidth="1"/>
    <col min="3331" max="3331" width="15.6640625" style="1107" customWidth="1"/>
    <col min="3332" max="3332" width="9.33203125" style="1107" bestFit="1" customWidth="1"/>
    <col min="3333" max="3333" width="13.44140625" style="1107" customWidth="1"/>
    <col min="3334" max="3334" width="9" style="1107"/>
    <col min="3335" max="3335" width="9.33203125" style="1107" bestFit="1" customWidth="1"/>
    <col min="3336" max="3337" width="9" style="1107"/>
    <col min="3338" max="3338" width="9.33203125" style="1107" bestFit="1" customWidth="1"/>
    <col min="3339" max="3339" width="4" style="1107" customWidth="1"/>
    <col min="3340" max="3340" width="5.109375" style="1107" customWidth="1"/>
    <col min="3341" max="3341" width="13.77734375" style="1107" customWidth="1"/>
    <col min="3342" max="3584" width="9" style="1107"/>
    <col min="3585" max="3585" width="4.88671875" style="1107" customWidth="1"/>
    <col min="3586" max="3586" width="13.21875" style="1107" customWidth="1"/>
    <col min="3587" max="3587" width="15.6640625" style="1107" customWidth="1"/>
    <col min="3588" max="3588" width="9.33203125" style="1107" bestFit="1" customWidth="1"/>
    <col min="3589" max="3589" width="13.44140625" style="1107" customWidth="1"/>
    <col min="3590" max="3590" width="9" style="1107"/>
    <col min="3591" max="3591" width="9.33203125" style="1107" bestFit="1" customWidth="1"/>
    <col min="3592" max="3593" width="9" style="1107"/>
    <col min="3594" max="3594" width="9.33203125" style="1107" bestFit="1" customWidth="1"/>
    <col min="3595" max="3595" width="4" style="1107" customWidth="1"/>
    <col min="3596" max="3596" width="5.109375" style="1107" customWidth="1"/>
    <col min="3597" max="3597" width="13.77734375" style="1107" customWidth="1"/>
    <col min="3598" max="3840" width="9" style="1107"/>
    <col min="3841" max="3841" width="4.88671875" style="1107" customWidth="1"/>
    <col min="3842" max="3842" width="13.21875" style="1107" customWidth="1"/>
    <col min="3843" max="3843" width="15.6640625" style="1107" customWidth="1"/>
    <col min="3844" max="3844" width="9.33203125" style="1107" bestFit="1" customWidth="1"/>
    <col min="3845" max="3845" width="13.44140625" style="1107" customWidth="1"/>
    <col min="3846" max="3846" width="9" style="1107"/>
    <col min="3847" max="3847" width="9.33203125" style="1107" bestFit="1" customWidth="1"/>
    <col min="3848" max="3849" width="9" style="1107"/>
    <col min="3850" max="3850" width="9.33203125" style="1107" bestFit="1" customWidth="1"/>
    <col min="3851" max="3851" width="4" style="1107" customWidth="1"/>
    <col min="3852" max="3852" width="5.109375" style="1107" customWidth="1"/>
    <col min="3853" max="3853" width="13.77734375" style="1107" customWidth="1"/>
    <col min="3854" max="4096" width="9" style="1107"/>
    <col min="4097" max="4097" width="4.88671875" style="1107" customWidth="1"/>
    <col min="4098" max="4098" width="13.21875" style="1107" customWidth="1"/>
    <col min="4099" max="4099" width="15.6640625" style="1107" customWidth="1"/>
    <col min="4100" max="4100" width="9.33203125" style="1107" bestFit="1" customWidth="1"/>
    <col min="4101" max="4101" width="13.44140625" style="1107" customWidth="1"/>
    <col min="4102" max="4102" width="9" style="1107"/>
    <col min="4103" max="4103" width="9.33203125" style="1107" bestFit="1" customWidth="1"/>
    <col min="4104" max="4105" width="9" style="1107"/>
    <col min="4106" max="4106" width="9.33203125" style="1107" bestFit="1" customWidth="1"/>
    <col min="4107" max="4107" width="4" style="1107" customWidth="1"/>
    <col min="4108" max="4108" width="5.109375" style="1107" customWidth="1"/>
    <col min="4109" max="4109" width="13.77734375" style="1107" customWidth="1"/>
    <col min="4110" max="4352" width="9" style="1107"/>
    <col min="4353" max="4353" width="4.88671875" style="1107" customWidth="1"/>
    <col min="4354" max="4354" width="13.21875" style="1107" customWidth="1"/>
    <col min="4355" max="4355" width="15.6640625" style="1107" customWidth="1"/>
    <col min="4356" max="4356" width="9.33203125" style="1107" bestFit="1" customWidth="1"/>
    <col min="4357" max="4357" width="13.44140625" style="1107" customWidth="1"/>
    <col min="4358" max="4358" width="9" style="1107"/>
    <col min="4359" max="4359" width="9.33203125" style="1107" bestFit="1" customWidth="1"/>
    <col min="4360" max="4361" width="9" style="1107"/>
    <col min="4362" max="4362" width="9.33203125" style="1107" bestFit="1" customWidth="1"/>
    <col min="4363" max="4363" width="4" style="1107" customWidth="1"/>
    <col min="4364" max="4364" width="5.109375" style="1107" customWidth="1"/>
    <col min="4365" max="4365" width="13.77734375" style="1107" customWidth="1"/>
    <col min="4366" max="4608" width="9" style="1107"/>
    <col min="4609" max="4609" width="4.88671875" style="1107" customWidth="1"/>
    <col min="4610" max="4610" width="13.21875" style="1107" customWidth="1"/>
    <col min="4611" max="4611" width="15.6640625" style="1107" customWidth="1"/>
    <col min="4612" max="4612" width="9.33203125" style="1107" bestFit="1" customWidth="1"/>
    <col min="4613" max="4613" width="13.44140625" style="1107" customWidth="1"/>
    <col min="4614" max="4614" width="9" style="1107"/>
    <col min="4615" max="4615" width="9.33203125" style="1107" bestFit="1" customWidth="1"/>
    <col min="4616" max="4617" width="9" style="1107"/>
    <col min="4618" max="4618" width="9.33203125" style="1107" bestFit="1" customWidth="1"/>
    <col min="4619" max="4619" width="4" style="1107" customWidth="1"/>
    <col min="4620" max="4620" width="5.109375" style="1107" customWidth="1"/>
    <col min="4621" max="4621" width="13.77734375" style="1107" customWidth="1"/>
    <col min="4622" max="4864" width="9" style="1107"/>
    <col min="4865" max="4865" width="4.88671875" style="1107" customWidth="1"/>
    <col min="4866" max="4866" width="13.21875" style="1107" customWidth="1"/>
    <col min="4867" max="4867" width="15.6640625" style="1107" customWidth="1"/>
    <col min="4868" max="4868" width="9.33203125" style="1107" bestFit="1" customWidth="1"/>
    <col min="4869" max="4869" width="13.44140625" style="1107" customWidth="1"/>
    <col min="4870" max="4870" width="9" style="1107"/>
    <col min="4871" max="4871" width="9.33203125" style="1107" bestFit="1" customWidth="1"/>
    <col min="4872" max="4873" width="9" style="1107"/>
    <col min="4874" max="4874" width="9.33203125" style="1107" bestFit="1" customWidth="1"/>
    <col min="4875" max="4875" width="4" style="1107" customWidth="1"/>
    <col min="4876" max="4876" width="5.109375" style="1107" customWidth="1"/>
    <col min="4877" max="4877" width="13.77734375" style="1107" customWidth="1"/>
    <col min="4878" max="5120" width="9" style="1107"/>
    <col min="5121" max="5121" width="4.88671875" style="1107" customWidth="1"/>
    <col min="5122" max="5122" width="13.21875" style="1107" customWidth="1"/>
    <col min="5123" max="5123" width="15.6640625" style="1107" customWidth="1"/>
    <col min="5124" max="5124" width="9.33203125" style="1107" bestFit="1" customWidth="1"/>
    <col min="5125" max="5125" width="13.44140625" style="1107" customWidth="1"/>
    <col min="5126" max="5126" width="9" style="1107"/>
    <col min="5127" max="5127" width="9.33203125" style="1107" bestFit="1" customWidth="1"/>
    <col min="5128" max="5129" width="9" style="1107"/>
    <col min="5130" max="5130" width="9.33203125" style="1107" bestFit="1" customWidth="1"/>
    <col min="5131" max="5131" width="4" style="1107" customWidth="1"/>
    <col min="5132" max="5132" width="5.109375" style="1107" customWidth="1"/>
    <col min="5133" max="5133" width="13.77734375" style="1107" customWidth="1"/>
    <col min="5134" max="5376" width="9" style="1107"/>
    <col min="5377" max="5377" width="4.88671875" style="1107" customWidth="1"/>
    <col min="5378" max="5378" width="13.21875" style="1107" customWidth="1"/>
    <col min="5379" max="5379" width="15.6640625" style="1107" customWidth="1"/>
    <col min="5380" max="5380" width="9.33203125" style="1107" bestFit="1" customWidth="1"/>
    <col min="5381" max="5381" width="13.44140625" style="1107" customWidth="1"/>
    <col min="5382" max="5382" width="9" style="1107"/>
    <col min="5383" max="5383" width="9.33203125" style="1107" bestFit="1" customWidth="1"/>
    <col min="5384" max="5385" width="9" style="1107"/>
    <col min="5386" max="5386" width="9.33203125" style="1107" bestFit="1" customWidth="1"/>
    <col min="5387" max="5387" width="4" style="1107" customWidth="1"/>
    <col min="5388" max="5388" width="5.109375" style="1107" customWidth="1"/>
    <col min="5389" max="5389" width="13.77734375" style="1107" customWidth="1"/>
    <col min="5390" max="5632" width="9" style="1107"/>
    <col min="5633" max="5633" width="4.88671875" style="1107" customWidth="1"/>
    <col min="5634" max="5634" width="13.21875" style="1107" customWidth="1"/>
    <col min="5635" max="5635" width="15.6640625" style="1107" customWidth="1"/>
    <col min="5636" max="5636" width="9.33203125" style="1107" bestFit="1" customWidth="1"/>
    <col min="5637" max="5637" width="13.44140625" style="1107" customWidth="1"/>
    <col min="5638" max="5638" width="9" style="1107"/>
    <col min="5639" max="5639" width="9.33203125" style="1107" bestFit="1" customWidth="1"/>
    <col min="5640" max="5641" width="9" style="1107"/>
    <col min="5642" max="5642" width="9.33203125" style="1107" bestFit="1" customWidth="1"/>
    <col min="5643" max="5643" width="4" style="1107" customWidth="1"/>
    <col min="5644" max="5644" width="5.109375" style="1107" customWidth="1"/>
    <col min="5645" max="5645" width="13.77734375" style="1107" customWidth="1"/>
    <col min="5646" max="5888" width="9" style="1107"/>
    <col min="5889" max="5889" width="4.88671875" style="1107" customWidth="1"/>
    <col min="5890" max="5890" width="13.21875" style="1107" customWidth="1"/>
    <col min="5891" max="5891" width="15.6640625" style="1107" customWidth="1"/>
    <col min="5892" max="5892" width="9.33203125" style="1107" bestFit="1" customWidth="1"/>
    <col min="5893" max="5893" width="13.44140625" style="1107" customWidth="1"/>
    <col min="5894" max="5894" width="9" style="1107"/>
    <col min="5895" max="5895" width="9.33203125" style="1107" bestFit="1" customWidth="1"/>
    <col min="5896" max="5897" width="9" style="1107"/>
    <col min="5898" max="5898" width="9.33203125" style="1107" bestFit="1" customWidth="1"/>
    <col min="5899" max="5899" width="4" style="1107" customWidth="1"/>
    <col min="5900" max="5900" width="5.109375" style="1107" customWidth="1"/>
    <col min="5901" max="5901" width="13.77734375" style="1107" customWidth="1"/>
    <col min="5902" max="6144" width="9" style="1107"/>
    <col min="6145" max="6145" width="4.88671875" style="1107" customWidth="1"/>
    <col min="6146" max="6146" width="13.21875" style="1107" customWidth="1"/>
    <col min="6147" max="6147" width="15.6640625" style="1107" customWidth="1"/>
    <col min="6148" max="6148" width="9.33203125" style="1107" bestFit="1" customWidth="1"/>
    <col min="6149" max="6149" width="13.44140625" style="1107" customWidth="1"/>
    <col min="6150" max="6150" width="9" style="1107"/>
    <col min="6151" max="6151" width="9.33203125" style="1107" bestFit="1" customWidth="1"/>
    <col min="6152" max="6153" width="9" style="1107"/>
    <col min="6154" max="6154" width="9.33203125" style="1107" bestFit="1" customWidth="1"/>
    <col min="6155" max="6155" width="4" style="1107" customWidth="1"/>
    <col min="6156" max="6156" width="5.109375" style="1107" customWidth="1"/>
    <col min="6157" max="6157" width="13.77734375" style="1107" customWidth="1"/>
    <col min="6158" max="6400" width="9" style="1107"/>
    <col min="6401" max="6401" width="4.88671875" style="1107" customWidth="1"/>
    <col min="6402" max="6402" width="13.21875" style="1107" customWidth="1"/>
    <col min="6403" max="6403" width="15.6640625" style="1107" customWidth="1"/>
    <col min="6404" max="6404" width="9.33203125" style="1107" bestFit="1" customWidth="1"/>
    <col min="6405" max="6405" width="13.44140625" style="1107" customWidth="1"/>
    <col min="6406" max="6406" width="9" style="1107"/>
    <col min="6407" max="6407" width="9.33203125" style="1107" bestFit="1" customWidth="1"/>
    <col min="6408" max="6409" width="9" style="1107"/>
    <col min="6410" max="6410" width="9.33203125" style="1107" bestFit="1" customWidth="1"/>
    <col min="6411" max="6411" width="4" style="1107" customWidth="1"/>
    <col min="6412" max="6412" width="5.109375" style="1107" customWidth="1"/>
    <col min="6413" max="6413" width="13.77734375" style="1107" customWidth="1"/>
    <col min="6414" max="6656" width="9" style="1107"/>
    <col min="6657" max="6657" width="4.88671875" style="1107" customWidth="1"/>
    <col min="6658" max="6658" width="13.21875" style="1107" customWidth="1"/>
    <col min="6659" max="6659" width="15.6640625" style="1107" customWidth="1"/>
    <col min="6660" max="6660" width="9.33203125" style="1107" bestFit="1" customWidth="1"/>
    <col min="6661" max="6661" width="13.44140625" style="1107" customWidth="1"/>
    <col min="6662" max="6662" width="9" style="1107"/>
    <col min="6663" max="6663" width="9.33203125" style="1107" bestFit="1" customWidth="1"/>
    <col min="6664" max="6665" width="9" style="1107"/>
    <col min="6666" max="6666" width="9.33203125" style="1107" bestFit="1" customWidth="1"/>
    <col min="6667" max="6667" width="4" style="1107" customWidth="1"/>
    <col min="6668" max="6668" width="5.109375" style="1107" customWidth="1"/>
    <col min="6669" max="6669" width="13.77734375" style="1107" customWidth="1"/>
    <col min="6670" max="6912" width="9" style="1107"/>
    <col min="6913" max="6913" width="4.88671875" style="1107" customWidth="1"/>
    <col min="6914" max="6914" width="13.21875" style="1107" customWidth="1"/>
    <col min="6915" max="6915" width="15.6640625" style="1107" customWidth="1"/>
    <col min="6916" max="6916" width="9.33203125" style="1107" bestFit="1" customWidth="1"/>
    <col min="6917" max="6917" width="13.44140625" style="1107" customWidth="1"/>
    <col min="6918" max="6918" width="9" style="1107"/>
    <col min="6919" max="6919" width="9.33203125" style="1107" bestFit="1" customWidth="1"/>
    <col min="6920" max="6921" width="9" style="1107"/>
    <col min="6922" max="6922" width="9.33203125" style="1107" bestFit="1" customWidth="1"/>
    <col min="6923" max="6923" width="4" style="1107" customWidth="1"/>
    <col min="6924" max="6924" width="5.109375" style="1107" customWidth="1"/>
    <col min="6925" max="6925" width="13.77734375" style="1107" customWidth="1"/>
    <col min="6926" max="7168" width="9" style="1107"/>
    <col min="7169" max="7169" width="4.88671875" style="1107" customWidth="1"/>
    <col min="7170" max="7170" width="13.21875" style="1107" customWidth="1"/>
    <col min="7171" max="7171" width="15.6640625" style="1107" customWidth="1"/>
    <col min="7172" max="7172" width="9.33203125" style="1107" bestFit="1" customWidth="1"/>
    <col min="7173" max="7173" width="13.44140625" style="1107" customWidth="1"/>
    <col min="7174" max="7174" width="9" style="1107"/>
    <col min="7175" max="7175" width="9.33203125" style="1107" bestFit="1" customWidth="1"/>
    <col min="7176" max="7177" width="9" style="1107"/>
    <col min="7178" max="7178" width="9.33203125" style="1107" bestFit="1" customWidth="1"/>
    <col min="7179" max="7179" width="4" style="1107" customWidth="1"/>
    <col min="7180" max="7180" width="5.109375" style="1107" customWidth="1"/>
    <col min="7181" max="7181" width="13.77734375" style="1107" customWidth="1"/>
    <col min="7182" max="7424" width="9" style="1107"/>
    <col min="7425" max="7425" width="4.88671875" style="1107" customWidth="1"/>
    <col min="7426" max="7426" width="13.21875" style="1107" customWidth="1"/>
    <col min="7427" max="7427" width="15.6640625" style="1107" customWidth="1"/>
    <col min="7428" max="7428" width="9.33203125" style="1107" bestFit="1" customWidth="1"/>
    <col min="7429" max="7429" width="13.44140625" style="1107" customWidth="1"/>
    <col min="7430" max="7430" width="9" style="1107"/>
    <col min="7431" max="7431" width="9.33203125" style="1107" bestFit="1" customWidth="1"/>
    <col min="7432" max="7433" width="9" style="1107"/>
    <col min="7434" max="7434" width="9.33203125" style="1107" bestFit="1" customWidth="1"/>
    <col min="7435" max="7435" width="4" style="1107" customWidth="1"/>
    <col min="7436" max="7436" width="5.109375" style="1107" customWidth="1"/>
    <col min="7437" max="7437" width="13.77734375" style="1107" customWidth="1"/>
    <col min="7438" max="7680" width="9" style="1107"/>
    <col min="7681" max="7681" width="4.88671875" style="1107" customWidth="1"/>
    <col min="7682" max="7682" width="13.21875" style="1107" customWidth="1"/>
    <col min="7683" max="7683" width="15.6640625" style="1107" customWidth="1"/>
    <col min="7684" max="7684" width="9.33203125" style="1107" bestFit="1" customWidth="1"/>
    <col min="7685" max="7685" width="13.44140625" style="1107" customWidth="1"/>
    <col min="7686" max="7686" width="9" style="1107"/>
    <col min="7687" max="7687" width="9.33203125" style="1107" bestFit="1" customWidth="1"/>
    <col min="7688" max="7689" width="9" style="1107"/>
    <col min="7690" max="7690" width="9.33203125" style="1107" bestFit="1" customWidth="1"/>
    <col min="7691" max="7691" width="4" style="1107" customWidth="1"/>
    <col min="7692" max="7692" width="5.109375" style="1107" customWidth="1"/>
    <col min="7693" max="7693" width="13.77734375" style="1107" customWidth="1"/>
    <col min="7694" max="7936" width="9" style="1107"/>
    <col min="7937" max="7937" width="4.88671875" style="1107" customWidth="1"/>
    <col min="7938" max="7938" width="13.21875" style="1107" customWidth="1"/>
    <col min="7939" max="7939" width="15.6640625" style="1107" customWidth="1"/>
    <col min="7940" max="7940" width="9.33203125" style="1107" bestFit="1" customWidth="1"/>
    <col min="7941" max="7941" width="13.44140625" style="1107" customWidth="1"/>
    <col min="7942" max="7942" width="9" style="1107"/>
    <col min="7943" max="7943" width="9.33203125" style="1107" bestFit="1" customWidth="1"/>
    <col min="7944" max="7945" width="9" style="1107"/>
    <col min="7946" max="7946" width="9.33203125" style="1107" bestFit="1" customWidth="1"/>
    <col min="7947" max="7947" width="4" style="1107" customWidth="1"/>
    <col min="7948" max="7948" width="5.109375" style="1107" customWidth="1"/>
    <col min="7949" max="7949" width="13.77734375" style="1107" customWidth="1"/>
    <col min="7950" max="8192" width="9" style="1107"/>
    <col min="8193" max="8193" width="4.88671875" style="1107" customWidth="1"/>
    <col min="8194" max="8194" width="13.21875" style="1107" customWidth="1"/>
    <col min="8195" max="8195" width="15.6640625" style="1107" customWidth="1"/>
    <col min="8196" max="8196" width="9.33203125" style="1107" bestFit="1" customWidth="1"/>
    <col min="8197" max="8197" width="13.44140625" style="1107" customWidth="1"/>
    <col min="8198" max="8198" width="9" style="1107"/>
    <col min="8199" max="8199" width="9.33203125" style="1107" bestFit="1" customWidth="1"/>
    <col min="8200" max="8201" width="9" style="1107"/>
    <col min="8202" max="8202" width="9.33203125" style="1107" bestFit="1" customWidth="1"/>
    <col min="8203" max="8203" width="4" style="1107" customWidth="1"/>
    <col min="8204" max="8204" width="5.109375" style="1107" customWidth="1"/>
    <col min="8205" max="8205" width="13.77734375" style="1107" customWidth="1"/>
    <col min="8206" max="8448" width="9" style="1107"/>
    <col min="8449" max="8449" width="4.88671875" style="1107" customWidth="1"/>
    <col min="8450" max="8450" width="13.21875" style="1107" customWidth="1"/>
    <col min="8451" max="8451" width="15.6640625" style="1107" customWidth="1"/>
    <col min="8452" max="8452" width="9.33203125" style="1107" bestFit="1" customWidth="1"/>
    <col min="8453" max="8453" width="13.44140625" style="1107" customWidth="1"/>
    <col min="8454" max="8454" width="9" style="1107"/>
    <col min="8455" max="8455" width="9.33203125" style="1107" bestFit="1" customWidth="1"/>
    <col min="8456" max="8457" width="9" style="1107"/>
    <col min="8458" max="8458" width="9.33203125" style="1107" bestFit="1" customWidth="1"/>
    <col min="8459" max="8459" width="4" style="1107" customWidth="1"/>
    <col min="8460" max="8460" width="5.109375" style="1107" customWidth="1"/>
    <col min="8461" max="8461" width="13.77734375" style="1107" customWidth="1"/>
    <col min="8462" max="8704" width="9" style="1107"/>
    <col min="8705" max="8705" width="4.88671875" style="1107" customWidth="1"/>
    <col min="8706" max="8706" width="13.21875" style="1107" customWidth="1"/>
    <col min="8707" max="8707" width="15.6640625" style="1107" customWidth="1"/>
    <col min="8708" max="8708" width="9.33203125" style="1107" bestFit="1" customWidth="1"/>
    <col min="8709" max="8709" width="13.44140625" style="1107" customWidth="1"/>
    <col min="8710" max="8710" width="9" style="1107"/>
    <col min="8711" max="8711" width="9.33203125" style="1107" bestFit="1" customWidth="1"/>
    <col min="8712" max="8713" width="9" style="1107"/>
    <col min="8714" max="8714" width="9.33203125" style="1107" bestFit="1" customWidth="1"/>
    <col min="8715" max="8715" width="4" style="1107" customWidth="1"/>
    <col min="8716" max="8716" width="5.109375" style="1107" customWidth="1"/>
    <col min="8717" max="8717" width="13.77734375" style="1107" customWidth="1"/>
    <col min="8718" max="8960" width="9" style="1107"/>
    <col min="8961" max="8961" width="4.88671875" style="1107" customWidth="1"/>
    <col min="8962" max="8962" width="13.21875" style="1107" customWidth="1"/>
    <col min="8963" max="8963" width="15.6640625" style="1107" customWidth="1"/>
    <col min="8964" max="8964" width="9.33203125" style="1107" bestFit="1" customWidth="1"/>
    <col min="8965" max="8965" width="13.44140625" style="1107" customWidth="1"/>
    <col min="8966" max="8966" width="9" style="1107"/>
    <col min="8967" max="8967" width="9.33203125" style="1107" bestFit="1" customWidth="1"/>
    <col min="8968" max="8969" width="9" style="1107"/>
    <col min="8970" max="8970" width="9.33203125" style="1107" bestFit="1" customWidth="1"/>
    <col min="8971" max="8971" width="4" style="1107" customWidth="1"/>
    <col min="8972" max="8972" width="5.109375" style="1107" customWidth="1"/>
    <col min="8973" max="8973" width="13.77734375" style="1107" customWidth="1"/>
    <col min="8974" max="9216" width="9" style="1107"/>
    <col min="9217" max="9217" width="4.88671875" style="1107" customWidth="1"/>
    <col min="9218" max="9218" width="13.21875" style="1107" customWidth="1"/>
    <col min="9219" max="9219" width="15.6640625" style="1107" customWidth="1"/>
    <col min="9220" max="9220" width="9.33203125" style="1107" bestFit="1" customWidth="1"/>
    <col min="9221" max="9221" width="13.44140625" style="1107" customWidth="1"/>
    <col min="9222" max="9222" width="9" style="1107"/>
    <col min="9223" max="9223" width="9.33203125" style="1107" bestFit="1" customWidth="1"/>
    <col min="9224" max="9225" width="9" style="1107"/>
    <col min="9226" max="9226" width="9.33203125" style="1107" bestFit="1" customWidth="1"/>
    <col min="9227" max="9227" width="4" style="1107" customWidth="1"/>
    <col min="9228" max="9228" width="5.109375" style="1107" customWidth="1"/>
    <col min="9229" max="9229" width="13.77734375" style="1107" customWidth="1"/>
    <col min="9230" max="9472" width="9" style="1107"/>
    <col min="9473" max="9473" width="4.88671875" style="1107" customWidth="1"/>
    <col min="9474" max="9474" width="13.21875" style="1107" customWidth="1"/>
    <col min="9475" max="9475" width="15.6640625" style="1107" customWidth="1"/>
    <col min="9476" max="9476" width="9.33203125" style="1107" bestFit="1" customWidth="1"/>
    <col min="9477" max="9477" width="13.44140625" style="1107" customWidth="1"/>
    <col min="9478" max="9478" width="9" style="1107"/>
    <col min="9479" max="9479" width="9.33203125" style="1107" bestFit="1" customWidth="1"/>
    <col min="9480" max="9481" width="9" style="1107"/>
    <col min="9482" max="9482" width="9.33203125" style="1107" bestFit="1" customWidth="1"/>
    <col min="9483" max="9483" width="4" style="1107" customWidth="1"/>
    <col min="9484" max="9484" width="5.109375" style="1107" customWidth="1"/>
    <col min="9485" max="9485" width="13.77734375" style="1107" customWidth="1"/>
    <col min="9486" max="9728" width="9" style="1107"/>
    <col min="9729" max="9729" width="4.88671875" style="1107" customWidth="1"/>
    <col min="9730" max="9730" width="13.21875" style="1107" customWidth="1"/>
    <col min="9731" max="9731" width="15.6640625" style="1107" customWidth="1"/>
    <col min="9732" max="9732" width="9.33203125" style="1107" bestFit="1" customWidth="1"/>
    <col min="9733" max="9733" width="13.44140625" style="1107" customWidth="1"/>
    <col min="9734" max="9734" width="9" style="1107"/>
    <col min="9735" max="9735" width="9.33203125" style="1107" bestFit="1" customWidth="1"/>
    <col min="9736" max="9737" width="9" style="1107"/>
    <col min="9738" max="9738" width="9.33203125" style="1107" bestFit="1" customWidth="1"/>
    <col min="9739" max="9739" width="4" style="1107" customWidth="1"/>
    <col min="9740" max="9740" width="5.109375" style="1107" customWidth="1"/>
    <col min="9741" max="9741" width="13.77734375" style="1107" customWidth="1"/>
    <col min="9742" max="9984" width="9" style="1107"/>
    <col min="9985" max="9985" width="4.88671875" style="1107" customWidth="1"/>
    <col min="9986" max="9986" width="13.21875" style="1107" customWidth="1"/>
    <col min="9987" max="9987" width="15.6640625" style="1107" customWidth="1"/>
    <col min="9988" max="9988" width="9.33203125" style="1107" bestFit="1" customWidth="1"/>
    <col min="9989" max="9989" width="13.44140625" style="1107" customWidth="1"/>
    <col min="9990" max="9990" width="9" style="1107"/>
    <col min="9991" max="9991" width="9.33203125" style="1107" bestFit="1" customWidth="1"/>
    <col min="9992" max="9993" width="9" style="1107"/>
    <col min="9994" max="9994" width="9.33203125" style="1107" bestFit="1" customWidth="1"/>
    <col min="9995" max="9995" width="4" style="1107" customWidth="1"/>
    <col min="9996" max="9996" width="5.109375" style="1107" customWidth="1"/>
    <col min="9997" max="9997" width="13.77734375" style="1107" customWidth="1"/>
    <col min="9998" max="10240" width="9" style="1107"/>
    <col min="10241" max="10241" width="4.88671875" style="1107" customWidth="1"/>
    <col min="10242" max="10242" width="13.21875" style="1107" customWidth="1"/>
    <col min="10243" max="10243" width="15.6640625" style="1107" customWidth="1"/>
    <col min="10244" max="10244" width="9.33203125" style="1107" bestFit="1" customWidth="1"/>
    <col min="10245" max="10245" width="13.44140625" style="1107" customWidth="1"/>
    <col min="10246" max="10246" width="9" style="1107"/>
    <col min="10247" max="10247" width="9.33203125" style="1107" bestFit="1" customWidth="1"/>
    <col min="10248" max="10249" width="9" style="1107"/>
    <col min="10250" max="10250" width="9.33203125" style="1107" bestFit="1" customWidth="1"/>
    <col min="10251" max="10251" width="4" style="1107" customWidth="1"/>
    <col min="10252" max="10252" width="5.109375" style="1107" customWidth="1"/>
    <col min="10253" max="10253" width="13.77734375" style="1107" customWidth="1"/>
    <col min="10254" max="10496" width="9" style="1107"/>
    <col min="10497" max="10497" width="4.88671875" style="1107" customWidth="1"/>
    <col min="10498" max="10498" width="13.21875" style="1107" customWidth="1"/>
    <col min="10499" max="10499" width="15.6640625" style="1107" customWidth="1"/>
    <col min="10500" max="10500" width="9.33203125" style="1107" bestFit="1" customWidth="1"/>
    <col min="10501" max="10501" width="13.44140625" style="1107" customWidth="1"/>
    <col min="10502" max="10502" width="9" style="1107"/>
    <col min="10503" max="10503" width="9.33203125" style="1107" bestFit="1" customWidth="1"/>
    <col min="10504" max="10505" width="9" style="1107"/>
    <col min="10506" max="10506" width="9.33203125" style="1107" bestFit="1" customWidth="1"/>
    <col min="10507" max="10507" width="4" style="1107" customWidth="1"/>
    <col min="10508" max="10508" width="5.109375" style="1107" customWidth="1"/>
    <col min="10509" max="10509" width="13.77734375" style="1107" customWidth="1"/>
    <col min="10510" max="10752" width="9" style="1107"/>
    <col min="10753" max="10753" width="4.88671875" style="1107" customWidth="1"/>
    <col min="10754" max="10754" width="13.21875" style="1107" customWidth="1"/>
    <col min="10755" max="10755" width="15.6640625" style="1107" customWidth="1"/>
    <col min="10756" max="10756" width="9.33203125" style="1107" bestFit="1" customWidth="1"/>
    <col min="10757" max="10757" width="13.44140625" style="1107" customWidth="1"/>
    <col min="10758" max="10758" width="9" style="1107"/>
    <col min="10759" max="10759" width="9.33203125" style="1107" bestFit="1" customWidth="1"/>
    <col min="10760" max="10761" width="9" style="1107"/>
    <col min="10762" max="10762" width="9.33203125" style="1107" bestFit="1" customWidth="1"/>
    <col min="10763" max="10763" width="4" style="1107" customWidth="1"/>
    <col min="10764" max="10764" width="5.109375" style="1107" customWidth="1"/>
    <col min="10765" max="10765" width="13.77734375" style="1107" customWidth="1"/>
    <col min="10766" max="11008" width="9" style="1107"/>
    <col min="11009" max="11009" width="4.88671875" style="1107" customWidth="1"/>
    <col min="11010" max="11010" width="13.21875" style="1107" customWidth="1"/>
    <col min="11011" max="11011" width="15.6640625" style="1107" customWidth="1"/>
    <col min="11012" max="11012" width="9.33203125" style="1107" bestFit="1" customWidth="1"/>
    <col min="11013" max="11013" width="13.44140625" style="1107" customWidth="1"/>
    <col min="11014" max="11014" width="9" style="1107"/>
    <col min="11015" max="11015" width="9.33203125" style="1107" bestFit="1" customWidth="1"/>
    <col min="11016" max="11017" width="9" style="1107"/>
    <col min="11018" max="11018" width="9.33203125" style="1107" bestFit="1" customWidth="1"/>
    <col min="11019" max="11019" width="4" style="1107" customWidth="1"/>
    <col min="11020" max="11020" width="5.109375" style="1107" customWidth="1"/>
    <col min="11021" max="11021" width="13.77734375" style="1107" customWidth="1"/>
    <col min="11022" max="11264" width="9" style="1107"/>
    <col min="11265" max="11265" width="4.88671875" style="1107" customWidth="1"/>
    <col min="11266" max="11266" width="13.21875" style="1107" customWidth="1"/>
    <col min="11267" max="11267" width="15.6640625" style="1107" customWidth="1"/>
    <col min="11268" max="11268" width="9.33203125" style="1107" bestFit="1" customWidth="1"/>
    <col min="11269" max="11269" width="13.44140625" style="1107" customWidth="1"/>
    <col min="11270" max="11270" width="9" style="1107"/>
    <col min="11271" max="11271" width="9.33203125" style="1107" bestFit="1" customWidth="1"/>
    <col min="11272" max="11273" width="9" style="1107"/>
    <col min="11274" max="11274" width="9.33203125" style="1107" bestFit="1" customWidth="1"/>
    <col min="11275" max="11275" width="4" style="1107" customWidth="1"/>
    <col min="11276" max="11276" width="5.109375" style="1107" customWidth="1"/>
    <col min="11277" max="11277" width="13.77734375" style="1107" customWidth="1"/>
    <col min="11278" max="11520" width="9" style="1107"/>
    <col min="11521" max="11521" width="4.88671875" style="1107" customWidth="1"/>
    <col min="11522" max="11522" width="13.21875" style="1107" customWidth="1"/>
    <col min="11523" max="11523" width="15.6640625" style="1107" customWidth="1"/>
    <col min="11524" max="11524" width="9.33203125" style="1107" bestFit="1" customWidth="1"/>
    <col min="11525" max="11525" width="13.44140625" style="1107" customWidth="1"/>
    <col min="11526" max="11526" width="9" style="1107"/>
    <col min="11527" max="11527" width="9.33203125" style="1107" bestFit="1" customWidth="1"/>
    <col min="11528" max="11529" width="9" style="1107"/>
    <col min="11530" max="11530" width="9.33203125" style="1107" bestFit="1" customWidth="1"/>
    <col min="11531" max="11531" width="4" style="1107" customWidth="1"/>
    <col min="11532" max="11532" width="5.109375" style="1107" customWidth="1"/>
    <col min="11533" max="11533" width="13.77734375" style="1107" customWidth="1"/>
    <col min="11534" max="11776" width="9" style="1107"/>
    <col min="11777" max="11777" width="4.88671875" style="1107" customWidth="1"/>
    <col min="11778" max="11778" width="13.21875" style="1107" customWidth="1"/>
    <col min="11779" max="11779" width="15.6640625" style="1107" customWidth="1"/>
    <col min="11780" max="11780" width="9.33203125" style="1107" bestFit="1" customWidth="1"/>
    <col min="11781" max="11781" width="13.44140625" style="1107" customWidth="1"/>
    <col min="11782" max="11782" width="9" style="1107"/>
    <col min="11783" max="11783" width="9.33203125" style="1107" bestFit="1" customWidth="1"/>
    <col min="11784" max="11785" width="9" style="1107"/>
    <col min="11786" max="11786" width="9.33203125" style="1107" bestFit="1" customWidth="1"/>
    <col min="11787" max="11787" width="4" style="1107" customWidth="1"/>
    <col min="11788" max="11788" width="5.109375" style="1107" customWidth="1"/>
    <col min="11789" max="11789" width="13.77734375" style="1107" customWidth="1"/>
    <col min="11790" max="12032" width="9" style="1107"/>
    <col min="12033" max="12033" width="4.88671875" style="1107" customWidth="1"/>
    <col min="12034" max="12034" width="13.21875" style="1107" customWidth="1"/>
    <col min="12035" max="12035" width="15.6640625" style="1107" customWidth="1"/>
    <col min="12036" max="12036" width="9.33203125" style="1107" bestFit="1" customWidth="1"/>
    <col min="12037" max="12037" width="13.44140625" style="1107" customWidth="1"/>
    <col min="12038" max="12038" width="9" style="1107"/>
    <col min="12039" max="12039" width="9.33203125" style="1107" bestFit="1" customWidth="1"/>
    <col min="12040" max="12041" width="9" style="1107"/>
    <col min="12042" max="12042" width="9.33203125" style="1107" bestFit="1" customWidth="1"/>
    <col min="12043" max="12043" width="4" style="1107" customWidth="1"/>
    <col min="12044" max="12044" width="5.109375" style="1107" customWidth="1"/>
    <col min="12045" max="12045" width="13.77734375" style="1107" customWidth="1"/>
    <col min="12046" max="12288" width="9" style="1107"/>
    <col min="12289" max="12289" width="4.88671875" style="1107" customWidth="1"/>
    <col min="12290" max="12290" width="13.21875" style="1107" customWidth="1"/>
    <col min="12291" max="12291" width="15.6640625" style="1107" customWidth="1"/>
    <col min="12292" max="12292" width="9.33203125" style="1107" bestFit="1" customWidth="1"/>
    <col min="12293" max="12293" width="13.44140625" style="1107" customWidth="1"/>
    <col min="12294" max="12294" width="9" style="1107"/>
    <col min="12295" max="12295" width="9.33203125" style="1107" bestFit="1" customWidth="1"/>
    <col min="12296" max="12297" width="9" style="1107"/>
    <col min="12298" max="12298" width="9.33203125" style="1107" bestFit="1" customWidth="1"/>
    <col min="12299" max="12299" width="4" style="1107" customWidth="1"/>
    <col min="12300" max="12300" width="5.109375" style="1107" customWidth="1"/>
    <col min="12301" max="12301" width="13.77734375" style="1107" customWidth="1"/>
    <col min="12302" max="12544" width="9" style="1107"/>
    <col min="12545" max="12545" width="4.88671875" style="1107" customWidth="1"/>
    <col min="12546" max="12546" width="13.21875" style="1107" customWidth="1"/>
    <col min="12547" max="12547" width="15.6640625" style="1107" customWidth="1"/>
    <col min="12548" max="12548" width="9.33203125" style="1107" bestFit="1" customWidth="1"/>
    <col min="12549" max="12549" width="13.44140625" style="1107" customWidth="1"/>
    <col min="12550" max="12550" width="9" style="1107"/>
    <col min="12551" max="12551" width="9.33203125" style="1107" bestFit="1" customWidth="1"/>
    <col min="12552" max="12553" width="9" style="1107"/>
    <col min="12554" max="12554" width="9.33203125" style="1107" bestFit="1" customWidth="1"/>
    <col min="12555" max="12555" width="4" style="1107" customWidth="1"/>
    <col min="12556" max="12556" width="5.109375" style="1107" customWidth="1"/>
    <col min="12557" max="12557" width="13.77734375" style="1107" customWidth="1"/>
    <col min="12558" max="12800" width="9" style="1107"/>
    <col min="12801" max="12801" width="4.88671875" style="1107" customWidth="1"/>
    <col min="12802" max="12802" width="13.21875" style="1107" customWidth="1"/>
    <col min="12803" max="12803" width="15.6640625" style="1107" customWidth="1"/>
    <col min="12804" max="12804" width="9.33203125" style="1107" bestFit="1" customWidth="1"/>
    <col min="12805" max="12805" width="13.44140625" style="1107" customWidth="1"/>
    <col min="12806" max="12806" width="9" style="1107"/>
    <col min="12807" max="12807" width="9.33203125" style="1107" bestFit="1" customWidth="1"/>
    <col min="12808" max="12809" width="9" style="1107"/>
    <col min="12810" max="12810" width="9.33203125" style="1107" bestFit="1" customWidth="1"/>
    <col min="12811" max="12811" width="4" style="1107" customWidth="1"/>
    <col min="12812" max="12812" width="5.109375" style="1107" customWidth="1"/>
    <col min="12813" max="12813" width="13.77734375" style="1107" customWidth="1"/>
    <col min="12814" max="13056" width="9" style="1107"/>
    <col min="13057" max="13057" width="4.88671875" style="1107" customWidth="1"/>
    <col min="13058" max="13058" width="13.21875" style="1107" customWidth="1"/>
    <col min="13059" max="13059" width="15.6640625" style="1107" customWidth="1"/>
    <col min="13060" max="13060" width="9.33203125" style="1107" bestFit="1" customWidth="1"/>
    <col min="13061" max="13061" width="13.44140625" style="1107" customWidth="1"/>
    <col min="13062" max="13062" width="9" style="1107"/>
    <col min="13063" max="13063" width="9.33203125" style="1107" bestFit="1" customWidth="1"/>
    <col min="13064" max="13065" width="9" style="1107"/>
    <col min="13066" max="13066" width="9.33203125" style="1107" bestFit="1" customWidth="1"/>
    <col min="13067" max="13067" width="4" style="1107" customWidth="1"/>
    <col min="13068" max="13068" width="5.109375" style="1107" customWidth="1"/>
    <col min="13069" max="13069" width="13.77734375" style="1107" customWidth="1"/>
    <col min="13070" max="13312" width="9" style="1107"/>
    <col min="13313" max="13313" width="4.88671875" style="1107" customWidth="1"/>
    <col min="13314" max="13314" width="13.21875" style="1107" customWidth="1"/>
    <col min="13315" max="13315" width="15.6640625" style="1107" customWidth="1"/>
    <col min="13316" max="13316" width="9.33203125" style="1107" bestFit="1" customWidth="1"/>
    <col min="13317" max="13317" width="13.44140625" style="1107" customWidth="1"/>
    <col min="13318" max="13318" width="9" style="1107"/>
    <col min="13319" max="13319" width="9.33203125" style="1107" bestFit="1" customWidth="1"/>
    <col min="13320" max="13321" width="9" style="1107"/>
    <col min="13322" max="13322" width="9.33203125" style="1107" bestFit="1" customWidth="1"/>
    <col min="13323" max="13323" width="4" style="1107" customWidth="1"/>
    <col min="13324" max="13324" width="5.109375" style="1107" customWidth="1"/>
    <col min="13325" max="13325" width="13.77734375" style="1107" customWidth="1"/>
    <col min="13326" max="13568" width="9" style="1107"/>
    <col min="13569" max="13569" width="4.88671875" style="1107" customWidth="1"/>
    <col min="13570" max="13570" width="13.21875" style="1107" customWidth="1"/>
    <col min="13571" max="13571" width="15.6640625" style="1107" customWidth="1"/>
    <col min="13572" max="13572" width="9.33203125" style="1107" bestFit="1" customWidth="1"/>
    <col min="13573" max="13573" width="13.44140625" style="1107" customWidth="1"/>
    <col min="13574" max="13574" width="9" style="1107"/>
    <col min="13575" max="13575" width="9.33203125" style="1107" bestFit="1" customWidth="1"/>
    <col min="13576" max="13577" width="9" style="1107"/>
    <col min="13578" max="13578" width="9.33203125" style="1107" bestFit="1" customWidth="1"/>
    <col min="13579" max="13579" width="4" style="1107" customWidth="1"/>
    <col min="13580" max="13580" width="5.109375" style="1107" customWidth="1"/>
    <col min="13581" max="13581" width="13.77734375" style="1107" customWidth="1"/>
    <col min="13582" max="13824" width="9" style="1107"/>
    <col min="13825" max="13825" width="4.88671875" style="1107" customWidth="1"/>
    <col min="13826" max="13826" width="13.21875" style="1107" customWidth="1"/>
    <col min="13827" max="13827" width="15.6640625" style="1107" customWidth="1"/>
    <col min="13828" max="13828" width="9.33203125" style="1107" bestFit="1" customWidth="1"/>
    <col min="13829" max="13829" width="13.44140625" style="1107" customWidth="1"/>
    <col min="13830" max="13830" width="9" style="1107"/>
    <col min="13831" max="13831" width="9.33203125" style="1107" bestFit="1" customWidth="1"/>
    <col min="13832" max="13833" width="9" style="1107"/>
    <col min="13834" max="13834" width="9.33203125" style="1107" bestFit="1" customWidth="1"/>
    <col min="13835" max="13835" width="4" style="1107" customWidth="1"/>
    <col min="13836" max="13836" width="5.109375" style="1107" customWidth="1"/>
    <col min="13837" max="13837" width="13.77734375" style="1107" customWidth="1"/>
    <col min="13838" max="14080" width="9" style="1107"/>
    <col min="14081" max="14081" width="4.88671875" style="1107" customWidth="1"/>
    <col min="14082" max="14082" width="13.21875" style="1107" customWidth="1"/>
    <col min="14083" max="14083" width="15.6640625" style="1107" customWidth="1"/>
    <col min="14084" max="14084" width="9.33203125" style="1107" bestFit="1" customWidth="1"/>
    <col min="14085" max="14085" width="13.44140625" style="1107" customWidth="1"/>
    <col min="14086" max="14086" width="9" style="1107"/>
    <col min="14087" max="14087" width="9.33203125" style="1107" bestFit="1" customWidth="1"/>
    <col min="14088" max="14089" width="9" style="1107"/>
    <col min="14090" max="14090" width="9.33203125" style="1107" bestFit="1" customWidth="1"/>
    <col min="14091" max="14091" width="4" style="1107" customWidth="1"/>
    <col min="14092" max="14092" width="5.109375" style="1107" customWidth="1"/>
    <col min="14093" max="14093" width="13.77734375" style="1107" customWidth="1"/>
    <col min="14094" max="14336" width="9" style="1107"/>
    <col min="14337" max="14337" width="4.88671875" style="1107" customWidth="1"/>
    <col min="14338" max="14338" width="13.21875" style="1107" customWidth="1"/>
    <col min="14339" max="14339" width="15.6640625" style="1107" customWidth="1"/>
    <col min="14340" max="14340" width="9.33203125" style="1107" bestFit="1" customWidth="1"/>
    <col min="14341" max="14341" width="13.44140625" style="1107" customWidth="1"/>
    <col min="14342" max="14342" width="9" style="1107"/>
    <col min="14343" max="14343" width="9.33203125" style="1107" bestFit="1" customWidth="1"/>
    <col min="14344" max="14345" width="9" style="1107"/>
    <col min="14346" max="14346" width="9.33203125" style="1107" bestFit="1" customWidth="1"/>
    <col min="14347" max="14347" width="4" style="1107" customWidth="1"/>
    <col min="14348" max="14348" width="5.109375" style="1107" customWidth="1"/>
    <col min="14349" max="14349" width="13.77734375" style="1107" customWidth="1"/>
    <col min="14350" max="14592" width="9" style="1107"/>
    <col min="14593" max="14593" width="4.88671875" style="1107" customWidth="1"/>
    <col min="14594" max="14594" width="13.21875" style="1107" customWidth="1"/>
    <col min="14595" max="14595" width="15.6640625" style="1107" customWidth="1"/>
    <col min="14596" max="14596" width="9.33203125" style="1107" bestFit="1" customWidth="1"/>
    <col min="14597" max="14597" width="13.44140625" style="1107" customWidth="1"/>
    <col min="14598" max="14598" width="9" style="1107"/>
    <col min="14599" max="14599" width="9.33203125" style="1107" bestFit="1" customWidth="1"/>
    <col min="14600" max="14601" width="9" style="1107"/>
    <col min="14602" max="14602" width="9.33203125" style="1107" bestFit="1" customWidth="1"/>
    <col min="14603" max="14603" width="4" style="1107" customWidth="1"/>
    <col min="14604" max="14604" width="5.109375" style="1107" customWidth="1"/>
    <col min="14605" max="14605" width="13.77734375" style="1107" customWidth="1"/>
    <col min="14606" max="14848" width="9" style="1107"/>
    <col min="14849" max="14849" width="4.88671875" style="1107" customWidth="1"/>
    <col min="14850" max="14850" width="13.21875" style="1107" customWidth="1"/>
    <col min="14851" max="14851" width="15.6640625" style="1107" customWidth="1"/>
    <col min="14852" max="14852" width="9.33203125" style="1107" bestFit="1" customWidth="1"/>
    <col min="14853" max="14853" width="13.44140625" style="1107" customWidth="1"/>
    <col min="14854" max="14854" width="9" style="1107"/>
    <col min="14855" max="14855" width="9.33203125" style="1107" bestFit="1" customWidth="1"/>
    <col min="14856" max="14857" width="9" style="1107"/>
    <col min="14858" max="14858" width="9.33203125" style="1107" bestFit="1" customWidth="1"/>
    <col min="14859" max="14859" width="4" style="1107" customWidth="1"/>
    <col min="14860" max="14860" width="5.109375" style="1107" customWidth="1"/>
    <col min="14861" max="14861" width="13.77734375" style="1107" customWidth="1"/>
    <col min="14862" max="15104" width="9" style="1107"/>
    <col min="15105" max="15105" width="4.88671875" style="1107" customWidth="1"/>
    <col min="15106" max="15106" width="13.21875" style="1107" customWidth="1"/>
    <col min="15107" max="15107" width="15.6640625" style="1107" customWidth="1"/>
    <col min="15108" max="15108" width="9.33203125" style="1107" bestFit="1" customWidth="1"/>
    <col min="15109" max="15109" width="13.44140625" style="1107" customWidth="1"/>
    <col min="15110" max="15110" width="9" style="1107"/>
    <col min="15111" max="15111" width="9.33203125" style="1107" bestFit="1" customWidth="1"/>
    <col min="15112" max="15113" width="9" style="1107"/>
    <col min="15114" max="15114" width="9.33203125" style="1107" bestFit="1" customWidth="1"/>
    <col min="15115" max="15115" width="4" style="1107" customWidth="1"/>
    <col min="15116" max="15116" width="5.109375" style="1107" customWidth="1"/>
    <col min="15117" max="15117" width="13.77734375" style="1107" customWidth="1"/>
    <col min="15118" max="15360" width="9" style="1107"/>
    <col min="15361" max="15361" width="4.88671875" style="1107" customWidth="1"/>
    <col min="15362" max="15362" width="13.21875" style="1107" customWidth="1"/>
    <col min="15363" max="15363" width="15.6640625" style="1107" customWidth="1"/>
    <col min="15364" max="15364" width="9.33203125" style="1107" bestFit="1" customWidth="1"/>
    <col min="15365" max="15365" width="13.44140625" style="1107" customWidth="1"/>
    <col min="15366" max="15366" width="9" style="1107"/>
    <col min="15367" max="15367" width="9.33203125" style="1107" bestFit="1" customWidth="1"/>
    <col min="15368" max="15369" width="9" style="1107"/>
    <col min="15370" max="15370" width="9.33203125" style="1107" bestFit="1" customWidth="1"/>
    <col min="15371" max="15371" width="4" style="1107" customWidth="1"/>
    <col min="15372" max="15372" width="5.109375" style="1107" customWidth="1"/>
    <col min="15373" max="15373" width="13.77734375" style="1107" customWidth="1"/>
    <col min="15374" max="15616" width="9" style="1107"/>
    <col min="15617" max="15617" width="4.88671875" style="1107" customWidth="1"/>
    <col min="15618" max="15618" width="13.21875" style="1107" customWidth="1"/>
    <col min="15619" max="15619" width="15.6640625" style="1107" customWidth="1"/>
    <col min="15620" max="15620" width="9.33203125" style="1107" bestFit="1" customWidth="1"/>
    <col min="15621" max="15621" width="13.44140625" style="1107" customWidth="1"/>
    <col min="15622" max="15622" width="9" style="1107"/>
    <col min="15623" max="15623" width="9.33203125" style="1107" bestFit="1" customWidth="1"/>
    <col min="15624" max="15625" width="9" style="1107"/>
    <col min="15626" max="15626" width="9.33203125" style="1107" bestFit="1" customWidth="1"/>
    <col min="15627" max="15627" width="4" style="1107" customWidth="1"/>
    <col min="15628" max="15628" width="5.109375" style="1107" customWidth="1"/>
    <col min="15629" max="15629" width="13.77734375" style="1107" customWidth="1"/>
    <col min="15630" max="15872" width="9" style="1107"/>
    <col min="15873" max="15873" width="4.88671875" style="1107" customWidth="1"/>
    <col min="15874" max="15874" width="13.21875" style="1107" customWidth="1"/>
    <col min="15875" max="15875" width="15.6640625" style="1107" customWidth="1"/>
    <col min="15876" max="15876" width="9.33203125" style="1107" bestFit="1" customWidth="1"/>
    <col min="15877" max="15877" width="13.44140625" style="1107" customWidth="1"/>
    <col min="15878" max="15878" width="9" style="1107"/>
    <col min="15879" max="15879" width="9.33203125" style="1107" bestFit="1" customWidth="1"/>
    <col min="15880" max="15881" width="9" style="1107"/>
    <col min="15882" max="15882" width="9.33203125" style="1107" bestFit="1" customWidth="1"/>
    <col min="15883" max="15883" width="4" style="1107" customWidth="1"/>
    <col min="15884" max="15884" width="5.109375" style="1107" customWidth="1"/>
    <col min="15885" max="15885" width="13.77734375" style="1107" customWidth="1"/>
    <col min="15886" max="16128" width="9" style="1107"/>
    <col min="16129" max="16129" width="4.88671875" style="1107" customWidth="1"/>
    <col min="16130" max="16130" width="13.21875" style="1107" customWidth="1"/>
    <col min="16131" max="16131" width="15.6640625" style="1107" customWidth="1"/>
    <col min="16132" max="16132" width="9.33203125" style="1107" bestFit="1" customWidth="1"/>
    <col min="16133" max="16133" width="13.44140625" style="1107" customWidth="1"/>
    <col min="16134" max="16134" width="9" style="1107"/>
    <col min="16135" max="16135" width="9.33203125" style="1107" bestFit="1" customWidth="1"/>
    <col min="16136" max="16137" width="9" style="1107"/>
    <col min="16138" max="16138" width="9.33203125" style="1107" bestFit="1" customWidth="1"/>
    <col min="16139" max="16139" width="4" style="1107" customWidth="1"/>
    <col min="16140" max="16140" width="5.109375" style="1107" customWidth="1"/>
    <col min="16141" max="16141" width="13.77734375" style="1107" customWidth="1"/>
    <col min="16142" max="16384" width="9" style="1107"/>
  </cols>
  <sheetData>
    <row r="1" spans="1:257" s="1168" customFormat="1" ht="15" thickBot="1">
      <c r="A1" s="1163"/>
      <c r="B1" s="1164" t="s">
        <v>934</v>
      </c>
      <c r="C1" s="1169">
        <f>项目基本情况!D2</f>
        <v>44901</v>
      </c>
      <c r="D1" s="1164" t="s">
        <v>935</v>
      </c>
      <c r="E1" s="1170">
        <f>'数据-取费表'!B24</f>
        <v>2</v>
      </c>
      <c r="F1" s="1164" t="s">
        <v>936</v>
      </c>
      <c r="G1" s="1171">
        <f ca="1">INDIRECT("d"&amp;$K$1)/100</f>
        <v>3.6499999999999998E-2</v>
      </c>
      <c r="H1" s="1164" t="s">
        <v>966</v>
      </c>
      <c r="I1" s="1171">
        <f ca="1">F4/100</f>
        <v>1.4999999999999999E-2</v>
      </c>
      <c r="J1" s="1165">
        <f>IF(C1&gt;C13,0,MATCH(C1,C$13:C$109,-1))+IF(SUMIF(C13:C109,C1,D13:D109)=0,13,12)</f>
        <v>13</v>
      </c>
      <c r="K1" s="1165">
        <f>MATCH(E1,C3:C7,1)+IF(SUMIF(C3:C7,E1,D3:D7)=0,2,1)</f>
        <v>5</v>
      </c>
      <c r="L1" s="1165">
        <f>IF(C1&gt;M13,0,MATCH(C1,M$13:M$100,-1))+IF(SUMIF(M13:M100,C1,N13:N100)=0,13,12)</f>
        <v>13</v>
      </c>
      <c r="M1" s="1163"/>
      <c r="N1" s="1163"/>
      <c r="O1" s="1163"/>
      <c r="P1" s="1163"/>
      <c r="Q1" s="1163"/>
      <c r="R1" s="1163"/>
      <c r="S1" s="1163"/>
      <c r="T1" s="1163"/>
      <c r="U1" s="1163"/>
      <c r="V1" s="1163"/>
      <c r="W1" s="1163"/>
      <c r="X1" s="1163"/>
      <c r="Y1" s="1163"/>
      <c r="Z1" s="1163"/>
      <c r="AA1" s="1166"/>
      <c r="AB1" s="1166"/>
      <c r="AC1" s="1166"/>
      <c r="AD1" s="1166"/>
      <c r="AE1" s="1166"/>
      <c r="AF1" s="1166"/>
      <c r="AG1" s="1166"/>
      <c r="AH1" s="1166"/>
      <c r="AI1" s="1166"/>
      <c r="AJ1" s="1166"/>
      <c r="AK1" s="1166"/>
      <c r="AL1" s="1166"/>
      <c r="AM1" s="1166"/>
      <c r="AN1" s="1166"/>
      <c r="AO1" s="1166"/>
      <c r="AP1" s="1166"/>
      <c r="AQ1" s="1166"/>
      <c r="AR1" s="1166"/>
      <c r="AS1" s="1166"/>
      <c r="AT1" s="1166"/>
      <c r="AU1" s="1166"/>
      <c r="AV1" s="1166"/>
      <c r="AW1" s="1166"/>
      <c r="AX1" s="1166"/>
      <c r="AY1" s="1166"/>
      <c r="AZ1" s="1166"/>
      <c r="BA1" s="1166"/>
      <c r="BB1" s="1166"/>
      <c r="BC1" s="1166"/>
      <c r="BD1" s="1166"/>
      <c r="BE1" s="1166"/>
      <c r="BF1" s="1166"/>
      <c r="BG1" s="1166"/>
      <c r="BH1" s="1166"/>
      <c r="BI1" s="1166"/>
      <c r="BJ1" s="1166"/>
      <c r="BK1" s="1166"/>
      <c r="BL1" s="1166"/>
      <c r="BM1" s="1166"/>
      <c r="BN1" s="1166"/>
      <c r="BO1" s="1166"/>
      <c r="BP1" s="1166"/>
      <c r="BQ1" s="1166"/>
      <c r="BR1" s="1166"/>
      <c r="BS1" s="1166"/>
      <c r="BT1" s="1166"/>
      <c r="BU1" s="1166"/>
      <c r="BV1" s="1166"/>
      <c r="BW1" s="1166"/>
      <c r="BX1" s="1166"/>
      <c r="BY1" s="1166"/>
      <c r="BZ1" s="1166"/>
      <c r="CA1" s="1166"/>
      <c r="CB1" s="1166"/>
      <c r="CC1" s="1166"/>
      <c r="CD1" s="1166"/>
      <c r="CE1" s="1166"/>
      <c r="CF1" s="1166"/>
      <c r="CG1" s="1166"/>
      <c r="CH1" s="1166"/>
      <c r="CI1" s="1166"/>
      <c r="CJ1" s="1166"/>
      <c r="CK1" s="1166"/>
      <c r="CL1" s="1166"/>
      <c r="CM1" s="1166"/>
      <c r="CN1" s="1166"/>
      <c r="CO1" s="1166"/>
      <c r="CP1" s="1166"/>
      <c r="CQ1" s="1166"/>
      <c r="CR1" s="1166"/>
      <c r="CS1" s="1166"/>
      <c r="CT1" s="1166"/>
      <c r="CU1" s="1166"/>
      <c r="CV1" s="1166"/>
      <c r="CW1" s="1166"/>
      <c r="CX1" s="1166"/>
      <c r="CY1" s="1166"/>
      <c r="CZ1" s="1166"/>
      <c r="DA1" s="1166"/>
      <c r="DB1" s="1166"/>
      <c r="DC1" s="1166"/>
      <c r="DD1" s="1166"/>
      <c r="DE1" s="1166"/>
      <c r="DF1" s="1166"/>
      <c r="DG1" s="1166"/>
      <c r="DH1" s="1166"/>
      <c r="DI1" s="1166"/>
      <c r="DJ1" s="1166"/>
      <c r="DK1" s="1166"/>
      <c r="DL1" s="1166"/>
      <c r="DM1" s="1166"/>
      <c r="DN1" s="1166"/>
      <c r="DO1" s="1166"/>
      <c r="DP1" s="1166"/>
      <c r="DQ1" s="1166"/>
      <c r="DR1" s="1166"/>
      <c r="DS1" s="1166"/>
      <c r="DT1" s="1166"/>
      <c r="DU1" s="1166"/>
      <c r="DV1" s="1166"/>
      <c r="DW1" s="1166"/>
      <c r="DX1" s="1166"/>
      <c r="DY1" s="1166"/>
      <c r="DZ1" s="1166"/>
      <c r="EA1" s="1166"/>
      <c r="EB1" s="1166"/>
      <c r="EC1" s="1166"/>
      <c r="ED1" s="1166"/>
      <c r="EE1" s="1166"/>
      <c r="EF1" s="1166"/>
      <c r="EG1" s="1166"/>
      <c r="EH1" s="1166"/>
      <c r="EI1" s="1166"/>
      <c r="EJ1" s="1166"/>
      <c r="EK1" s="1166"/>
      <c r="EL1" s="1166"/>
      <c r="EM1" s="1166"/>
      <c r="EN1" s="1166"/>
      <c r="EO1" s="1166"/>
      <c r="EP1" s="1166"/>
      <c r="EQ1" s="1166"/>
      <c r="ER1" s="1166"/>
      <c r="ES1" s="1166"/>
      <c r="ET1" s="1166"/>
      <c r="EU1" s="1166"/>
      <c r="EV1" s="1166"/>
      <c r="EW1" s="1166"/>
      <c r="EX1" s="1166"/>
      <c r="EY1" s="1166"/>
      <c r="EZ1" s="1166"/>
      <c r="FA1" s="1166"/>
      <c r="FB1" s="1166"/>
      <c r="FC1" s="1166"/>
      <c r="FD1" s="1166"/>
      <c r="FE1" s="1166"/>
      <c r="FF1" s="1166"/>
      <c r="FG1" s="1166"/>
      <c r="FH1" s="1166"/>
      <c r="FI1" s="1166"/>
      <c r="FJ1" s="1166"/>
      <c r="FK1" s="1166"/>
      <c r="FL1" s="1166"/>
      <c r="FM1" s="1166"/>
      <c r="FN1" s="1166"/>
      <c r="FO1" s="1166"/>
      <c r="FP1" s="1166"/>
      <c r="FQ1" s="1166"/>
      <c r="FR1" s="1166"/>
      <c r="FS1" s="1166"/>
      <c r="FT1" s="1166"/>
      <c r="FU1" s="1166"/>
      <c r="FV1" s="1166"/>
      <c r="FW1" s="1166"/>
      <c r="FX1" s="1166"/>
      <c r="FY1" s="1166"/>
      <c r="FZ1" s="1166"/>
      <c r="GA1" s="1166"/>
      <c r="GB1" s="1166"/>
      <c r="GC1" s="1166"/>
      <c r="GD1" s="1166"/>
      <c r="GE1" s="1166"/>
      <c r="GF1" s="1166"/>
      <c r="GG1" s="1166"/>
      <c r="GH1" s="1166"/>
      <c r="GI1" s="1166"/>
      <c r="GJ1" s="1166"/>
      <c r="GK1" s="1166"/>
      <c r="GL1" s="1166"/>
      <c r="GM1" s="1166"/>
      <c r="GN1" s="1166"/>
      <c r="GO1" s="1166"/>
      <c r="GP1" s="1166"/>
      <c r="GQ1" s="1166"/>
      <c r="GR1" s="1166"/>
      <c r="GS1" s="1166"/>
      <c r="GT1" s="1166"/>
      <c r="GU1" s="1166"/>
      <c r="GV1" s="1166"/>
      <c r="GW1" s="1166"/>
      <c r="GX1" s="1166"/>
      <c r="GY1" s="1166"/>
      <c r="GZ1" s="1166"/>
      <c r="HA1" s="1166"/>
      <c r="HB1" s="1166"/>
      <c r="HC1" s="1166"/>
      <c r="HD1" s="1166"/>
      <c r="HE1" s="1166"/>
      <c r="HF1" s="1166"/>
      <c r="HG1" s="1166"/>
      <c r="HH1" s="1166"/>
      <c r="HI1" s="1166"/>
      <c r="HJ1" s="1166"/>
      <c r="HK1" s="1166"/>
      <c r="HL1" s="1166"/>
      <c r="HM1" s="1166"/>
      <c r="HN1" s="1166"/>
      <c r="HO1" s="1166"/>
      <c r="HP1" s="1166"/>
      <c r="HQ1" s="1166"/>
      <c r="HR1" s="1166"/>
      <c r="HS1" s="1166"/>
      <c r="HT1" s="1166"/>
      <c r="HU1" s="1166"/>
      <c r="HV1" s="1166"/>
      <c r="HW1" s="1166"/>
      <c r="HX1" s="1166"/>
      <c r="HY1" s="1166"/>
      <c r="HZ1" s="1166"/>
      <c r="IA1" s="1166"/>
      <c r="IB1" s="1166"/>
      <c r="IC1" s="1166"/>
      <c r="ID1" s="1166"/>
      <c r="IE1" s="1166"/>
      <c r="IF1" s="1166"/>
      <c r="IG1" s="1166"/>
      <c r="IH1" s="1166"/>
      <c r="II1" s="1166"/>
      <c r="IJ1" s="1166"/>
      <c r="IK1" s="1166"/>
      <c r="IL1" s="1166"/>
      <c r="IM1" s="1166"/>
      <c r="IN1" s="1166"/>
      <c r="IO1" s="1166"/>
      <c r="IP1" s="1166"/>
      <c r="IQ1" s="1166"/>
      <c r="IR1" s="1166"/>
      <c r="IS1" s="1166"/>
      <c r="IT1" s="1166"/>
      <c r="IU1" s="1166"/>
      <c r="IV1" s="1166"/>
      <c r="IW1" s="1167"/>
    </row>
    <row r="2" spans="1:257" ht="15.6" thickTop="1" thickBot="1">
      <c r="A2" s="1108"/>
      <c r="B2" s="1108"/>
      <c r="C2" s="1108"/>
      <c r="D2" s="1108" t="s">
        <v>937</v>
      </c>
      <c r="E2" s="1108"/>
      <c r="F2" s="1108" t="s">
        <v>938</v>
      </c>
      <c r="G2" s="1109"/>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c r="AG2" s="1108"/>
      <c r="AH2" s="1108"/>
      <c r="AI2" s="1108"/>
      <c r="AJ2" s="1108"/>
      <c r="AK2" s="1108"/>
      <c r="AL2" s="1108"/>
      <c r="AM2" s="1108"/>
      <c r="AN2" s="1108"/>
      <c r="AO2" s="1108"/>
      <c r="AP2" s="1108"/>
      <c r="AQ2" s="1108"/>
      <c r="AR2" s="1108"/>
      <c r="AS2" s="1108"/>
      <c r="AT2" s="1108"/>
      <c r="AU2" s="1108"/>
      <c r="AV2" s="1108"/>
      <c r="AW2" s="1108"/>
      <c r="AX2" s="1108"/>
      <c r="AY2" s="1108"/>
      <c r="AZ2" s="1108"/>
      <c r="BA2" s="1108"/>
      <c r="BB2" s="1108"/>
      <c r="BC2" s="1108"/>
      <c r="BD2" s="1108"/>
      <c r="BE2" s="1108"/>
      <c r="BF2" s="1108"/>
      <c r="BG2" s="1108"/>
      <c r="BH2" s="1108"/>
      <c r="BI2" s="1108"/>
      <c r="BJ2" s="1108"/>
      <c r="BK2" s="1108"/>
      <c r="BL2" s="1108"/>
      <c r="BM2" s="1108"/>
      <c r="BN2" s="1108"/>
      <c r="BO2" s="1108"/>
      <c r="BP2" s="1108"/>
      <c r="BQ2" s="1108"/>
      <c r="BR2" s="1108"/>
      <c r="BS2" s="1108"/>
      <c r="BT2" s="1108"/>
      <c r="BU2" s="1108"/>
      <c r="BV2" s="1108"/>
      <c r="BW2" s="1108"/>
      <c r="BX2" s="1108"/>
      <c r="BY2" s="1108"/>
      <c r="BZ2" s="1108"/>
      <c r="CA2" s="1108"/>
      <c r="CB2" s="1108"/>
      <c r="CC2" s="1108"/>
      <c r="CD2" s="1108"/>
      <c r="CE2" s="1108"/>
      <c r="CF2" s="1108"/>
      <c r="CG2" s="1108"/>
      <c r="CH2" s="1108"/>
      <c r="CI2" s="1108"/>
      <c r="CJ2" s="1108"/>
      <c r="CK2" s="1108"/>
      <c r="CL2" s="1108"/>
      <c r="CM2" s="1108"/>
      <c r="CN2" s="1108"/>
      <c r="CO2" s="1108"/>
      <c r="CP2" s="1108"/>
      <c r="CQ2" s="1108"/>
      <c r="CR2" s="1108"/>
      <c r="CS2" s="1108"/>
      <c r="CT2" s="1108"/>
      <c r="CU2" s="1108"/>
      <c r="CV2" s="1108"/>
      <c r="CW2" s="1108"/>
      <c r="CX2" s="1108"/>
      <c r="CY2" s="1108"/>
      <c r="CZ2" s="1108"/>
      <c r="DA2" s="1108"/>
      <c r="DB2" s="1108"/>
      <c r="DC2" s="1108"/>
      <c r="DD2" s="1108"/>
      <c r="DE2" s="1108"/>
      <c r="DF2" s="1108"/>
      <c r="DG2" s="1108"/>
      <c r="DH2" s="1108"/>
      <c r="DI2" s="1108"/>
      <c r="DJ2" s="1108"/>
      <c r="DK2" s="1108"/>
      <c r="DL2" s="1108"/>
      <c r="DM2" s="1108"/>
      <c r="DN2" s="1108"/>
      <c r="DO2" s="1108"/>
      <c r="DP2" s="1108"/>
      <c r="DQ2" s="1108"/>
      <c r="DR2" s="1108"/>
      <c r="DS2" s="1108"/>
      <c r="DT2" s="1108"/>
      <c r="DU2" s="1108"/>
      <c r="DV2" s="1108"/>
      <c r="DW2" s="1108"/>
      <c r="DX2" s="1108"/>
      <c r="DY2" s="1108"/>
      <c r="DZ2" s="1108"/>
      <c r="EA2" s="1108"/>
      <c r="EB2" s="1108"/>
      <c r="EC2" s="1108"/>
      <c r="ED2" s="1108"/>
      <c r="EE2" s="1108"/>
      <c r="EF2" s="1108"/>
      <c r="EG2" s="1108"/>
      <c r="EH2" s="1108"/>
      <c r="EI2" s="1108"/>
      <c r="EJ2" s="1108"/>
      <c r="EK2" s="1108"/>
      <c r="EL2" s="1108"/>
      <c r="EM2" s="1108"/>
      <c r="EN2" s="1108"/>
      <c r="EO2" s="1108"/>
      <c r="EP2" s="1108"/>
      <c r="EQ2" s="1108"/>
      <c r="ER2" s="1108"/>
      <c r="ES2" s="1108"/>
      <c r="ET2" s="1108"/>
      <c r="EU2" s="1108"/>
      <c r="EV2" s="1108"/>
      <c r="EW2" s="1108"/>
      <c r="EX2" s="1108"/>
      <c r="EY2" s="1108"/>
      <c r="EZ2" s="1108"/>
      <c r="FA2" s="1108"/>
      <c r="FB2" s="1108"/>
      <c r="FC2" s="1108"/>
      <c r="FD2" s="1108"/>
      <c r="FE2" s="1108"/>
      <c r="FF2" s="1108"/>
      <c r="FG2" s="1108"/>
      <c r="FH2" s="1108"/>
      <c r="FI2" s="1108"/>
      <c r="FJ2" s="1108"/>
      <c r="FK2" s="1108"/>
      <c r="FL2" s="1108"/>
      <c r="FM2" s="1108"/>
      <c r="FN2" s="1108"/>
      <c r="FO2" s="1108"/>
      <c r="FP2" s="1108"/>
      <c r="FQ2" s="1108"/>
      <c r="FR2" s="1108"/>
      <c r="FS2" s="1108"/>
      <c r="FT2" s="1108"/>
      <c r="FU2" s="1108"/>
      <c r="FV2" s="1108"/>
      <c r="FW2" s="1108"/>
      <c r="FX2" s="1108"/>
      <c r="FY2" s="1108"/>
      <c r="FZ2" s="1108"/>
      <c r="GA2" s="1108"/>
      <c r="GB2" s="1108"/>
      <c r="GC2" s="1108"/>
      <c r="GD2" s="1108"/>
      <c r="GE2" s="1108"/>
      <c r="GF2" s="1108"/>
      <c r="GG2" s="1108"/>
      <c r="GH2" s="1108"/>
      <c r="GI2" s="1108"/>
      <c r="GJ2" s="1108"/>
      <c r="GK2" s="1108"/>
      <c r="GL2" s="1108"/>
      <c r="GM2" s="1108"/>
      <c r="GN2" s="1108"/>
      <c r="GO2" s="1108"/>
      <c r="GP2" s="1108"/>
      <c r="GQ2" s="1108"/>
      <c r="GR2" s="1108"/>
      <c r="GS2" s="1108"/>
      <c r="GT2" s="1108"/>
      <c r="GU2" s="1108"/>
      <c r="GV2" s="1108"/>
      <c r="GW2" s="1108"/>
      <c r="GX2" s="1108"/>
      <c r="GY2" s="1108"/>
      <c r="GZ2" s="1108"/>
      <c r="HA2" s="1108"/>
      <c r="HB2" s="1108"/>
      <c r="HC2" s="1108"/>
      <c r="HD2" s="1108"/>
      <c r="HE2" s="1108"/>
      <c r="HF2" s="1108"/>
      <c r="HG2" s="1108"/>
      <c r="HH2" s="1108"/>
      <c r="HI2" s="1108"/>
      <c r="HJ2" s="1108"/>
      <c r="HK2" s="1108"/>
      <c r="HL2" s="1108"/>
      <c r="HM2" s="1108"/>
      <c r="HN2" s="1108"/>
      <c r="HO2" s="1108"/>
      <c r="HP2" s="1108"/>
      <c r="HQ2" s="1108"/>
      <c r="HR2" s="1108"/>
      <c r="HS2" s="1108"/>
      <c r="HT2" s="1108"/>
      <c r="HU2" s="1108"/>
      <c r="HV2" s="1108"/>
      <c r="HW2" s="1108"/>
      <c r="HX2" s="1108"/>
      <c r="HY2" s="1108"/>
      <c r="HZ2" s="1108"/>
      <c r="IA2" s="1108"/>
      <c r="IB2" s="1108"/>
      <c r="IC2" s="1108"/>
      <c r="ID2" s="1108"/>
      <c r="IE2" s="1108"/>
      <c r="IF2" s="1108"/>
      <c r="IG2" s="1108"/>
      <c r="IH2" s="1108"/>
      <c r="II2" s="1108"/>
      <c r="IJ2" s="1108"/>
      <c r="IK2" s="1108"/>
      <c r="IL2" s="1108"/>
      <c r="IM2" s="1108"/>
      <c r="IN2" s="1108"/>
      <c r="IO2" s="1108"/>
      <c r="IP2" s="1108"/>
      <c r="IQ2" s="1108"/>
      <c r="IR2" s="1108"/>
      <c r="IS2" s="1108"/>
      <c r="IT2" s="1108"/>
      <c r="IU2" s="1108"/>
      <c r="IV2" s="1108"/>
      <c r="IW2" s="1108"/>
    </row>
    <row r="3" spans="1:257">
      <c r="B3" s="1111" t="s">
        <v>939</v>
      </c>
      <c r="C3" s="1112">
        <v>0</v>
      </c>
      <c r="D3" s="1113">
        <f ca="1">INDIRECT("d"&amp;$J$1)</f>
        <v>3.65</v>
      </c>
      <c r="E3" s="1114">
        <v>0.5</v>
      </c>
      <c r="F3" s="1115">
        <f ca="1">INDIRECT("p"&amp;$L$1)</f>
        <v>1.3</v>
      </c>
      <c r="G3" s="1110"/>
      <c r="H3" s="1110"/>
      <c r="I3" s="1110"/>
      <c r="J3" s="1110"/>
      <c r="L3" s="1110"/>
      <c r="M3" s="1110"/>
      <c r="N3" s="1110"/>
      <c r="O3" s="1110"/>
      <c r="P3" s="1110"/>
      <c r="Q3" s="1110"/>
      <c r="R3" s="1110"/>
      <c r="S3" s="1110"/>
      <c r="T3" s="1110"/>
      <c r="U3" s="1110"/>
      <c r="V3" s="1110"/>
      <c r="W3" s="1110"/>
      <c r="X3" s="1110"/>
      <c r="Y3" s="1110"/>
      <c r="Z3" s="1110"/>
    </row>
    <row r="4" spans="1:257">
      <c r="B4" s="1117" t="s">
        <v>940</v>
      </c>
      <c r="C4" s="1118">
        <v>0.5</v>
      </c>
      <c r="D4" s="1119">
        <f ca="1">INDIRECT("e"&amp;$J$1)</f>
        <v>3.65</v>
      </c>
      <c r="E4" s="1120">
        <v>1</v>
      </c>
      <c r="F4" s="1121">
        <f ca="1">INDIRECT("q"&amp;$L$1)</f>
        <v>1.5</v>
      </c>
      <c r="G4" s="1110"/>
      <c r="H4" s="1110"/>
      <c r="I4" s="1110"/>
      <c r="J4" s="1110"/>
      <c r="L4" s="1110"/>
      <c r="M4" s="1110"/>
      <c r="N4" s="1110"/>
      <c r="O4" s="1110"/>
      <c r="P4" s="1110"/>
      <c r="Q4" s="1110"/>
      <c r="R4" s="1110"/>
      <c r="S4" s="1110"/>
      <c r="T4" s="1110"/>
      <c r="U4" s="1110"/>
      <c r="V4" s="1110"/>
      <c r="W4" s="1110"/>
      <c r="X4" s="1110"/>
      <c r="Y4" s="1110"/>
      <c r="Z4" s="1110"/>
    </row>
    <row r="5" spans="1:257">
      <c r="B5" s="1117" t="s">
        <v>941</v>
      </c>
      <c r="C5" s="1118">
        <v>1</v>
      </c>
      <c r="D5" s="1119">
        <f ca="1">INDIRECT("f"&amp;$J$1)</f>
        <v>3.65</v>
      </c>
      <c r="E5" s="1120">
        <v>2</v>
      </c>
      <c r="F5" s="1121">
        <f ca="1">INDIRECT("r"&amp;$L$1)</f>
        <v>2.1</v>
      </c>
      <c r="G5" s="1110"/>
      <c r="H5" s="1110"/>
      <c r="I5" s="1110"/>
      <c r="J5" s="1110"/>
      <c r="L5" s="1110"/>
      <c r="M5" s="1110"/>
      <c r="N5" s="1110"/>
      <c r="O5" s="1110"/>
      <c r="P5" s="1110"/>
      <c r="Q5" s="1110"/>
      <c r="R5" s="1110"/>
      <c r="S5" s="1110"/>
      <c r="T5" s="1110"/>
      <c r="U5" s="1110"/>
      <c r="V5" s="1110"/>
      <c r="W5" s="1110"/>
      <c r="X5" s="1110"/>
      <c r="Y5" s="1110"/>
      <c r="Z5" s="1110"/>
    </row>
    <row r="6" spans="1:257">
      <c r="B6" s="1117" t="s">
        <v>942</v>
      </c>
      <c r="C6" s="1118">
        <v>3</v>
      </c>
      <c r="D6" s="1119">
        <f ca="1">INDIRECT("g"&amp;$J$1)</f>
        <v>3.65</v>
      </c>
      <c r="E6" s="1120">
        <v>3</v>
      </c>
      <c r="F6" s="1121">
        <f ca="1">INDIRECT("s"&amp;$L$1)</f>
        <v>2.75</v>
      </c>
      <c r="G6" s="1110"/>
      <c r="H6" s="1110"/>
      <c r="I6" s="1110"/>
      <c r="J6" s="1110"/>
      <c r="L6" s="1110"/>
      <c r="M6" s="1110"/>
      <c r="N6" s="1110"/>
      <c r="O6" s="1110"/>
      <c r="P6" s="1110"/>
      <c r="Q6" s="1110"/>
      <c r="R6" s="1110"/>
      <c r="S6" s="1110"/>
      <c r="T6" s="1110"/>
      <c r="U6" s="1110"/>
      <c r="V6" s="1110"/>
      <c r="W6" s="1110"/>
      <c r="X6" s="1110"/>
      <c r="Y6" s="1110"/>
      <c r="Z6" s="1110"/>
    </row>
    <row r="7" spans="1:257" ht="15" thickBot="1">
      <c r="B7" s="1122" t="s">
        <v>943</v>
      </c>
      <c r="C7" s="1123">
        <v>5</v>
      </c>
      <c r="D7" s="1124">
        <f ca="1">INDIRECT("h"&amp;$J$1)</f>
        <v>4.3</v>
      </c>
      <c r="E7" s="1125">
        <v>5</v>
      </c>
      <c r="F7" s="1126">
        <f ca="1">INDIRECT("t"&amp;$L$1)</f>
        <v>0</v>
      </c>
      <c r="G7" s="1110"/>
      <c r="H7" s="1110"/>
      <c r="I7" s="1110"/>
      <c r="J7" s="1110"/>
      <c r="L7" s="1110"/>
      <c r="M7" s="1110"/>
      <c r="N7" s="1110"/>
      <c r="O7" s="1110"/>
      <c r="P7" s="1110"/>
      <c r="Q7" s="1110"/>
      <c r="R7" s="1110"/>
      <c r="S7" s="1110"/>
      <c r="T7" s="1110"/>
      <c r="U7" s="1110"/>
      <c r="V7" s="1110"/>
      <c r="W7" s="1110"/>
      <c r="X7" s="1110"/>
      <c r="Y7" s="1110"/>
      <c r="Z7" s="1110"/>
    </row>
    <row r="8" spans="1:257">
      <c r="A8" s="1127"/>
      <c r="B8" s="1128"/>
      <c r="C8" s="1129"/>
      <c r="D8" s="1110"/>
      <c r="E8" s="1110"/>
      <c r="F8" s="1110"/>
      <c r="G8" s="1110"/>
      <c r="H8" s="1110"/>
      <c r="I8" s="1110"/>
      <c r="J8" s="1110"/>
      <c r="L8" s="1110"/>
      <c r="M8" s="1110"/>
      <c r="N8" s="1110"/>
      <c r="O8" s="1110"/>
      <c r="P8" s="1110"/>
      <c r="Q8" s="1110"/>
      <c r="R8" s="1110"/>
      <c r="S8" s="1110"/>
      <c r="T8" s="1110"/>
      <c r="U8" s="1110"/>
      <c r="V8" s="1110"/>
      <c r="W8" s="1110"/>
      <c r="X8" s="1110"/>
      <c r="Y8" s="1110"/>
      <c r="Z8" s="1110"/>
    </row>
    <row r="9" spans="1:257" ht="20.399999999999999">
      <c r="A9" s="1130"/>
      <c r="B9" s="1131" t="s">
        <v>944</v>
      </c>
      <c r="C9" s="1132"/>
      <c r="D9" s="1133"/>
      <c r="E9" s="1133"/>
      <c r="F9" s="1133"/>
      <c r="G9" s="1133"/>
      <c r="H9" s="1133"/>
      <c r="I9" s="1133"/>
      <c r="J9" s="1133"/>
      <c r="K9" s="1133"/>
      <c r="L9" s="1133"/>
      <c r="M9" s="1133"/>
      <c r="N9" s="1133"/>
      <c r="O9" s="1133"/>
      <c r="P9" s="1133"/>
      <c r="Q9" s="1133"/>
      <c r="R9" s="1133"/>
      <c r="S9" s="1133"/>
      <c r="T9" s="1133"/>
      <c r="U9" s="1133"/>
      <c r="V9" s="1133"/>
      <c r="W9" s="1133"/>
      <c r="X9" s="1133"/>
      <c r="Y9" s="1133"/>
      <c r="Z9" s="1133"/>
      <c r="AA9" s="1134"/>
      <c r="AB9" s="1134"/>
      <c r="AC9" s="1134"/>
      <c r="AD9" s="1134"/>
      <c r="AE9" s="1134"/>
      <c r="AF9" s="1134"/>
      <c r="AG9" s="1134"/>
      <c r="AH9" s="1134"/>
      <c r="AI9" s="1134"/>
      <c r="AJ9" s="1134"/>
      <c r="AK9" s="1134"/>
      <c r="AL9" s="1134"/>
      <c r="AM9" s="1134"/>
      <c r="AN9" s="1134"/>
      <c r="AO9" s="1134"/>
      <c r="AP9" s="1134"/>
      <c r="AQ9" s="1134"/>
      <c r="AR9" s="1134"/>
      <c r="AS9" s="1134"/>
      <c r="AT9" s="1134"/>
      <c r="AU9" s="1134"/>
      <c r="AV9" s="1134"/>
      <c r="AW9" s="1134"/>
      <c r="AX9" s="1134"/>
      <c r="AY9" s="1134"/>
      <c r="AZ9" s="1134"/>
      <c r="BA9" s="1134"/>
      <c r="BB9" s="1134"/>
      <c r="BC9" s="1134"/>
      <c r="BD9" s="1134"/>
      <c r="BE9" s="1134"/>
      <c r="BF9" s="1134"/>
      <c r="BG9" s="1134"/>
      <c r="BH9" s="1134"/>
      <c r="BI9" s="1134"/>
      <c r="BJ9" s="1134"/>
      <c r="BK9" s="1134"/>
      <c r="BL9" s="1134"/>
      <c r="BM9" s="1134"/>
      <c r="BN9" s="1134"/>
      <c r="BO9" s="1134"/>
      <c r="BP9" s="1134"/>
      <c r="BQ9" s="1134"/>
      <c r="BR9" s="1134"/>
      <c r="BS9" s="1134"/>
      <c r="BT9" s="1134"/>
      <c r="BU9" s="1134"/>
      <c r="BV9" s="1134"/>
      <c r="BW9" s="1134"/>
      <c r="BX9" s="1134"/>
      <c r="BY9" s="1134"/>
      <c r="BZ9" s="1134"/>
      <c r="CA9" s="1134"/>
      <c r="CB9" s="1134"/>
      <c r="CC9" s="1134"/>
      <c r="CD9" s="1134"/>
      <c r="CE9" s="1134"/>
      <c r="CF9" s="1134"/>
      <c r="CG9" s="1134"/>
      <c r="CH9" s="1134"/>
      <c r="CI9" s="1134"/>
      <c r="CJ9" s="1134"/>
      <c r="CK9" s="1134"/>
      <c r="CL9" s="1134"/>
      <c r="CM9" s="1134"/>
      <c r="CN9" s="1134"/>
      <c r="CO9" s="1134"/>
      <c r="CP9" s="1134"/>
      <c r="CQ9" s="1134"/>
      <c r="CR9" s="1134"/>
      <c r="CS9" s="1134"/>
      <c r="CT9" s="1134"/>
      <c r="CU9" s="1134"/>
      <c r="CV9" s="1134"/>
      <c r="CW9" s="1134"/>
      <c r="CX9" s="1134"/>
      <c r="CY9" s="1134"/>
      <c r="CZ9" s="1134"/>
      <c r="DA9" s="1134"/>
      <c r="DB9" s="1134"/>
      <c r="DC9" s="1134"/>
      <c r="DD9" s="1134"/>
      <c r="DE9" s="1134"/>
      <c r="DF9" s="1134"/>
      <c r="DG9" s="1134"/>
      <c r="DH9" s="1134"/>
      <c r="DI9" s="1134"/>
      <c r="DJ9" s="1134"/>
      <c r="DK9" s="1134"/>
      <c r="DL9" s="1134"/>
      <c r="DM9" s="1134"/>
      <c r="DN9" s="1134"/>
      <c r="DO9" s="1134"/>
      <c r="DP9" s="1134"/>
      <c r="DQ9" s="1134"/>
      <c r="DR9" s="1134"/>
      <c r="DS9" s="1134"/>
      <c r="DT9" s="1134"/>
      <c r="DU9" s="1134"/>
      <c r="DV9" s="1134"/>
      <c r="DW9" s="1134"/>
      <c r="DX9" s="1134"/>
      <c r="DY9" s="1134"/>
      <c r="DZ9" s="1134"/>
      <c r="EA9" s="1134"/>
      <c r="EB9" s="1134"/>
      <c r="EC9" s="1134"/>
      <c r="ED9" s="1134"/>
      <c r="EE9" s="1134"/>
      <c r="EF9" s="1134"/>
      <c r="EG9" s="1134"/>
      <c r="EH9" s="1134"/>
      <c r="EI9" s="1134"/>
      <c r="EJ9" s="1134"/>
      <c r="EK9" s="1134"/>
      <c r="EL9" s="1134"/>
      <c r="EM9" s="1134"/>
      <c r="EN9" s="1134"/>
      <c r="EO9" s="1134"/>
      <c r="EP9" s="1134"/>
      <c r="EQ9" s="1134"/>
      <c r="ER9" s="1134"/>
      <c r="ES9" s="1134"/>
      <c r="ET9" s="1134"/>
      <c r="EU9" s="1134"/>
      <c r="EV9" s="1134"/>
      <c r="EW9" s="1134"/>
      <c r="EX9" s="1134"/>
      <c r="EY9" s="1134"/>
      <c r="EZ9" s="1134"/>
      <c r="FA9" s="1134"/>
      <c r="FB9" s="1134"/>
      <c r="FC9" s="1134"/>
      <c r="FD9" s="1134"/>
      <c r="FE9" s="1134"/>
      <c r="FF9" s="1134"/>
      <c r="FG9" s="1134"/>
      <c r="FH9" s="1134"/>
      <c r="FI9" s="1134"/>
      <c r="FJ9" s="1134"/>
      <c r="FK9" s="1134"/>
      <c r="FL9" s="1134"/>
      <c r="FM9" s="1134"/>
      <c r="FN9" s="1134"/>
      <c r="FO9" s="1134"/>
      <c r="FP9" s="1134"/>
      <c r="FQ9" s="1134"/>
      <c r="FR9" s="1134"/>
      <c r="FS9" s="1134"/>
      <c r="FT9" s="1134"/>
      <c r="FU9" s="1134"/>
      <c r="FV9" s="1134"/>
      <c r="FW9" s="1134"/>
      <c r="FX9" s="1134"/>
      <c r="FY9" s="1134"/>
      <c r="FZ9" s="1134"/>
      <c r="GA9" s="1134"/>
      <c r="GB9" s="1134"/>
      <c r="GC9" s="1134"/>
      <c r="GD9" s="1134"/>
      <c r="GE9" s="1134"/>
      <c r="GF9" s="1134"/>
      <c r="GG9" s="1134"/>
      <c r="GH9" s="1134"/>
      <c r="GI9" s="1134"/>
      <c r="GJ9" s="1134"/>
      <c r="GK9" s="1134"/>
      <c r="GL9" s="1134"/>
      <c r="GM9" s="1134"/>
      <c r="GN9" s="1134"/>
      <c r="GO9" s="1134"/>
      <c r="GP9" s="1134"/>
      <c r="GQ9" s="1134"/>
      <c r="GR9" s="1134"/>
      <c r="GS9" s="1134"/>
      <c r="GT9" s="1134"/>
      <c r="GU9" s="1134"/>
      <c r="GV9" s="1134"/>
      <c r="GW9" s="1134"/>
      <c r="GX9" s="1134"/>
      <c r="GY9" s="1134"/>
      <c r="GZ9" s="1134"/>
      <c r="HA9" s="1134"/>
      <c r="HB9" s="1134"/>
      <c r="HC9" s="1134"/>
      <c r="HD9" s="1134"/>
      <c r="HE9" s="1134"/>
      <c r="HF9" s="1134"/>
      <c r="HG9" s="1134"/>
      <c r="HH9" s="1134"/>
      <c r="HI9" s="1134"/>
      <c r="HJ9" s="1134"/>
      <c r="HK9" s="1134"/>
      <c r="HL9" s="1134"/>
      <c r="HM9" s="1134"/>
      <c r="HN9" s="1134"/>
      <c r="HO9" s="1134"/>
      <c r="HP9" s="1134"/>
      <c r="HQ9" s="1134"/>
      <c r="HR9" s="1134"/>
      <c r="HS9" s="1134"/>
      <c r="HT9" s="1134"/>
      <c r="HU9" s="1134"/>
      <c r="HV9" s="1134"/>
      <c r="HW9" s="1134"/>
      <c r="HX9" s="1134"/>
      <c r="HY9" s="1134"/>
      <c r="HZ9" s="1134"/>
      <c r="IA9" s="1134"/>
      <c r="IB9" s="1134"/>
      <c r="IC9" s="1134"/>
      <c r="ID9" s="1134"/>
      <c r="IE9" s="1134"/>
      <c r="IF9" s="1134"/>
      <c r="IG9" s="1134"/>
      <c r="IH9" s="1134"/>
      <c r="II9" s="1134"/>
      <c r="IJ9" s="1134"/>
      <c r="IK9" s="1134"/>
      <c r="IL9" s="1134"/>
      <c r="IM9" s="1134"/>
      <c r="IN9" s="1134"/>
      <c r="IO9" s="1134"/>
      <c r="IP9" s="1134"/>
      <c r="IQ9" s="1134"/>
      <c r="IR9" s="1134"/>
      <c r="IS9" s="1134"/>
      <c r="IT9" s="1134"/>
      <c r="IU9" s="1134"/>
      <c r="IV9" s="1134"/>
      <c r="IW9" s="1135"/>
    </row>
    <row r="10" spans="1:257" ht="22.2">
      <c r="A10" s="1136"/>
      <c r="B10" s="1137" t="s">
        <v>945</v>
      </c>
      <c r="C10" s="1136"/>
      <c r="D10" s="1136"/>
      <c r="E10" s="1136"/>
      <c r="F10" s="1136"/>
      <c r="G10" s="1136"/>
      <c r="H10" s="1136"/>
      <c r="I10" s="1110"/>
      <c r="J10" s="1110"/>
      <c r="K10" s="1136"/>
      <c r="L10" s="1137" t="s">
        <v>946</v>
      </c>
      <c r="M10" s="1136"/>
      <c r="N10" s="1136"/>
      <c r="O10" s="1136"/>
      <c r="P10" s="1136"/>
      <c r="Q10" s="1136"/>
      <c r="R10" s="1136"/>
      <c r="S10" s="1136"/>
      <c r="T10" s="1136"/>
      <c r="U10" s="1136"/>
      <c r="V10" s="1136"/>
      <c r="W10" s="1136"/>
      <c r="X10" s="1136"/>
      <c r="Y10" s="1136"/>
      <c r="Z10" s="1136"/>
      <c r="AA10" s="1138"/>
      <c r="AB10" s="1138"/>
      <c r="AC10" s="1138"/>
      <c r="AD10" s="1138"/>
      <c r="AE10" s="1138"/>
      <c r="AF10" s="1138"/>
      <c r="AG10" s="1138"/>
      <c r="AH10" s="1138"/>
      <c r="AI10" s="1138"/>
      <c r="AJ10" s="1138"/>
      <c r="AK10" s="1138"/>
      <c r="AL10" s="1138"/>
      <c r="AM10" s="1138"/>
      <c r="AN10" s="1138"/>
      <c r="AO10" s="1138"/>
      <c r="AP10" s="1138"/>
      <c r="AQ10" s="1138"/>
      <c r="AR10" s="1138"/>
      <c r="AS10" s="1138"/>
      <c r="AT10" s="1138"/>
      <c r="AU10" s="1138"/>
      <c r="AV10" s="1138"/>
      <c r="AW10" s="1138"/>
      <c r="AX10" s="1138"/>
      <c r="AY10" s="1138"/>
      <c r="AZ10" s="1138"/>
      <c r="BA10" s="1138"/>
      <c r="BB10" s="1138"/>
      <c r="BC10" s="1138"/>
      <c r="BD10" s="1138"/>
      <c r="BE10" s="1138"/>
      <c r="BF10" s="1138"/>
      <c r="BG10" s="1138"/>
      <c r="BH10" s="1138"/>
      <c r="BI10" s="1138"/>
      <c r="BJ10" s="1138"/>
      <c r="BK10" s="1138"/>
      <c r="BL10" s="1138"/>
      <c r="BM10" s="1138"/>
      <c r="BN10" s="1138"/>
      <c r="BO10" s="1138"/>
      <c r="BP10" s="1138"/>
      <c r="BQ10" s="1138"/>
      <c r="BR10" s="1138"/>
      <c r="BS10" s="1138"/>
      <c r="BT10" s="1138"/>
      <c r="BU10" s="1138"/>
      <c r="BV10" s="1138"/>
      <c r="BW10" s="1138"/>
      <c r="BX10" s="1138"/>
      <c r="BY10" s="1138"/>
      <c r="BZ10" s="1138"/>
      <c r="CA10" s="1138"/>
      <c r="CB10" s="1138"/>
      <c r="CC10" s="1138"/>
      <c r="CD10" s="1138"/>
      <c r="CE10" s="1138"/>
      <c r="CF10" s="1138"/>
      <c r="CG10" s="1138"/>
      <c r="CH10" s="1138"/>
      <c r="CI10" s="1138"/>
      <c r="CJ10" s="1138"/>
      <c r="CK10" s="1138"/>
      <c r="CL10" s="1138"/>
      <c r="CM10" s="1138"/>
      <c r="CN10" s="1138"/>
      <c r="CO10" s="1138"/>
      <c r="CP10" s="1138"/>
      <c r="CQ10" s="1138"/>
      <c r="CR10" s="1138"/>
      <c r="CS10" s="1138"/>
      <c r="CT10" s="1138"/>
      <c r="CU10" s="1138"/>
      <c r="CV10" s="1138"/>
      <c r="CW10" s="1138"/>
      <c r="CX10" s="1138"/>
      <c r="CY10" s="1138"/>
      <c r="CZ10" s="1138"/>
      <c r="DA10" s="1138"/>
      <c r="DB10" s="1138"/>
      <c r="DC10" s="1138"/>
      <c r="DD10" s="1138"/>
      <c r="DE10" s="1138"/>
      <c r="DF10" s="1138"/>
      <c r="DG10" s="1138"/>
      <c r="DH10" s="1138"/>
      <c r="DI10" s="1138"/>
      <c r="DJ10" s="1138"/>
      <c r="DK10" s="1138"/>
      <c r="DL10" s="1138"/>
      <c r="DM10" s="1138"/>
      <c r="DN10" s="1138"/>
      <c r="DO10" s="1138"/>
      <c r="DP10" s="1138"/>
      <c r="DQ10" s="1138"/>
      <c r="DR10" s="1138"/>
      <c r="DS10" s="1138"/>
      <c r="DT10" s="1138"/>
      <c r="DU10" s="1138"/>
      <c r="DV10" s="1138"/>
      <c r="DW10" s="1138"/>
      <c r="DX10" s="1138"/>
      <c r="DY10" s="1138"/>
      <c r="DZ10" s="1138"/>
      <c r="EA10" s="1138"/>
      <c r="EB10" s="1138"/>
      <c r="EC10" s="1138"/>
      <c r="ED10" s="1138"/>
      <c r="EE10" s="1138"/>
      <c r="EF10" s="1138"/>
      <c r="EG10" s="1138"/>
      <c r="EH10" s="1138"/>
      <c r="EI10" s="1138"/>
      <c r="EJ10" s="1138"/>
      <c r="EK10" s="1138"/>
      <c r="EL10" s="1138"/>
      <c r="EM10" s="1138"/>
      <c r="EN10" s="1138"/>
      <c r="EO10" s="1138"/>
      <c r="EP10" s="1138"/>
      <c r="EQ10" s="1138"/>
      <c r="ER10" s="1138"/>
      <c r="ES10" s="1138"/>
      <c r="ET10" s="1138"/>
      <c r="EU10" s="1138"/>
      <c r="EV10" s="1138"/>
      <c r="EW10" s="1138"/>
      <c r="EX10" s="1138"/>
      <c r="EY10" s="1138"/>
      <c r="EZ10" s="1138"/>
      <c r="FA10" s="1138"/>
      <c r="FB10" s="1138"/>
      <c r="FC10" s="1138"/>
      <c r="FD10" s="1138"/>
      <c r="FE10" s="1138"/>
      <c r="FF10" s="1138"/>
      <c r="FG10" s="1138"/>
      <c r="FH10" s="1138"/>
      <c r="FI10" s="1138"/>
      <c r="FJ10" s="1138"/>
      <c r="FK10" s="1138"/>
      <c r="FL10" s="1138"/>
      <c r="FM10" s="1138"/>
      <c r="FN10" s="1138"/>
      <c r="FO10" s="1138"/>
      <c r="FP10" s="1138"/>
      <c r="FQ10" s="1138"/>
      <c r="FR10" s="1138"/>
      <c r="FS10" s="1138"/>
      <c r="FT10" s="1138"/>
      <c r="FU10" s="1138"/>
      <c r="FV10" s="1138"/>
      <c r="FW10" s="1138"/>
      <c r="FX10" s="1138"/>
      <c r="FY10" s="1138"/>
      <c r="FZ10" s="1138"/>
      <c r="GA10" s="1138"/>
      <c r="GB10" s="1138"/>
      <c r="GC10" s="1138"/>
      <c r="GD10" s="1138"/>
      <c r="GE10" s="1138"/>
      <c r="GF10" s="1138"/>
      <c r="GG10" s="1138"/>
      <c r="GH10" s="1138"/>
      <c r="GI10" s="1138"/>
      <c r="GJ10" s="1138"/>
      <c r="GK10" s="1138"/>
      <c r="GL10" s="1138"/>
      <c r="GM10" s="1138"/>
      <c r="GN10" s="1138"/>
      <c r="GO10" s="1138"/>
      <c r="GP10" s="1138"/>
      <c r="GQ10" s="1138"/>
      <c r="GR10" s="1138"/>
      <c r="GS10" s="1138"/>
      <c r="GT10" s="1138"/>
      <c r="GU10" s="1138"/>
      <c r="GV10" s="1138"/>
      <c r="GW10" s="1138"/>
      <c r="GX10" s="1138"/>
      <c r="GY10" s="1138"/>
      <c r="GZ10" s="1138"/>
      <c r="HA10" s="1138"/>
      <c r="HB10" s="1138"/>
      <c r="HC10" s="1138"/>
      <c r="HD10" s="1138"/>
      <c r="HE10" s="1138"/>
      <c r="HF10" s="1138"/>
      <c r="HG10" s="1138"/>
      <c r="HH10" s="1138"/>
      <c r="HI10" s="1138"/>
      <c r="HJ10" s="1138"/>
      <c r="HK10" s="1138"/>
      <c r="HL10" s="1138"/>
      <c r="HM10" s="1138"/>
      <c r="HN10" s="1138"/>
      <c r="HO10" s="1138"/>
      <c r="HP10" s="1138"/>
      <c r="HQ10" s="1138"/>
      <c r="HR10" s="1138"/>
      <c r="HS10" s="1138"/>
      <c r="HT10" s="1138"/>
      <c r="HU10" s="1138"/>
      <c r="HV10" s="1138"/>
      <c r="HW10" s="1138"/>
      <c r="HX10" s="1138"/>
      <c r="HY10" s="1138"/>
      <c r="HZ10" s="1138"/>
      <c r="IA10" s="1138"/>
      <c r="IB10" s="1138"/>
      <c r="IC10" s="1138"/>
      <c r="ID10" s="1138"/>
      <c r="IE10" s="1138"/>
      <c r="IF10" s="1138"/>
      <c r="IG10" s="1138"/>
      <c r="IH10" s="1138"/>
      <c r="II10" s="1138"/>
      <c r="IJ10" s="1138"/>
      <c r="IK10" s="1138"/>
      <c r="IL10" s="1138"/>
      <c r="IM10" s="1138"/>
      <c r="IN10" s="1138"/>
      <c r="IO10" s="1138"/>
      <c r="IP10" s="1138"/>
      <c r="IQ10" s="1138"/>
      <c r="IR10" s="1138"/>
      <c r="IS10" s="1138"/>
      <c r="IT10" s="1138"/>
      <c r="IU10" s="1138"/>
      <c r="IV10" s="1138"/>
    </row>
    <row r="11" spans="1:257">
      <c r="A11" s="1139"/>
      <c r="B11" s="1140" t="s">
        <v>947</v>
      </c>
      <c r="C11" s="1141" t="s">
        <v>948</v>
      </c>
      <c r="D11" s="1142" t="s">
        <v>949</v>
      </c>
      <c r="E11" s="1143"/>
      <c r="F11" s="1142" t="s">
        <v>950</v>
      </c>
      <c r="G11" s="1144"/>
      <c r="H11" s="1143"/>
      <c r="I11" s="1142" t="s">
        <v>951</v>
      </c>
      <c r="J11" s="1143"/>
      <c r="K11" s="1139"/>
      <c r="L11" s="1140" t="s">
        <v>947</v>
      </c>
      <c r="M11" s="1141" t="s">
        <v>948</v>
      </c>
      <c r="N11" s="1140" t="s">
        <v>952</v>
      </c>
      <c r="O11" s="1142" t="s">
        <v>953</v>
      </c>
      <c r="P11" s="1144"/>
      <c r="Q11" s="1144"/>
      <c r="R11" s="1144"/>
      <c r="S11" s="1144"/>
      <c r="T11" s="1143"/>
      <c r="U11" s="1142" t="s">
        <v>954</v>
      </c>
      <c r="V11" s="1144"/>
      <c r="W11" s="1143"/>
      <c r="X11" s="1140" t="s">
        <v>955</v>
      </c>
      <c r="Y11" s="1140" t="s">
        <v>956</v>
      </c>
      <c r="Z11" s="1140" t="s">
        <v>957</v>
      </c>
      <c r="AA11" s="1145"/>
      <c r="AB11" s="1145"/>
      <c r="AC11" s="1145"/>
      <c r="AD11" s="1145"/>
      <c r="AE11" s="1145"/>
      <c r="AF11" s="1145"/>
      <c r="AG11" s="1145"/>
      <c r="AH11" s="1145"/>
      <c r="AI11" s="1145"/>
      <c r="AJ11" s="1145"/>
      <c r="AK11" s="1145"/>
      <c r="AL11" s="1145"/>
      <c r="AM11" s="1145"/>
      <c r="AN11" s="1145"/>
      <c r="AO11" s="1145"/>
      <c r="AP11" s="1145"/>
      <c r="AQ11" s="1145"/>
      <c r="AR11" s="1145"/>
      <c r="AS11" s="1145"/>
      <c r="AT11" s="1145"/>
      <c r="AU11" s="1145"/>
      <c r="AV11" s="1145"/>
      <c r="AW11" s="1145"/>
      <c r="AX11" s="1145"/>
      <c r="AY11" s="1145"/>
      <c r="AZ11" s="1145"/>
      <c r="BA11" s="1145"/>
      <c r="BB11" s="1145"/>
      <c r="BC11" s="1145"/>
      <c r="BD11" s="1145"/>
      <c r="BE11" s="1145"/>
      <c r="BF11" s="1145"/>
      <c r="BG11" s="1145"/>
      <c r="BH11" s="1145"/>
      <c r="BI11" s="1145"/>
      <c r="BJ11" s="1145"/>
      <c r="BK11" s="1145"/>
      <c r="BL11" s="1145"/>
      <c r="BM11" s="1145"/>
      <c r="BN11" s="1145"/>
      <c r="BO11" s="1145"/>
      <c r="BP11" s="1145"/>
      <c r="BQ11" s="1145"/>
      <c r="BR11" s="1145"/>
      <c r="BS11" s="1145"/>
      <c r="BT11" s="1145"/>
      <c r="BU11" s="1145"/>
      <c r="BV11" s="1145"/>
      <c r="BW11" s="1145"/>
      <c r="BX11" s="1145"/>
      <c r="BY11" s="1145"/>
      <c r="BZ11" s="1145"/>
      <c r="CA11" s="1145"/>
      <c r="CB11" s="1145"/>
      <c r="CC11" s="1145"/>
      <c r="CD11" s="1145"/>
      <c r="CE11" s="1145"/>
      <c r="CF11" s="1145"/>
      <c r="CG11" s="1145"/>
      <c r="CH11" s="1145"/>
      <c r="CI11" s="1145"/>
      <c r="CJ11" s="1145"/>
      <c r="CK11" s="1145"/>
      <c r="CL11" s="1145"/>
      <c r="CM11" s="1145"/>
      <c r="CN11" s="1145"/>
      <c r="CO11" s="1145"/>
      <c r="CP11" s="1145"/>
      <c r="CQ11" s="1145"/>
      <c r="CR11" s="1145"/>
      <c r="CS11" s="1145"/>
      <c r="CT11" s="1145"/>
      <c r="CU11" s="1145"/>
      <c r="CV11" s="1145"/>
      <c r="CW11" s="1145"/>
      <c r="CX11" s="1145"/>
      <c r="CY11" s="1145"/>
      <c r="CZ11" s="1145"/>
      <c r="DA11" s="1145"/>
      <c r="DB11" s="1145"/>
      <c r="DC11" s="1145"/>
      <c r="DD11" s="1145"/>
      <c r="DE11" s="1145"/>
      <c r="DF11" s="1145"/>
      <c r="DG11" s="1145"/>
      <c r="DH11" s="1145"/>
      <c r="DI11" s="1145"/>
      <c r="DJ11" s="1145"/>
      <c r="DK11" s="1145"/>
      <c r="DL11" s="1145"/>
      <c r="DM11" s="1145"/>
      <c r="DN11" s="1145"/>
      <c r="DO11" s="1145"/>
      <c r="DP11" s="1145"/>
      <c r="DQ11" s="1145"/>
      <c r="DR11" s="1145"/>
      <c r="DS11" s="1145"/>
      <c r="DT11" s="1145"/>
      <c r="DU11" s="1145"/>
      <c r="DV11" s="1145"/>
      <c r="DW11" s="1145"/>
      <c r="DX11" s="1145"/>
      <c r="DY11" s="1145"/>
      <c r="DZ11" s="1145"/>
      <c r="EA11" s="1145"/>
      <c r="EB11" s="1145"/>
      <c r="EC11" s="1145"/>
      <c r="ED11" s="1145"/>
      <c r="EE11" s="1145"/>
      <c r="EF11" s="1145"/>
      <c r="EG11" s="1145"/>
      <c r="EH11" s="1145"/>
      <c r="EI11" s="1145"/>
      <c r="EJ11" s="1145"/>
      <c r="EK11" s="1145"/>
      <c r="EL11" s="1145"/>
      <c r="EM11" s="1145"/>
      <c r="EN11" s="1145"/>
      <c r="EO11" s="1145"/>
      <c r="EP11" s="1145"/>
      <c r="EQ11" s="1145"/>
      <c r="ER11" s="1145"/>
      <c r="ES11" s="1145"/>
      <c r="ET11" s="1145"/>
      <c r="EU11" s="1145"/>
      <c r="EV11" s="1145"/>
      <c r="EW11" s="1145"/>
      <c r="EX11" s="1145"/>
      <c r="EY11" s="1145"/>
      <c r="EZ11" s="1145"/>
      <c r="FA11" s="1145"/>
      <c r="FB11" s="1145"/>
      <c r="FC11" s="1145"/>
      <c r="FD11" s="1145"/>
      <c r="FE11" s="1145"/>
      <c r="FF11" s="1145"/>
      <c r="FG11" s="1145"/>
      <c r="FH11" s="1145"/>
      <c r="FI11" s="1145"/>
      <c r="FJ11" s="1145"/>
      <c r="FK11" s="1145"/>
      <c r="FL11" s="1145"/>
      <c r="FM11" s="1145"/>
      <c r="FN11" s="1145"/>
      <c r="FO11" s="1145"/>
      <c r="FP11" s="1145"/>
      <c r="FQ11" s="1145"/>
      <c r="FR11" s="1145"/>
      <c r="FS11" s="1145"/>
      <c r="FT11" s="1145"/>
      <c r="FU11" s="1145"/>
      <c r="FV11" s="1145"/>
      <c r="FW11" s="1145"/>
      <c r="FX11" s="1145"/>
      <c r="FY11" s="1145"/>
      <c r="FZ11" s="1145"/>
      <c r="GA11" s="1145"/>
      <c r="GB11" s="1145"/>
      <c r="GC11" s="1145"/>
      <c r="GD11" s="1145"/>
      <c r="GE11" s="1145"/>
      <c r="GF11" s="1145"/>
      <c r="GG11" s="1145"/>
      <c r="GH11" s="1145"/>
      <c r="GI11" s="1145"/>
      <c r="GJ11" s="1145"/>
      <c r="GK11" s="1145"/>
      <c r="GL11" s="1145"/>
      <c r="GM11" s="1145"/>
      <c r="GN11" s="1145"/>
      <c r="GO11" s="1145"/>
      <c r="GP11" s="1145"/>
      <c r="GQ11" s="1145"/>
      <c r="GR11" s="1145"/>
      <c r="GS11" s="1145"/>
      <c r="GT11" s="1145"/>
      <c r="GU11" s="1145"/>
      <c r="GV11" s="1145"/>
      <c r="GW11" s="1145"/>
      <c r="GX11" s="1145"/>
      <c r="GY11" s="1145"/>
      <c r="GZ11" s="1145"/>
      <c r="HA11" s="1145"/>
      <c r="HB11" s="1145"/>
      <c r="HC11" s="1145"/>
      <c r="HD11" s="1145"/>
      <c r="HE11" s="1145"/>
      <c r="HF11" s="1145"/>
      <c r="HG11" s="1145"/>
      <c r="HH11" s="1145"/>
      <c r="HI11" s="1145"/>
      <c r="HJ11" s="1145"/>
      <c r="HK11" s="1145"/>
      <c r="HL11" s="1145"/>
      <c r="HM11" s="1145"/>
      <c r="HN11" s="1145"/>
      <c r="HO11" s="1145"/>
      <c r="HP11" s="1145"/>
      <c r="HQ11" s="1145"/>
      <c r="HR11" s="1145"/>
      <c r="HS11" s="1145"/>
      <c r="HT11" s="1145"/>
      <c r="HU11" s="1145"/>
      <c r="HV11" s="1145"/>
      <c r="HW11" s="1145"/>
      <c r="HX11" s="1145"/>
      <c r="HY11" s="1145"/>
      <c r="HZ11" s="1145"/>
      <c r="IA11" s="1145"/>
      <c r="IB11" s="1145"/>
      <c r="IC11" s="1145"/>
      <c r="ID11" s="1145"/>
      <c r="IE11" s="1145"/>
      <c r="IF11" s="1145"/>
      <c r="IG11" s="1145"/>
      <c r="IH11" s="1145"/>
      <c r="II11" s="1145"/>
      <c r="IJ11" s="1145"/>
      <c r="IK11" s="1145"/>
      <c r="IL11" s="1145"/>
      <c r="IM11" s="1145"/>
      <c r="IN11" s="1145"/>
      <c r="IO11" s="1145"/>
      <c r="IP11" s="1145"/>
      <c r="IQ11" s="1145"/>
      <c r="IR11" s="1145"/>
      <c r="IS11" s="1145"/>
      <c r="IT11" s="1145"/>
      <c r="IU11" s="1145"/>
      <c r="IV11" s="1145"/>
    </row>
    <row r="12" spans="1:257">
      <c r="A12" s="1139"/>
      <c r="B12" s="1146"/>
      <c r="C12" s="1147"/>
      <c r="D12" s="1148" t="s">
        <v>958</v>
      </c>
      <c r="E12" s="1148" t="s">
        <v>959</v>
      </c>
      <c r="F12" s="1148" t="s">
        <v>960</v>
      </c>
      <c r="G12" s="1148" t="s">
        <v>961</v>
      </c>
      <c r="H12" s="1148" t="s">
        <v>943</v>
      </c>
      <c r="I12" s="1149" t="s">
        <v>962</v>
      </c>
      <c r="J12" s="1149" t="s">
        <v>962</v>
      </c>
      <c r="K12" s="1139"/>
      <c r="L12" s="1146"/>
      <c r="M12" s="1147"/>
      <c r="N12" s="1146"/>
      <c r="O12" s="1149" t="s">
        <v>963</v>
      </c>
      <c r="P12" s="1149">
        <v>0.5</v>
      </c>
      <c r="Q12" s="1149">
        <v>1</v>
      </c>
      <c r="R12" s="1149">
        <v>2</v>
      </c>
      <c r="S12" s="1149">
        <v>3</v>
      </c>
      <c r="T12" s="1149">
        <v>5</v>
      </c>
      <c r="U12" s="1149">
        <v>1</v>
      </c>
      <c r="V12" s="1149">
        <v>3</v>
      </c>
      <c r="W12" s="1149">
        <v>5</v>
      </c>
      <c r="X12" s="1146"/>
      <c r="Y12" s="1146"/>
      <c r="Z12" s="1146"/>
      <c r="AA12" s="1145"/>
      <c r="AB12" s="1145"/>
      <c r="AC12" s="1145"/>
      <c r="AD12" s="1145"/>
      <c r="AE12" s="1145"/>
      <c r="AF12" s="1145"/>
      <c r="AG12" s="1145"/>
      <c r="AH12" s="1145"/>
      <c r="AI12" s="1145"/>
      <c r="AJ12" s="1145"/>
      <c r="AK12" s="1145"/>
      <c r="AL12" s="1145"/>
      <c r="AM12" s="1145"/>
      <c r="AN12" s="1145"/>
      <c r="AO12" s="1145"/>
      <c r="AP12" s="1145"/>
      <c r="AQ12" s="1145"/>
      <c r="AR12" s="1145"/>
      <c r="AS12" s="1145"/>
      <c r="AT12" s="1145"/>
      <c r="AU12" s="1145"/>
      <c r="AV12" s="1145"/>
      <c r="AW12" s="1145"/>
      <c r="AX12" s="1145"/>
      <c r="AY12" s="1145"/>
      <c r="AZ12" s="1145"/>
      <c r="BA12" s="1145"/>
      <c r="BB12" s="1145"/>
      <c r="BC12" s="1145"/>
      <c r="BD12" s="1145"/>
      <c r="BE12" s="1145"/>
      <c r="BF12" s="1145"/>
      <c r="BG12" s="1145"/>
      <c r="BH12" s="1145"/>
      <c r="BI12" s="1145"/>
      <c r="BJ12" s="1145"/>
      <c r="BK12" s="1145"/>
      <c r="BL12" s="1145"/>
      <c r="BM12" s="1145"/>
      <c r="BN12" s="1145"/>
      <c r="BO12" s="1145"/>
      <c r="BP12" s="1145"/>
      <c r="BQ12" s="1145"/>
      <c r="BR12" s="1145"/>
      <c r="BS12" s="1145"/>
      <c r="BT12" s="1145"/>
      <c r="BU12" s="1145"/>
      <c r="BV12" s="1145"/>
      <c r="BW12" s="1145"/>
      <c r="BX12" s="1145"/>
      <c r="BY12" s="1145"/>
      <c r="BZ12" s="1145"/>
      <c r="CA12" s="1145"/>
      <c r="CB12" s="1145"/>
      <c r="CC12" s="1145"/>
      <c r="CD12" s="1145"/>
      <c r="CE12" s="1145"/>
      <c r="CF12" s="1145"/>
      <c r="CG12" s="1145"/>
      <c r="CH12" s="1145"/>
      <c r="CI12" s="1145"/>
      <c r="CJ12" s="1145"/>
      <c r="CK12" s="1145"/>
      <c r="CL12" s="1145"/>
      <c r="CM12" s="1145"/>
      <c r="CN12" s="1145"/>
      <c r="CO12" s="1145"/>
      <c r="CP12" s="1145"/>
      <c r="CQ12" s="1145"/>
      <c r="CR12" s="1145"/>
      <c r="CS12" s="1145"/>
      <c r="CT12" s="1145"/>
      <c r="CU12" s="1145"/>
      <c r="CV12" s="1145"/>
      <c r="CW12" s="1145"/>
      <c r="CX12" s="1145"/>
      <c r="CY12" s="1145"/>
      <c r="CZ12" s="1145"/>
      <c r="DA12" s="1145"/>
      <c r="DB12" s="1145"/>
      <c r="DC12" s="1145"/>
      <c r="DD12" s="1145"/>
      <c r="DE12" s="1145"/>
      <c r="DF12" s="1145"/>
      <c r="DG12" s="1145"/>
      <c r="DH12" s="1145"/>
      <c r="DI12" s="1145"/>
      <c r="DJ12" s="1145"/>
      <c r="DK12" s="1145"/>
      <c r="DL12" s="1145"/>
      <c r="DM12" s="1145"/>
      <c r="DN12" s="1145"/>
      <c r="DO12" s="1145"/>
      <c r="DP12" s="1145"/>
      <c r="DQ12" s="1145"/>
      <c r="DR12" s="1145"/>
      <c r="DS12" s="1145"/>
      <c r="DT12" s="1145"/>
      <c r="DU12" s="1145"/>
      <c r="DV12" s="1145"/>
      <c r="DW12" s="1145"/>
      <c r="DX12" s="1145"/>
      <c r="DY12" s="1145"/>
      <c r="DZ12" s="1145"/>
      <c r="EA12" s="1145"/>
      <c r="EB12" s="1145"/>
      <c r="EC12" s="1145"/>
      <c r="ED12" s="1145"/>
      <c r="EE12" s="1145"/>
      <c r="EF12" s="1145"/>
      <c r="EG12" s="1145"/>
      <c r="EH12" s="1145"/>
      <c r="EI12" s="1145"/>
      <c r="EJ12" s="1145"/>
      <c r="EK12" s="1145"/>
      <c r="EL12" s="1145"/>
      <c r="EM12" s="1145"/>
      <c r="EN12" s="1145"/>
      <c r="EO12" s="1145"/>
      <c r="EP12" s="1145"/>
      <c r="EQ12" s="1145"/>
      <c r="ER12" s="1145"/>
      <c r="ES12" s="1145"/>
      <c r="ET12" s="1145"/>
      <c r="EU12" s="1145"/>
      <c r="EV12" s="1145"/>
      <c r="EW12" s="1145"/>
      <c r="EX12" s="1145"/>
      <c r="EY12" s="1145"/>
      <c r="EZ12" s="1145"/>
      <c r="FA12" s="1145"/>
      <c r="FB12" s="1145"/>
      <c r="FC12" s="1145"/>
      <c r="FD12" s="1145"/>
      <c r="FE12" s="1145"/>
      <c r="FF12" s="1145"/>
      <c r="FG12" s="1145"/>
      <c r="FH12" s="1145"/>
      <c r="FI12" s="1145"/>
      <c r="FJ12" s="1145"/>
      <c r="FK12" s="1145"/>
      <c r="FL12" s="1145"/>
      <c r="FM12" s="1145"/>
      <c r="FN12" s="1145"/>
      <c r="FO12" s="1145"/>
      <c r="FP12" s="1145"/>
      <c r="FQ12" s="1145"/>
      <c r="FR12" s="1145"/>
      <c r="FS12" s="1145"/>
      <c r="FT12" s="1145"/>
      <c r="FU12" s="1145"/>
      <c r="FV12" s="1145"/>
      <c r="FW12" s="1145"/>
      <c r="FX12" s="1145"/>
      <c r="FY12" s="1145"/>
      <c r="FZ12" s="1145"/>
      <c r="GA12" s="1145"/>
      <c r="GB12" s="1145"/>
      <c r="GC12" s="1145"/>
      <c r="GD12" s="1145"/>
      <c r="GE12" s="1145"/>
      <c r="GF12" s="1145"/>
      <c r="GG12" s="1145"/>
      <c r="GH12" s="1145"/>
      <c r="GI12" s="1145"/>
      <c r="GJ12" s="1145"/>
      <c r="GK12" s="1145"/>
      <c r="GL12" s="1145"/>
      <c r="GM12" s="1145"/>
      <c r="GN12" s="1145"/>
      <c r="GO12" s="1145"/>
      <c r="GP12" s="1145"/>
      <c r="GQ12" s="1145"/>
      <c r="GR12" s="1145"/>
      <c r="GS12" s="1145"/>
      <c r="GT12" s="1145"/>
      <c r="GU12" s="1145"/>
      <c r="GV12" s="1145"/>
      <c r="GW12" s="1145"/>
      <c r="GX12" s="1145"/>
      <c r="GY12" s="1145"/>
      <c r="GZ12" s="1145"/>
      <c r="HA12" s="1145"/>
      <c r="HB12" s="1145"/>
      <c r="HC12" s="1145"/>
      <c r="HD12" s="1145"/>
      <c r="HE12" s="1145"/>
      <c r="HF12" s="1145"/>
      <c r="HG12" s="1145"/>
      <c r="HH12" s="1145"/>
      <c r="HI12" s="1145"/>
      <c r="HJ12" s="1145"/>
      <c r="HK12" s="1145"/>
      <c r="HL12" s="1145"/>
      <c r="HM12" s="1145"/>
      <c r="HN12" s="1145"/>
      <c r="HO12" s="1145"/>
      <c r="HP12" s="1145"/>
      <c r="HQ12" s="1145"/>
      <c r="HR12" s="1145"/>
      <c r="HS12" s="1145"/>
      <c r="HT12" s="1145"/>
      <c r="HU12" s="1145"/>
      <c r="HV12" s="1145"/>
      <c r="HW12" s="1145"/>
      <c r="HX12" s="1145"/>
      <c r="HY12" s="1145"/>
      <c r="HZ12" s="1145"/>
      <c r="IA12" s="1145"/>
      <c r="IB12" s="1145"/>
      <c r="IC12" s="1145"/>
      <c r="ID12" s="1145"/>
      <c r="IE12" s="1145"/>
      <c r="IF12" s="1145"/>
      <c r="IG12" s="1145"/>
      <c r="IH12" s="1145"/>
      <c r="II12" s="1145"/>
      <c r="IJ12" s="1145"/>
      <c r="IK12" s="1145"/>
      <c r="IL12" s="1145"/>
      <c r="IM12" s="1145"/>
      <c r="IN12" s="1145"/>
      <c r="IO12" s="1145"/>
      <c r="IP12" s="1145"/>
      <c r="IQ12" s="1145"/>
      <c r="IR12" s="1145"/>
      <c r="IS12" s="1145"/>
      <c r="IT12" s="1145"/>
      <c r="IU12" s="1145"/>
      <c r="IV12" s="1145"/>
    </row>
    <row r="13" spans="1:257" ht="31.2">
      <c r="A13" s="1150"/>
      <c r="B13" s="1151" t="s">
        <v>964</v>
      </c>
      <c r="C13" s="1152">
        <v>44795</v>
      </c>
      <c r="D13" s="1153">
        <v>3.65</v>
      </c>
      <c r="E13" s="1153">
        <f t="shared" ref="E13:E21" si="0">D13</f>
        <v>3.65</v>
      </c>
      <c r="F13" s="1153">
        <f t="shared" ref="F13:F21" si="1">D13</f>
        <v>3.65</v>
      </c>
      <c r="G13" s="1153">
        <f t="shared" ref="G13:G21" si="2">D13</f>
        <v>3.65</v>
      </c>
      <c r="H13" s="1153">
        <v>4.3</v>
      </c>
      <c r="I13" s="1153"/>
      <c r="J13" s="1153"/>
      <c r="K13" s="1150"/>
      <c r="L13" s="1151" t="s">
        <v>964</v>
      </c>
      <c r="M13" s="1154">
        <v>42301</v>
      </c>
      <c r="N13" s="1153">
        <v>0.35</v>
      </c>
      <c r="O13" s="1153">
        <v>1.1000000000000001</v>
      </c>
      <c r="P13" s="1153">
        <v>1.3</v>
      </c>
      <c r="Q13" s="1153">
        <v>1.5</v>
      </c>
      <c r="R13" s="1153">
        <v>2.1</v>
      </c>
      <c r="S13" s="1153">
        <v>2.75</v>
      </c>
      <c r="T13" s="1153"/>
      <c r="U13" s="1153"/>
      <c r="V13" s="1153"/>
      <c r="W13" s="1153"/>
      <c r="X13" s="1153"/>
      <c r="Y13" s="1153"/>
      <c r="Z13" s="1153"/>
      <c r="AA13" s="1155"/>
      <c r="AB13" s="1155"/>
      <c r="AC13" s="1155"/>
      <c r="AD13" s="1155"/>
      <c r="AE13" s="1155"/>
      <c r="AF13" s="1155"/>
      <c r="AG13" s="1155"/>
      <c r="AH13" s="1155"/>
      <c r="AI13" s="1155"/>
      <c r="AJ13" s="1155"/>
      <c r="AK13" s="1155"/>
      <c r="AL13" s="1155"/>
      <c r="AM13" s="1155"/>
      <c r="AN13" s="1155"/>
      <c r="AO13" s="1155"/>
      <c r="AP13" s="1155"/>
      <c r="AQ13" s="1155"/>
      <c r="AR13" s="1155"/>
      <c r="AS13" s="1155"/>
      <c r="AT13" s="1155"/>
      <c r="AU13" s="1155"/>
      <c r="AV13" s="1155"/>
      <c r="AW13" s="1155"/>
      <c r="AX13" s="1155"/>
      <c r="AY13" s="1155"/>
      <c r="AZ13" s="1155"/>
      <c r="BA13" s="1155"/>
      <c r="BB13" s="1155"/>
      <c r="BC13" s="1155"/>
      <c r="BD13" s="1155"/>
      <c r="BE13" s="1155"/>
      <c r="BF13" s="1155"/>
      <c r="BG13" s="1155"/>
      <c r="BH13" s="1155"/>
      <c r="BI13" s="1155"/>
      <c r="BJ13" s="1155"/>
      <c r="BK13" s="1155"/>
      <c r="BL13" s="1155"/>
      <c r="BM13" s="1155"/>
      <c r="BN13" s="1155"/>
      <c r="BO13" s="1155"/>
      <c r="BP13" s="1155"/>
      <c r="BQ13" s="1155"/>
      <c r="BR13" s="1155"/>
      <c r="BS13" s="1155"/>
      <c r="BT13" s="1155"/>
      <c r="BU13" s="1155"/>
      <c r="BV13" s="1155"/>
      <c r="BW13" s="1155"/>
      <c r="BX13" s="1155"/>
      <c r="BY13" s="1155"/>
      <c r="BZ13" s="1155"/>
      <c r="CA13" s="1155"/>
      <c r="CB13" s="1155"/>
      <c r="CC13" s="1155"/>
      <c r="CD13" s="1155"/>
      <c r="CE13" s="1155"/>
      <c r="CF13" s="1155"/>
      <c r="CG13" s="1155"/>
      <c r="CH13" s="1155"/>
      <c r="CI13" s="1155"/>
      <c r="CJ13" s="1155"/>
      <c r="CK13" s="1155"/>
      <c r="CL13" s="1155"/>
      <c r="CM13" s="1155"/>
      <c r="CN13" s="1155"/>
      <c r="CO13" s="1155"/>
      <c r="CP13" s="1155"/>
      <c r="CQ13" s="1155"/>
      <c r="CR13" s="1155"/>
      <c r="CS13" s="1155"/>
      <c r="CT13" s="1155"/>
      <c r="CU13" s="1155"/>
      <c r="CV13" s="1155"/>
      <c r="CW13" s="1155"/>
      <c r="CX13" s="1155"/>
      <c r="CY13" s="1155"/>
      <c r="CZ13" s="1155"/>
      <c r="DA13" s="1155"/>
      <c r="DB13" s="1155"/>
      <c r="DC13" s="1155"/>
      <c r="DD13" s="1155"/>
      <c r="DE13" s="1155"/>
      <c r="DF13" s="1155"/>
      <c r="DG13" s="1155"/>
      <c r="DH13" s="1155"/>
      <c r="DI13" s="1155"/>
      <c r="DJ13" s="1155"/>
      <c r="DK13" s="1155"/>
      <c r="DL13" s="1155"/>
      <c r="DM13" s="1155"/>
      <c r="DN13" s="1155"/>
      <c r="DO13" s="1155"/>
      <c r="DP13" s="1155"/>
      <c r="DQ13" s="1155"/>
      <c r="DR13" s="1155"/>
      <c r="DS13" s="1155"/>
      <c r="DT13" s="1155"/>
      <c r="DU13" s="1155"/>
      <c r="DV13" s="1155"/>
      <c r="DW13" s="1155"/>
      <c r="DX13" s="1155"/>
      <c r="DY13" s="1155"/>
      <c r="DZ13" s="1155"/>
      <c r="EA13" s="1155"/>
      <c r="EB13" s="1155"/>
      <c r="EC13" s="1155"/>
      <c r="ED13" s="1155"/>
      <c r="EE13" s="1155"/>
      <c r="EF13" s="1155"/>
      <c r="EG13" s="1155"/>
      <c r="EH13" s="1155"/>
      <c r="EI13" s="1155"/>
      <c r="EJ13" s="1155"/>
      <c r="EK13" s="1155"/>
      <c r="EL13" s="1155"/>
      <c r="EM13" s="1155"/>
      <c r="EN13" s="1155"/>
      <c r="EO13" s="1155"/>
      <c r="EP13" s="1155"/>
      <c r="EQ13" s="1155"/>
      <c r="ER13" s="1155"/>
      <c r="ES13" s="1155"/>
      <c r="ET13" s="1155"/>
      <c r="EU13" s="1155"/>
      <c r="EV13" s="1155"/>
      <c r="EW13" s="1155"/>
      <c r="EX13" s="1155"/>
      <c r="EY13" s="1155"/>
      <c r="EZ13" s="1155"/>
      <c r="FA13" s="1155"/>
      <c r="FB13" s="1155"/>
      <c r="FC13" s="1155"/>
      <c r="FD13" s="1155"/>
      <c r="FE13" s="1155"/>
      <c r="FF13" s="1155"/>
      <c r="FG13" s="1155"/>
      <c r="FH13" s="1155"/>
      <c r="FI13" s="1155"/>
      <c r="FJ13" s="1155"/>
      <c r="FK13" s="1155"/>
      <c r="FL13" s="1155"/>
      <c r="FM13" s="1155"/>
      <c r="FN13" s="1155"/>
      <c r="FO13" s="1155"/>
      <c r="FP13" s="1155"/>
      <c r="FQ13" s="1155"/>
      <c r="FR13" s="1155"/>
      <c r="FS13" s="1155"/>
      <c r="FT13" s="1155"/>
      <c r="FU13" s="1155"/>
      <c r="FV13" s="1155"/>
      <c r="FW13" s="1155"/>
      <c r="FX13" s="1155"/>
      <c r="FY13" s="1155"/>
      <c r="FZ13" s="1155"/>
      <c r="GA13" s="1155"/>
      <c r="GB13" s="1155"/>
      <c r="GC13" s="1155"/>
      <c r="GD13" s="1155"/>
      <c r="GE13" s="1155"/>
      <c r="GF13" s="1155"/>
      <c r="GG13" s="1155"/>
      <c r="GH13" s="1155"/>
      <c r="GI13" s="1155"/>
      <c r="GJ13" s="1155"/>
      <c r="GK13" s="1155"/>
      <c r="GL13" s="1155"/>
      <c r="GM13" s="1155"/>
      <c r="GN13" s="1155"/>
      <c r="GO13" s="1155"/>
      <c r="GP13" s="1155"/>
      <c r="GQ13" s="1155"/>
      <c r="GR13" s="1155"/>
      <c r="GS13" s="1155"/>
      <c r="GT13" s="1155"/>
      <c r="GU13" s="1155"/>
      <c r="GV13" s="1155"/>
      <c r="GW13" s="1155"/>
      <c r="GX13" s="1155"/>
      <c r="GY13" s="1155"/>
      <c r="GZ13" s="1155"/>
      <c r="HA13" s="1155"/>
      <c r="HB13" s="1155"/>
      <c r="HC13" s="1155"/>
      <c r="HD13" s="1155"/>
      <c r="HE13" s="1155"/>
      <c r="HF13" s="1155"/>
      <c r="HG13" s="1155"/>
      <c r="HH13" s="1155"/>
      <c r="HI13" s="1155"/>
      <c r="HJ13" s="1155"/>
      <c r="HK13" s="1155"/>
      <c r="HL13" s="1155"/>
      <c r="HM13" s="1155"/>
      <c r="HN13" s="1155"/>
      <c r="HO13" s="1155"/>
      <c r="HP13" s="1155"/>
      <c r="HQ13" s="1155"/>
      <c r="HR13" s="1155"/>
      <c r="HS13" s="1155"/>
      <c r="HT13" s="1155"/>
      <c r="HU13" s="1155"/>
      <c r="HV13" s="1155"/>
      <c r="HW13" s="1155"/>
      <c r="HX13" s="1155"/>
      <c r="HY13" s="1155"/>
      <c r="HZ13" s="1155"/>
      <c r="IA13" s="1155"/>
      <c r="IB13" s="1155"/>
      <c r="IC13" s="1155"/>
      <c r="ID13" s="1155"/>
      <c r="IE13" s="1155"/>
      <c r="IF13" s="1155"/>
      <c r="IG13" s="1155"/>
      <c r="IH13" s="1155"/>
      <c r="II13" s="1155"/>
      <c r="IJ13" s="1155"/>
      <c r="IK13" s="1155"/>
      <c r="IL13" s="1155"/>
      <c r="IM13" s="1155"/>
      <c r="IN13" s="1155"/>
      <c r="IO13" s="1155"/>
      <c r="IP13" s="1155"/>
      <c r="IQ13" s="1155"/>
      <c r="IR13" s="1155"/>
      <c r="IS13" s="1155"/>
      <c r="IT13" s="1155"/>
      <c r="IU13" s="1155"/>
      <c r="IV13" s="1155"/>
      <c r="IW13" s="1156"/>
    </row>
    <row r="14" spans="1:257" ht="15.6">
      <c r="A14" s="1150"/>
      <c r="B14" s="1151"/>
      <c r="C14" s="1158">
        <v>44701</v>
      </c>
      <c r="D14" s="1157">
        <v>3.7</v>
      </c>
      <c r="E14" s="1157">
        <v>3.7</v>
      </c>
      <c r="F14" s="1157">
        <v>3.7</v>
      </c>
      <c r="G14" s="1157">
        <v>3.7</v>
      </c>
      <c r="H14" s="1157">
        <v>4.45</v>
      </c>
      <c r="I14" s="1153"/>
      <c r="J14" s="1153"/>
      <c r="K14" s="1150"/>
      <c r="L14" s="1157"/>
      <c r="M14" s="1158">
        <v>42242</v>
      </c>
      <c r="N14" s="1157">
        <v>0.35</v>
      </c>
      <c r="O14" s="1157">
        <v>1.35</v>
      </c>
      <c r="P14" s="1157">
        <v>1.55</v>
      </c>
      <c r="Q14" s="1157">
        <v>1.75</v>
      </c>
      <c r="R14" s="1157">
        <v>2.35</v>
      </c>
      <c r="S14" s="1157">
        <v>3</v>
      </c>
      <c r="T14" s="1157"/>
      <c r="U14" s="1157"/>
      <c r="V14" s="1157"/>
      <c r="W14" s="1157"/>
      <c r="X14" s="1157"/>
      <c r="Y14" s="1157"/>
      <c r="Z14" s="1157"/>
    </row>
    <row r="15" spans="1:257" ht="15.6">
      <c r="A15" s="1150"/>
      <c r="B15" s="1151"/>
      <c r="C15" s="1158">
        <v>44581</v>
      </c>
      <c r="D15" s="1157">
        <v>3.7</v>
      </c>
      <c r="E15" s="1157">
        <f t="shared" ref="E15" si="3">D15</f>
        <v>3.7</v>
      </c>
      <c r="F15" s="1157">
        <f t="shared" ref="F15" si="4">D15</f>
        <v>3.7</v>
      </c>
      <c r="G15" s="1157">
        <f t="shared" ref="G15" si="5">D15</f>
        <v>3.7</v>
      </c>
      <c r="H15" s="1157">
        <v>4.5999999999999996</v>
      </c>
      <c r="I15" s="1153"/>
      <c r="J15" s="1153"/>
      <c r="K15" s="1150"/>
      <c r="L15" s="1157"/>
      <c r="M15" s="1158">
        <v>42183</v>
      </c>
      <c r="N15" s="1157">
        <v>0.35</v>
      </c>
      <c r="O15" s="1157">
        <v>1.6</v>
      </c>
      <c r="P15" s="1157">
        <v>1.8</v>
      </c>
      <c r="Q15" s="1157">
        <v>2</v>
      </c>
      <c r="R15" s="1157">
        <v>2.6</v>
      </c>
      <c r="S15" s="1157">
        <v>3.25</v>
      </c>
      <c r="T15" s="1157"/>
      <c r="U15" s="1157"/>
      <c r="V15" s="1157"/>
      <c r="W15" s="1157"/>
      <c r="X15" s="1157"/>
      <c r="Y15" s="1157"/>
      <c r="Z15" s="1157"/>
    </row>
    <row r="16" spans="1:257" ht="15.6">
      <c r="A16" s="1150"/>
      <c r="B16" s="1157"/>
      <c r="C16" s="1158">
        <v>44550</v>
      </c>
      <c r="D16" s="1157">
        <v>3.8</v>
      </c>
      <c r="E16" s="1157">
        <f t="shared" si="0"/>
        <v>3.8</v>
      </c>
      <c r="F16" s="1157">
        <f t="shared" ref="F16" si="6">D16</f>
        <v>3.8</v>
      </c>
      <c r="G16" s="1157">
        <f t="shared" ref="G16" si="7">D16</f>
        <v>3.8</v>
      </c>
      <c r="H16" s="1157">
        <v>4.6500000000000004</v>
      </c>
      <c r="I16" s="1153"/>
      <c r="J16" s="1153"/>
      <c r="L16" s="1157"/>
      <c r="M16" s="1158">
        <v>42135</v>
      </c>
      <c r="N16" s="1157">
        <v>0.35</v>
      </c>
      <c r="O16" s="1157">
        <v>1.85</v>
      </c>
      <c r="P16" s="1157">
        <v>2.0499999999999998</v>
      </c>
      <c r="Q16" s="1157">
        <v>2.25</v>
      </c>
      <c r="R16" s="1157">
        <v>2.85</v>
      </c>
      <c r="S16" s="1157">
        <v>3.5</v>
      </c>
      <c r="T16" s="1157"/>
      <c r="U16" s="1157"/>
      <c r="V16" s="1157"/>
      <c r="W16" s="1157"/>
      <c r="X16" s="1157"/>
      <c r="Y16" s="1157"/>
      <c r="Z16" s="1157"/>
    </row>
    <row r="17" spans="1:256">
      <c r="B17" s="1157"/>
      <c r="C17" s="1158">
        <v>43941</v>
      </c>
      <c r="D17" s="1157">
        <v>3.85</v>
      </c>
      <c r="E17" s="1157">
        <f t="shared" si="0"/>
        <v>3.85</v>
      </c>
      <c r="F17" s="1157">
        <f t="shared" si="1"/>
        <v>3.85</v>
      </c>
      <c r="G17" s="1157">
        <f t="shared" si="2"/>
        <v>3.85</v>
      </c>
      <c r="H17" s="1157">
        <v>4.6500000000000004</v>
      </c>
      <c r="I17" s="1157"/>
      <c r="J17" s="1157"/>
      <c r="L17" s="1157"/>
      <c r="M17" s="1158">
        <v>42064</v>
      </c>
      <c r="N17" s="1157">
        <v>0.35</v>
      </c>
      <c r="O17" s="1157">
        <v>2.1</v>
      </c>
      <c r="P17" s="1157">
        <v>2.2999999999999998</v>
      </c>
      <c r="Q17" s="1157">
        <v>2.5</v>
      </c>
      <c r="R17" s="1157">
        <v>3.1</v>
      </c>
      <c r="S17" s="1157">
        <v>3.75</v>
      </c>
      <c r="T17" s="1157">
        <v>4.5</v>
      </c>
      <c r="U17" s="1157">
        <v>2.35</v>
      </c>
      <c r="V17" s="1157">
        <v>2.5499999999999998</v>
      </c>
      <c r="W17" s="1157">
        <v>2.75</v>
      </c>
      <c r="X17" s="1157"/>
      <c r="Y17" s="1157">
        <v>0.8</v>
      </c>
      <c r="Z17" s="1157">
        <v>1.35</v>
      </c>
    </row>
    <row r="18" spans="1:256" s="2817" customFormat="1" ht="16.8">
      <c r="A18" s="1110"/>
      <c r="B18" s="1157"/>
      <c r="C18" s="1158">
        <v>43881</v>
      </c>
      <c r="D18" s="1157">
        <v>4.05</v>
      </c>
      <c r="E18" s="1157">
        <f t="shared" si="0"/>
        <v>4.05</v>
      </c>
      <c r="F18" s="1157">
        <f t="shared" si="1"/>
        <v>4.05</v>
      </c>
      <c r="G18" s="1157">
        <f t="shared" si="2"/>
        <v>4.05</v>
      </c>
      <c r="H18" s="1157">
        <v>4.75</v>
      </c>
      <c r="I18" s="1157"/>
      <c r="J18" s="1157"/>
      <c r="K18" s="1110"/>
      <c r="L18" s="1157"/>
      <c r="M18" s="1158">
        <v>41965</v>
      </c>
      <c r="N18" s="1157">
        <v>0.35</v>
      </c>
      <c r="O18" s="1157">
        <v>2.35</v>
      </c>
      <c r="P18" s="1157">
        <v>2.5499999999999998</v>
      </c>
      <c r="Q18" s="1157">
        <v>2.75</v>
      </c>
      <c r="R18" s="1157">
        <v>3.35</v>
      </c>
      <c r="S18" s="1157">
        <v>4</v>
      </c>
      <c r="T18" s="1157">
        <v>4.75</v>
      </c>
      <c r="U18" s="1159">
        <v>2.35</v>
      </c>
      <c r="V18" s="1159">
        <v>2.5499999999999998</v>
      </c>
      <c r="W18" s="1159">
        <v>2.75</v>
      </c>
      <c r="X18" s="1157"/>
      <c r="Y18" s="1159">
        <v>0.8</v>
      </c>
      <c r="Z18" s="1159">
        <v>1.35</v>
      </c>
      <c r="AA18" s="2816"/>
      <c r="AB18" s="2816"/>
      <c r="AC18" s="2816"/>
      <c r="AD18" s="2816"/>
      <c r="AE18" s="2816"/>
      <c r="AF18" s="2816"/>
      <c r="AG18" s="2816"/>
      <c r="AH18" s="2816"/>
      <c r="AI18" s="2816"/>
      <c r="AJ18" s="2816"/>
      <c r="AK18" s="2816"/>
      <c r="AL18" s="2816"/>
      <c r="AM18" s="2816"/>
      <c r="AN18" s="2816"/>
      <c r="AO18" s="2816"/>
      <c r="AP18" s="2816"/>
      <c r="AQ18" s="2816"/>
      <c r="AR18" s="2816"/>
      <c r="AS18" s="2816"/>
      <c r="AT18" s="2816"/>
      <c r="AU18" s="2816"/>
      <c r="AV18" s="2816"/>
      <c r="AW18" s="2816"/>
      <c r="AX18" s="2816"/>
      <c r="AY18" s="2816"/>
      <c r="AZ18" s="2816"/>
      <c r="BA18" s="2816"/>
      <c r="BB18" s="2816"/>
      <c r="BC18" s="2816"/>
      <c r="BD18" s="2816"/>
      <c r="BE18" s="2816"/>
      <c r="BF18" s="2816"/>
      <c r="BG18" s="2816"/>
      <c r="BH18" s="2816"/>
      <c r="BI18" s="2816"/>
      <c r="BJ18" s="2816"/>
      <c r="BK18" s="2816"/>
      <c r="BL18" s="2816"/>
      <c r="BM18" s="2816"/>
      <c r="BN18" s="2816"/>
      <c r="BO18" s="2816"/>
      <c r="BP18" s="2816"/>
      <c r="BQ18" s="2816"/>
      <c r="BR18" s="2816"/>
      <c r="BS18" s="2816"/>
      <c r="BT18" s="2816"/>
      <c r="BU18" s="2816"/>
      <c r="BV18" s="2816"/>
      <c r="BW18" s="2816"/>
      <c r="BX18" s="2816"/>
      <c r="BY18" s="2816"/>
      <c r="BZ18" s="2816"/>
      <c r="CA18" s="2816"/>
      <c r="CB18" s="2816"/>
      <c r="CC18" s="2816"/>
      <c r="CD18" s="2816"/>
      <c r="CE18" s="2816"/>
      <c r="CF18" s="2816"/>
      <c r="CG18" s="2816"/>
      <c r="CH18" s="2816"/>
      <c r="CI18" s="2816"/>
      <c r="CJ18" s="2816"/>
      <c r="CK18" s="2816"/>
      <c r="CL18" s="2816"/>
      <c r="CM18" s="2816"/>
      <c r="CN18" s="2816"/>
      <c r="CO18" s="2816"/>
      <c r="CP18" s="2816"/>
      <c r="CQ18" s="2816"/>
      <c r="CR18" s="2816"/>
      <c r="CS18" s="2816"/>
      <c r="CT18" s="2816"/>
      <c r="CU18" s="2816"/>
      <c r="CV18" s="2816"/>
      <c r="CW18" s="2816"/>
      <c r="CX18" s="2816"/>
      <c r="CY18" s="2816"/>
      <c r="CZ18" s="2816"/>
      <c r="DA18" s="2816"/>
      <c r="DB18" s="2816"/>
      <c r="DC18" s="2816"/>
      <c r="DD18" s="2816"/>
      <c r="DE18" s="2816"/>
      <c r="DF18" s="2816"/>
      <c r="DG18" s="2816"/>
      <c r="DH18" s="2816"/>
      <c r="DI18" s="2816"/>
      <c r="DJ18" s="2816"/>
      <c r="DK18" s="2816"/>
      <c r="DL18" s="2816"/>
      <c r="DM18" s="2816"/>
      <c r="DN18" s="2816"/>
      <c r="DO18" s="2816"/>
      <c r="DP18" s="2816"/>
      <c r="DQ18" s="2816"/>
      <c r="DR18" s="2816"/>
      <c r="DS18" s="2816"/>
      <c r="DT18" s="2816"/>
      <c r="DU18" s="2816"/>
      <c r="DV18" s="2816"/>
      <c r="DW18" s="2816"/>
      <c r="DX18" s="2816"/>
      <c r="DY18" s="2816"/>
      <c r="DZ18" s="2816"/>
      <c r="EA18" s="2816"/>
      <c r="EB18" s="2816"/>
      <c r="EC18" s="2816"/>
      <c r="ED18" s="2816"/>
      <c r="EE18" s="2816"/>
      <c r="EF18" s="2816"/>
      <c r="EG18" s="2816"/>
      <c r="EH18" s="2816"/>
      <c r="EI18" s="2816"/>
      <c r="EJ18" s="2816"/>
      <c r="EK18" s="2816"/>
      <c r="EL18" s="2816"/>
      <c r="EM18" s="2816"/>
      <c r="EN18" s="2816"/>
      <c r="EO18" s="2816"/>
      <c r="EP18" s="2816"/>
      <c r="EQ18" s="2816"/>
      <c r="ER18" s="2816"/>
      <c r="ES18" s="2816"/>
      <c r="ET18" s="2816"/>
      <c r="EU18" s="2816"/>
      <c r="EV18" s="2816"/>
      <c r="EW18" s="2816"/>
      <c r="EX18" s="2816"/>
      <c r="EY18" s="2816"/>
      <c r="EZ18" s="2816"/>
      <c r="FA18" s="2816"/>
      <c r="FB18" s="2816"/>
      <c r="FC18" s="2816"/>
      <c r="FD18" s="2816"/>
      <c r="FE18" s="2816"/>
      <c r="FF18" s="2816"/>
      <c r="FG18" s="2816"/>
      <c r="FH18" s="2816"/>
      <c r="FI18" s="2816"/>
      <c r="FJ18" s="2816"/>
      <c r="FK18" s="2816"/>
      <c r="FL18" s="2816"/>
      <c r="FM18" s="2816"/>
      <c r="FN18" s="2816"/>
      <c r="FO18" s="2816"/>
      <c r="FP18" s="2816"/>
      <c r="FQ18" s="2816"/>
      <c r="FR18" s="2816"/>
      <c r="FS18" s="2816"/>
      <c r="FT18" s="2816"/>
      <c r="FU18" s="2816"/>
      <c r="FV18" s="2816"/>
      <c r="FW18" s="2816"/>
      <c r="FX18" s="2816"/>
      <c r="FY18" s="2816"/>
      <c r="FZ18" s="2816"/>
      <c r="GA18" s="2816"/>
      <c r="GB18" s="2816"/>
      <c r="GC18" s="2816"/>
      <c r="GD18" s="2816"/>
      <c r="GE18" s="2816"/>
      <c r="GF18" s="2816"/>
      <c r="GG18" s="2816"/>
      <c r="GH18" s="2816"/>
      <c r="GI18" s="2816"/>
      <c r="GJ18" s="2816"/>
      <c r="GK18" s="2816"/>
      <c r="GL18" s="2816"/>
      <c r="GM18" s="2816"/>
      <c r="GN18" s="2816"/>
      <c r="GO18" s="2816"/>
      <c r="GP18" s="2816"/>
      <c r="GQ18" s="2816"/>
      <c r="GR18" s="2816"/>
      <c r="GS18" s="2816"/>
      <c r="GT18" s="2816"/>
      <c r="GU18" s="2816"/>
      <c r="GV18" s="2816"/>
      <c r="GW18" s="2816"/>
      <c r="GX18" s="2816"/>
      <c r="GY18" s="2816"/>
      <c r="GZ18" s="2816"/>
      <c r="HA18" s="2816"/>
      <c r="HB18" s="2816"/>
      <c r="HC18" s="2816"/>
      <c r="HD18" s="2816"/>
      <c r="HE18" s="2816"/>
      <c r="HF18" s="2816"/>
      <c r="HG18" s="2816"/>
      <c r="HH18" s="2816"/>
      <c r="HI18" s="2816"/>
      <c r="HJ18" s="2816"/>
      <c r="HK18" s="2816"/>
      <c r="HL18" s="2816"/>
      <c r="HM18" s="2816"/>
      <c r="HN18" s="2816"/>
      <c r="HO18" s="2816"/>
      <c r="HP18" s="2816"/>
      <c r="HQ18" s="2816"/>
      <c r="HR18" s="2816"/>
      <c r="HS18" s="2816"/>
      <c r="HT18" s="2816"/>
      <c r="HU18" s="2816"/>
      <c r="HV18" s="2816"/>
      <c r="HW18" s="2816"/>
      <c r="HX18" s="2816"/>
      <c r="HY18" s="2816"/>
      <c r="HZ18" s="2816"/>
      <c r="IA18" s="2816"/>
      <c r="IB18" s="2816"/>
      <c r="IC18" s="2816"/>
      <c r="ID18" s="2816"/>
      <c r="IE18" s="2816"/>
      <c r="IF18" s="2816"/>
      <c r="IG18" s="2816"/>
      <c r="IH18" s="2816"/>
      <c r="II18" s="2816"/>
      <c r="IJ18" s="2816"/>
      <c r="IK18" s="2816"/>
      <c r="IL18" s="2816"/>
      <c r="IM18" s="2816"/>
      <c r="IN18" s="2816"/>
      <c r="IO18" s="2816"/>
      <c r="IP18" s="2816"/>
      <c r="IQ18" s="2816"/>
      <c r="IR18" s="2816"/>
      <c r="IS18" s="2816"/>
      <c r="IT18" s="2816"/>
      <c r="IU18" s="2816"/>
      <c r="IV18" s="2816"/>
    </row>
    <row r="19" spans="1:256">
      <c r="B19" s="1157"/>
      <c r="C19" s="1158">
        <v>43789</v>
      </c>
      <c r="D19" s="1157">
        <v>4.1500000000000004</v>
      </c>
      <c r="E19" s="1157">
        <f t="shared" si="0"/>
        <v>4.1500000000000004</v>
      </c>
      <c r="F19" s="1157">
        <f t="shared" si="1"/>
        <v>4.1500000000000004</v>
      </c>
      <c r="G19" s="1157">
        <f t="shared" si="2"/>
        <v>4.1500000000000004</v>
      </c>
      <c r="H19" s="1157">
        <v>4.8</v>
      </c>
      <c r="I19" s="1157"/>
      <c r="J19" s="1157"/>
      <c r="L19" s="1157"/>
      <c r="M19" s="1158">
        <v>41096</v>
      </c>
      <c r="N19" s="1157">
        <v>0.35</v>
      </c>
      <c r="O19" s="1157">
        <v>2.6</v>
      </c>
      <c r="P19" s="1157">
        <v>2.8</v>
      </c>
      <c r="Q19" s="1157">
        <v>3</v>
      </c>
      <c r="R19" s="1157">
        <v>3.75</v>
      </c>
      <c r="S19" s="1157">
        <v>4.25</v>
      </c>
      <c r="T19" s="1157">
        <v>4.75</v>
      </c>
      <c r="U19" s="1157">
        <v>2.85</v>
      </c>
      <c r="V19" s="1157">
        <v>2.9</v>
      </c>
      <c r="W19" s="1157">
        <v>3</v>
      </c>
      <c r="X19" s="1157">
        <v>1.1499999999999999</v>
      </c>
      <c r="Y19" s="1157">
        <v>0.8</v>
      </c>
      <c r="Z19" s="1157">
        <v>1.35</v>
      </c>
    </row>
    <row r="20" spans="1:256">
      <c r="B20" s="1157"/>
      <c r="C20" s="1158">
        <v>43728</v>
      </c>
      <c r="D20" s="1157">
        <v>4.2</v>
      </c>
      <c r="E20" s="1157">
        <f t="shared" si="0"/>
        <v>4.2</v>
      </c>
      <c r="F20" s="1157">
        <f t="shared" si="1"/>
        <v>4.2</v>
      </c>
      <c r="G20" s="1157">
        <f t="shared" si="2"/>
        <v>4.2</v>
      </c>
      <c r="H20" s="1157">
        <v>4.8499999999999996</v>
      </c>
      <c r="I20" s="1157"/>
      <c r="J20" s="1157"/>
      <c r="K20" s="2814"/>
      <c r="L20" s="1157"/>
      <c r="M20" s="1158">
        <v>41068</v>
      </c>
      <c r="N20" s="1157">
        <v>0.4</v>
      </c>
      <c r="O20" s="1157">
        <v>2.85</v>
      </c>
      <c r="P20" s="1157">
        <v>3.05</v>
      </c>
      <c r="Q20" s="1157">
        <v>3.25</v>
      </c>
      <c r="R20" s="1157">
        <v>4.0999999999999996</v>
      </c>
      <c r="S20" s="1157">
        <v>4.6500000000000004</v>
      </c>
      <c r="T20" s="1157">
        <v>5.0999999999999996</v>
      </c>
      <c r="U20" s="1157">
        <v>3.1</v>
      </c>
      <c r="V20" s="1157">
        <v>3.15</v>
      </c>
      <c r="W20" s="1157">
        <v>3.25</v>
      </c>
      <c r="X20" s="1157">
        <v>1.31</v>
      </c>
      <c r="Y20" s="1157">
        <v>0.94</v>
      </c>
      <c r="Z20" s="1157">
        <v>1.49</v>
      </c>
    </row>
    <row r="21" spans="1:256" ht="15.6">
      <c r="A21" s="2814"/>
      <c r="B21" s="1151" t="s">
        <v>2642</v>
      </c>
      <c r="C21" s="1160">
        <v>43697</v>
      </c>
      <c r="D21" s="2815">
        <v>4.25</v>
      </c>
      <c r="E21" s="2815">
        <f t="shared" si="0"/>
        <v>4.25</v>
      </c>
      <c r="F21" s="2815">
        <f t="shared" si="1"/>
        <v>4.25</v>
      </c>
      <c r="G21" s="2815">
        <f t="shared" si="2"/>
        <v>4.25</v>
      </c>
      <c r="H21" s="2815">
        <v>4.8499999999999996</v>
      </c>
      <c r="I21" s="2815"/>
      <c r="J21" s="2815"/>
      <c r="L21" s="1157"/>
      <c r="M21" s="1158">
        <v>40731</v>
      </c>
      <c r="N21" s="1157">
        <v>0.5</v>
      </c>
      <c r="O21" s="1157">
        <v>3.1</v>
      </c>
      <c r="P21" s="1157">
        <v>3.3</v>
      </c>
      <c r="Q21" s="1157">
        <v>3.5</v>
      </c>
      <c r="R21" s="1157">
        <v>4.4000000000000004</v>
      </c>
      <c r="S21" s="1157">
        <v>5</v>
      </c>
      <c r="T21" s="1157">
        <v>5.5</v>
      </c>
      <c r="U21" s="1157">
        <v>3.1</v>
      </c>
      <c r="V21" s="1157">
        <v>3.3</v>
      </c>
      <c r="W21" s="1157">
        <v>3.5</v>
      </c>
      <c r="X21" s="1157">
        <v>1.31</v>
      </c>
      <c r="Y21" s="1157">
        <v>0.95</v>
      </c>
      <c r="Z21" s="1157">
        <v>1.49</v>
      </c>
    </row>
    <row r="22" spans="1:256">
      <c r="B22" s="1157"/>
      <c r="C22" s="1158">
        <v>42301</v>
      </c>
      <c r="D22" s="1157">
        <v>4.3499999999999996</v>
      </c>
      <c r="E22" s="1157">
        <v>4.3499999999999996</v>
      </c>
      <c r="F22" s="1157">
        <v>4.75</v>
      </c>
      <c r="G22" s="1157">
        <v>4.75</v>
      </c>
      <c r="H22" s="1157">
        <v>4.9000000000000004</v>
      </c>
      <c r="I22" s="1157">
        <v>2.75</v>
      </c>
      <c r="J22" s="1157">
        <v>3.25</v>
      </c>
      <c r="L22" s="1157"/>
      <c r="M22" s="1158">
        <v>40639</v>
      </c>
      <c r="N22" s="1157">
        <v>0.5</v>
      </c>
      <c r="O22" s="1157">
        <v>2.85</v>
      </c>
      <c r="P22" s="1157">
        <v>3.05</v>
      </c>
      <c r="Q22" s="1157">
        <v>3.25</v>
      </c>
      <c r="R22" s="1157">
        <v>4.1500000000000004</v>
      </c>
      <c r="S22" s="1157">
        <v>4.75</v>
      </c>
      <c r="T22" s="1157">
        <v>5.25</v>
      </c>
      <c r="U22" s="1157">
        <v>2.85</v>
      </c>
      <c r="V22" s="1157">
        <v>3.05</v>
      </c>
      <c r="W22" s="1157">
        <v>3.25</v>
      </c>
      <c r="X22" s="1157">
        <v>1.31</v>
      </c>
      <c r="Y22" s="1157">
        <v>0.95</v>
      </c>
      <c r="Z22" s="1157">
        <v>1.49</v>
      </c>
    </row>
    <row r="23" spans="1:256">
      <c r="B23" s="1157"/>
      <c r="C23" s="1158">
        <v>42242</v>
      </c>
      <c r="D23" s="1157">
        <v>4.5999999999999996</v>
      </c>
      <c r="E23" s="1157">
        <v>4.5999999999999996</v>
      </c>
      <c r="F23" s="1157">
        <v>5</v>
      </c>
      <c r="G23" s="1157">
        <v>5</v>
      </c>
      <c r="H23" s="1157">
        <v>5.15</v>
      </c>
      <c r="I23" s="1157">
        <v>2.75</v>
      </c>
      <c r="J23" s="1157">
        <v>3.25</v>
      </c>
      <c r="L23" s="1157"/>
      <c r="M23" s="1158">
        <v>40583</v>
      </c>
      <c r="N23" s="1157">
        <v>0.4</v>
      </c>
      <c r="O23" s="1157">
        <v>2.6</v>
      </c>
      <c r="P23" s="1157">
        <v>2.8</v>
      </c>
      <c r="Q23" s="1157">
        <v>3</v>
      </c>
      <c r="R23" s="1157">
        <v>3.9</v>
      </c>
      <c r="S23" s="1157">
        <v>4.5</v>
      </c>
      <c r="T23" s="1157">
        <v>5</v>
      </c>
      <c r="U23" s="1157">
        <v>2.6</v>
      </c>
      <c r="V23" s="1157">
        <v>2.8</v>
      </c>
      <c r="W23" s="1157">
        <v>3</v>
      </c>
      <c r="X23" s="1157">
        <v>1.21</v>
      </c>
      <c r="Y23" s="1157">
        <v>0.85</v>
      </c>
      <c r="Z23" s="1157">
        <v>1.39</v>
      </c>
    </row>
    <row r="24" spans="1:256">
      <c r="B24" s="1157"/>
      <c r="C24" s="1158">
        <v>42183</v>
      </c>
      <c r="D24" s="1157">
        <v>4.8499999999999996</v>
      </c>
      <c r="E24" s="1157">
        <v>4.8499999999999996</v>
      </c>
      <c r="F24" s="1157">
        <v>5.25</v>
      </c>
      <c r="G24" s="1157">
        <v>5.25</v>
      </c>
      <c r="H24" s="1157">
        <v>5.4</v>
      </c>
      <c r="I24" s="1157">
        <v>3</v>
      </c>
      <c r="J24" s="1157">
        <v>3.5</v>
      </c>
      <c r="L24" s="1157"/>
      <c r="M24" s="1158">
        <v>40538</v>
      </c>
      <c r="N24" s="1157">
        <v>0.36</v>
      </c>
      <c r="O24" s="1157">
        <v>2.25</v>
      </c>
      <c r="P24" s="1157">
        <v>2.5</v>
      </c>
      <c r="Q24" s="1157">
        <v>2.75</v>
      </c>
      <c r="R24" s="1157">
        <v>3.55</v>
      </c>
      <c r="S24" s="1157">
        <v>4.1500000000000004</v>
      </c>
      <c r="T24" s="1157">
        <v>4.55</v>
      </c>
      <c r="U24" s="1157">
        <v>2.16</v>
      </c>
      <c r="V24" s="1157">
        <v>2.5</v>
      </c>
      <c r="W24" s="1157">
        <v>2.85</v>
      </c>
      <c r="X24" s="1157">
        <v>1.17</v>
      </c>
      <c r="Y24" s="1157">
        <v>0.81</v>
      </c>
      <c r="Z24" s="1157">
        <v>1.35</v>
      </c>
    </row>
    <row r="25" spans="1:256">
      <c r="B25" s="1157"/>
      <c r="C25" s="1158">
        <v>42135</v>
      </c>
      <c r="D25" s="1157">
        <v>5.0999999999999996</v>
      </c>
      <c r="E25" s="1157">
        <v>5.0999999999999996</v>
      </c>
      <c r="F25" s="1157">
        <v>5.5</v>
      </c>
      <c r="G25" s="1157">
        <v>5.5</v>
      </c>
      <c r="H25" s="1157">
        <v>5.65</v>
      </c>
      <c r="I25" s="1157">
        <v>3.25</v>
      </c>
      <c r="J25" s="1157">
        <v>3.75</v>
      </c>
      <c r="L25" s="1157"/>
      <c r="M25" s="1158">
        <v>40471</v>
      </c>
      <c r="N25" s="1157">
        <v>0.36</v>
      </c>
      <c r="O25" s="1157">
        <v>1.91</v>
      </c>
      <c r="P25" s="1157">
        <v>2.2000000000000002</v>
      </c>
      <c r="Q25" s="1157">
        <v>2.5</v>
      </c>
      <c r="R25" s="1157">
        <v>3.25</v>
      </c>
      <c r="S25" s="1157">
        <v>3.85</v>
      </c>
      <c r="T25" s="1157">
        <v>4.2</v>
      </c>
      <c r="U25" s="1157">
        <v>1.91</v>
      </c>
      <c r="V25" s="1157">
        <v>2.2000000000000002</v>
      </c>
      <c r="W25" s="1157">
        <v>2.5</v>
      </c>
      <c r="X25" s="1157">
        <v>1.17</v>
      </c>
      <c r="Y25" s="1157">
        <v>0.81</v>
      </c>
      <c r="Z25" s="1157">
        <v>1.35</v>
      </c>
    </row>
    <row r="26" spans="1:256">
      <c r="B26" s="1157"/>
      <c r="C26" s="1158">
        <v>42064</v>
      </c>
      <c r="D26" s="1157">
        <v>5.35</v>
      </c>
      <c r="E26" s="1157">
        <v>5.35</v>
      </c>
      <c r="F26" s="1157">
        <v>5.75</v>
      </c>
      <c r="G26" s="1157">
        <v>5.75</v>
      </c>
      <c r="H26" s="1157">
        <v>5.9</v>
      </c>
      <c r="I26" s="1157"/>
      <c r="J26" s="1157"/>
      <c r="L26" s="1157"/>
      <c r="M26" s="1158">
        <v>39805</v>
      </c>
      <c r="N26" s="1157">
        <v>0.36</v>
      </c>
      <c r="O26" s="1157">
        <v>1.71</v>
      </c>
      <c r="P26" s="1157">
        <v>1.98</v>
      </c>
      <c r="Q26" s="1157">
        <v>2.25</v>
      </c>
      <c r="R26" s="1157">
        <v>2.79</v>
      </c>
      <c r="S26" s="1157">
        <v>3.33</v>
      </c>
      <c r="T26" s="1157">
        <v>3.6</v>
      </c>
      <c r="U26" s="1157">
        <v>1.71</v>
      </c>
      <c r="V26" s="1157">
        <v>1.98</v>
      </c>
      <c r="W26" s="1157">
        <v>2.25</v>
      </c>
      <c r="X26" s="1157">
        <v>1.17</v>
      </c>
      <c r="Y26" s="1157">
        <v>0.81</v>
      </c>
      <c r="Z26" s="1157">
        <v>1.35</v>
      </c>
    </row>
    <row r="27" spans="1:256">
      <c r="B27" s="1157"/>
      <c r="C27" s="1158">
        <v>41965</v>
      </c>
      <c r="D27" s="1157">
        <v>5.6</v>
      </c>
      <c r="E27" s="1157">
        <v>5.6</v>
      </c>
      <c r="F27" s="1157">
        <v>6</v>
      </c>
      <c r="G27" s="1157">
        <v>6</v>
      </c>
      <c r="H27" s="1157">
        <v>6.15</v>
      </c>
      <c r="I27" s="1157"/>
      <c r="J27" s="1157"/>
      <c r="L27" s="1157"/>
      <c r="M27" s="1158">
        <v>39779</v>
      </c>
      <c r="N27" s="1157">
        <v>0.36</v>
      </c>
      <c r="O27" s="1157">
        <v>1.98</v>
      </c>
      <c r="P27" s="1157">
        <v>2.25</v>
      </c>
      <c r="Q27" s="1157">
        <v>2.52</v>
      </c>
      <c r="R27" s="1157">
        <v>3.06</v>
      </c>
      <c r="S27" s="1157">
        <v>3.6</v>
      </c>
      <c r="T27" s="1157">
        <v>3.87</v>
      </c>
      <c r="U27" s="1157">
        <v>1.98</v>
      </c>
      <c r="V27" s="1157">
        <v>2.25</v>
      </c>
      <c r="W27" s="1157">
        <v>2.52</v>
      </c>
      <c r="X27" s="1157">
        <v>1.17</v>
      </c>
      <c r="Y27" s="1157">
        <v>0.81</v>
      </c>
      <c r="Z27" s="1157">
        <v>1.35</v>
      </c>
    </row>
    <row r="28" spans="1:256">
      <c r="B28" s="1157"/>
      <c r="C28" s="1158">
        <v>41096</v>
      </c>
      <c r="D28" s="1157">
        <v>5.6</v>
      </c>
      <c r="E28" s="1157">
        <v>6</v>
      </c>
      <c r="F28" s="1157">
        <v>6.15</v>
      </c>
      <c r="G28" s="1157">
        <v>6.4</v>
      </c>
      <c r="H28" s="1157">
        <v>6.55</v>
      </c>
      <c r="I28" s="1157">
        <v>4</v>
      </c>
      <c r="J28" s="1157">
        <v>4.5</v>
      </c>
      <c r="L28" s="1157"/>
      <c r="M28" s="1158">
        <v>39751</v>
      </c>
      <c r="N28" s="1157">
        <v>0.72</v>
      </c>
      <c r="O28" s="1157">
        <v>2.88</v>
      </c>
      <c r="P28" s="1157">
        <v>3.24</v>
      </c>
      <c r="Q28" s="1157">
        <v>3.6</v>
      </c>
      <c r="R28" s="1157">
        <v>4.1399999999999997</v>
      </c>
      <c r="S28" s="1157">
        <v>4.7699999999999996</v>
      </c>
      <c r="T28" s="1157">
        <v>5.13</v>
      </c>
      <c r="U28" s="1157">
        <v>2.88</v>
      </c>
      <c r="V28" s="1157">
        <v>3.24</v>
      </c>
      <c r="W28" s="1157">
        <v>3.6</v>
      </c>
      <c r="X28" s="1157">
        <v>1.53</v>
      </c>
      <c r="Y28" s="1157">
        <v>1.17</v>
      </c>
      <c r="Z28" s="1157">
        <v>1.71</v>
      </c>
    </row>
    <row r="29" spans="1:256">
      <c r="B29" s="1157"/>
      <c r="C29" s="1158">
        <v>41068</v>
      </c>
      <c r="D29" s="1157">
        <v>5.85</v>
      </c>
      <c r="E29" s="1157">
        <v>6.31</v>
      </c>
      <c r="F29" s="1157">
        <v>6.4</v>
      </c>
      <c r="G29" s="1157">
        <v>6.65</v>
      </c>
      <c r="H29" s="1157">
        <v>6.8</v>
      </c>
      <c r="I29" s="1157">
        <v>4.2</v>
      </c>
      <c r="J29" s="1157">
        <v>4.7</v>
      </c>
      <c r="L29" s="1157"/>
      <c r="M29" s="1160">
        <v>39736</v>
      </c>
      <c r="N29" s="1157">
        <v>0.72</v>
      </c>
      <c r="O29" s="1157">
        <v>3.15</v>
      </c>
      <c r="P29" s="1157">
        <v>3.51</v>
      </c>
      <c r="Q29" s="1157">
        <v>3.87</v>
      </c>
      <c r="R29" s="1157">
        <v>4.41</v>
      </c>
      <c r="S29" s="1157">
        <v>5.13</v>
      </c>
      <c r="T29" s="1157">
        <v>5.58</v>
      </c>
      <c r="U29" s="1157">
        <v>3.15</v>
      </c>
      <c r="V29" s="1157">
        <v>3.51</v>
      </c>
      <c r="W29" s="1157">
        <v>3.87</v>
      </c>
      <c r="X29" s="1157">
        <v>1.53</v>
      </c>
      <c r="Y29" s="1157">
        <v>1.17</v>
      </c>
      <c r="Z29" s="1157">
        <v>1.71</v>
      </c>
    </row>
    <row r="30" spans="1:256">
      <c r="B30" s="1157"/>
      <c r="C30" s="1158">
        <v>40731</v>
      </c>
      <c r="D30" s="1157">
        <v>6.1</v>
      </c>
      <c r="E30" s="1157">
        <v>6.56</v>
      </c>
      <c r="F30" s="1157">
        <v>6.65</v>
      </c>
      <c r="G30" s="1157">
        <v>6.9</v>
      </c>
      <c r="H30" s="1157">
        <v>7.05</v>
      </c>
      <c r="I30" s="1157">
        <v>4.45</v>
      </c>
      <c r="J30" s="1157">
        <v>4.9000000000000004</v>
      </c>
      <c r="L30" s="1157"/>
      <c r="M30" s="1158">
        <v>39730</v>
      </c>
      <c r="N30" s="1157">
        <v>0.72</v>
      </c>
      <c r="O30" s="1157">
        <v>3.15</v>
      </c>
      <c r="P30" s="1157">
        <v>3.51</v>
      </c>
      <c r="Q30" s="1157">
        <v>3.87</v>
      </c>
      <c r="R30" s="1157">
        <v>4.41</v>
      </c>
      <c r="S30" s="1157">
        <v>5.13</v>
      </c>
      <c r="T30" s="1157">
        <v>5.58</v>
      </c>
      <c r="U30" s="1157">
        <v>3.15</v>
      </c>
      <c r="V30" s="1157">
        <v>3.51</v>
      </c>
      <c r="W30" s="1157">
        <v>3.87</v>
      </c>
      <c r="X30" s="1157">
        <v>1.53</v>
      </c>
      <c r="Y30" s="1157">
        <v>1.17</v>
      </c>
      <c r="Z30" s="1157">
        <v>1.71</v>
      </c>
    </row>
    <row r="31" spans="1:256">
      <c r="B31" s="1157"/>
      <c r="C31" s="1158">
        <v>40639</v>
      </c>
      <c r="D31" s="1157">
        <v>5.85</v>
      </c>
      <c r="E31" s="1157">
        <v>6.31</v>
      </c>
      <c r="F31" s="1157">
        <v>6.4</v>
      </c>
      <c r="G31" s="1157">
        <v>6.65</v>
      </c>
      <c r="H31" s="1157">
        <v>6.8</v>
      </c>
      <c r="I31" s="1157">
        <v>4.2</v>
      </c>
      <c r="J31" s="1157">
        <v>4.7</v>
      </c>
      <c r="L31" s="1157"/>
      <c r="M31" s="1158">
        <v>39437</v>
      </c>
      <c r="N31" s="1157">
        <v>0.72</v>
      </c>
      <c r="O31" s="1157">
        <v>3.33</v>
      </c>
      <c r="P31" s="1157">
        <v>3.78</v>
      </c>
      <c r="Q31" s="1157">
        <v>4.1399999999999997</v>
      </c>
      <c r="R31" s="1157">
        <v>4.68</v>
      </c>
      <c r="S31" s="1157">
        <v>5.4</v>
      </c>
      <c r="T31" s="1157">
        <v>5.85</v>
      </c>
      <c r="U31" s="1157">
        <v>3.33</v>
      </c>
      <c r="V31" s="1157">
        <v>3.78</v>
      </c>
      <c r="W31" s="1157">
        <v>4.1399999999999997</v>
      </c>
      <c r="X31" s="1157">
        <v>1.53</v>
      </c>
      <c r="Y31" s="1157">
        <v>1.17</v>
      </c>
      <c r="Z31" s="1157">
        <v>1.71</v>
      </c>
    </row>
    <row r="32" spans="1:256">
      <c r="B32" s="1157"/>
      <c r="C32" s="1158">
        <v>40583</v>
      </c>
      <c r="D32" s="1157">
        <v>5.6</v>
      </c>
      <c r="E32" s="1157">
        <v>6.06</v>
      </c>
      <c r="F32" s="1157">
        <v>6.1</v>
      </c>
      <c r="G32" s="1157">
        <v>6.45</v>
      </c>
      <c r="H32" s="1157">
        <v>6.6</v>
      </c>
      <c r="I32" s="1157">
        <v>4</v>
      </c>
      <c r="J32" s="1157">
        <v>4.5</v>
      </c>
      <c r="L32" s="1157"/>
      <c r="M32" s="1158">
        <v>39340</v>
      </c>
      <c r="N32" s="1157">
        <v>0.81</v>
      </c>
      <c r="O32" s="1157">
        <v>2.88</v>
      </c>
      <c r="P32" s="1157">
        <v>3.42</v>
      </c>
      <c r="Q32" s="1157">
        <v>3.87</v>
      </c>
      <c r="R32" s="1157">
        <v>4.5</v>
      </c>
      <c r="S32" s="1157">
        <v>5.22</v>
      </c>
      <c r="T32" s="1157">
        <v>5.76</v>
      </c>
      <c r="U32" s="1157">
        <v>2.88</v>
      </c>
      <c r="V32" s="1157">
        <v>3.42</v>
      </c>
      <c r="W32" s="1157">
        <v>3.87</v>
      </c>
      <c r="X32" s="1157">
        <v>1.53</v>
      </c>
      <c r="Y32" s="1157">
        <v>1.17</v>
      </c>
      <c r="Z32" s="1157">
        <v>1.71</v>
      </c>
    </row>
    <row r="33" spans="2:26">
      <c r="B33" s="1157"/>
      <c r="C33" s="1158">
        <v>40538</v>
      </c>
      <c r="D33" s="1157">
        <v>5.35</v>
      </c>
      <c r="E33" s="1157">
        <v>5.81</v>
      </c>
      <c r="F33" s="1157">
        <v>5.85</v>
      </c>
      <c r="G33" s="1157">
        <v>6.22</v>
      </c>
      <c r="H33" s="1157">
        <v>6.4</v>
      </c>
      <c r="I33" s="1157">
        <v>3.75</v>
      </c>
      <c r="J33" s="1157">
        <v>4.3</v>
      </c>
      <c r="L33" s="1157"/>
      <c r="M33" s="1158">
        <v>39316</v>
      </c>
      <c r="N33" s="1157">
        <v>0.81</v>
      </c>
      <c r="O33" s="1157">
        <v>2.61</v>
      </c>
      <c r="P33" s="1157">
        <v>3.15</v>
      </c>
      <c r="Q33" s="1157">
        <v>3.6</v>
      </c>
      <c r="R33" s="1157">
        <v>4.2300000000000004</v>
      </c>
      <c r="S33" s="1157">
        <v>4.95</v>
      </c>
      <c r="T33" s="1157">
        <v>5.49</v>
      </c>
      <c r="U33" s="1157">
        <v>2.61</v>
      </c>
      <c r="V33" s="1157">
        <v>3.15</v>
      </c>
      <c r="W33" s="1157">
        <v>3.6</v>
      </c>
      <c r="X33" s="1157">
        <v>1.53</v>
      </c>
      <c r="Y33" s="1157">
        <v>1.17</v>
      </c>
      <c r="Z33" s="1157">
        <v>1.71</v>
      </c>
    </row>
    <row r="34" spans="2:26">
      <c r="B34" s="1157"/>
      <c r="C34" s="1158">
        <v>40471</v>
      </c>
      <c r="D34" s="1157">
        <v>5.0999999999999996</v>
      </c>
      <c r="E34" s="1157">
        <v>5.56</v>
      </c>
      <c r="F34" s="1157">
        <v>5.6</v>
      </c>
      <c r="G34" s="1157">
        <v>5.96</v>
      </c>
      <c r="H34" s="1157">
        <v>6.14</v>
      </c>
      <c r="I34" s="1157">
        <v>3.5</v>
      </c>
      <c r="J34" s="1157">
        <v>4.05</v>
      </c>
      <c r="L34" s="1157"/>
      <c r="M34" s="1158">
        <v>39284</v>
      </c>
      <c r="N34" s="1157">
        <v>0.81</v>
      </c>
      <c r="O34" s="1157">
        <v>2.34</v>
      </c>
      <c r="P34" s="1157">
        <v>2.88</v>
      </c>
      <c r="Q34" s="1157">
        <v>3.33</v>
      </c>
      <c r="R34" s="1157">
        <v>3.96</v>
      </c>
      <c r="S34" s="1157">
        <v>4.68</v>
      </c>
      <c r="T34" s="1157">
        <v>5.22</v>
      </c>
      <c r="U34" s="1157">
        <v>2.34</v>
      </c>
      <c r="V34" s="1157">
        <v>2.88</v>
      </c>
      <c r="W34" s="1157">
        <v>3.33</v>
      </c>
      <c r="X34" s="1157">
        <v>1.53</v>
      </c>
      <c r="Y34" s="1157">
        <v>1.17</v>
      </c>
      <c r="Z34" s="1157">
        <v>1.71</v>
      </c>
    </row>
    <row r="35" spans="2:26">
      <c r="B35" s="1157"/>
      <c r="C35" s="1158">
        <v>39805</v>
      </c>
      <c r="D35" s="1157">
        <v>4.8600000000000003</v>
      </c>
      <c r="E35" s="1157">
        <v>5.31</v>
      </c>
      <c r="F35" s="1157">
        <v>5.4</v>
      </c>
      <c r="G35" s="1157">
        <v>5.76</v>
      </c>
      <c r="H35" s="1157">
        <v>5.94</v>
      </c>
      <c r="I35" s="1157">
        <v>3.33</v>
      </c>
      <c r="J35" s="1157">
        <v>3.87</v>
      </c>
      <c r="L35" s="1157"/>
      <c r="M35" s="1158">
        <v>39221</v>
      </c>
      <c r="N35" s="1157">
        <v>0.72</v>
      </c>
      <c r="O35" s="1157">
        <v>2.0699999999999998</v>
      </c>
      <c r="P35" s="1157">
        <v>2.61</v>
      </c>
      <c r="Q35" s="1157">
        <v>3.06</v>
      </c>
      <c r="R35" s="1157">
        <v>3.69</v>
      </c>
      <c r="S35" s="1157">
        <v>4.41</v>
      </c>
      <c r="T35" s="1157">
        <v>4.95</v>
      </c>
      <c r="U35" s="1157">
        <v>2.0699999999999998</v>
      </c>
      <c r="V35" s="1157">
        <v>2.61</v>
      </c>
      <c r="W35" s="1157">
        <v>3.06</v>
      </c>
      <c r="X35" s="1157">
        <v>1.44</v>
      </c>
      <c r="Y35" s="1157">
        <v>1.08</v>
      </c>
      <c r="Z35" s="1157">
        <v>1.62</v>
      </c>
    </row>
    <row r="36" spans="2:26">
      <c r="B36" s="1157"/>
      <c r="C36" s="1158">
        <v>39779</v>
      </c>
      <c r="D36" s="1157">
        <v>5.04</v>
      </c>
      <c r="E36" s="1157">
        <v>5.58</v>
      </c>
      <c r="F36" s="1157">
        <v>5.67</v>
      </c>
      <c r="G36" s="1157">
        <v>5.94</v>
      </c>
      <c r="H36" s="1157">
        <v>6.12</v>
      </c>
      <c r="I36" s="1157">
        <v>3.51</v>
      </c>
      <c r="J36" s="1157">
        <v>4.05</v>
      </c>
      <c r="L36" s="1157"/>
      <c r="M36" s="1158">
        <v>39159</v>
      </c>
      <c r="N36" s="1157">
        <v>0.72</v>
      </c>
      <c r="O36" s="1157">
        <v>1.98</v>
      </c>
      <c r="P36" s="1157">
        <v>2.4300000000000002</v>
      </c>
      <c r="Q36" s="1157">
        <v>2.79</v>
      </c>
      <c r="R36" s="1157">
        <v>3.33</v>
      </c>
      <c r="S36" s="1157">
        <v>3.96</v>
      </c>
      <c r="T36" s="1157">
        <v>4.41</v>
      </c>
      <c r="U36" s="1157">
        <v>1.98</v>
      </c>
      <c r="V36" s="1157">
        <v>2.4300000000000002</v>
      </c>
      <c r="W36" s="1157">
        <v>2.79</v>
      </c>
      <c r="X36" s="1157">
        <v>1.44</v>
      </c>
      <c r="Y36" s="1157">
        <v>1.08</v>
      </c>
      <c r="Z36" s="1157">
        <v>1.62</v>
      </c>
    </row>
    <row r="37" spans="2:26">
      <c r="B37" s="1157"/>
      <c r="C37" s="1158">
        <v>39751</v>
      </c>
      <c r="D37" s="1157">
        <v>6.03</v>
      </c>
      <c r="E37" s="1157">
        <v>6.66</v>
      </c>
      <c r="F37" s="1157">
        <v>6.75</v>
      </c>
      <c r="G37" s="1157">
        <v>7.02</v>
      </c>
      <c r="H37" s="1157">
        <v>7.2</v>
      </c>
      <c r="I37" s="1157">
        <v>4.05</v>
      </c>
      <c r="J37" s="1157">
        <v>4.59</v>
      </c>
      <c r="L37" s="1157"/>
      <c r="M37" s="1158">
        <v>38948</v>
      </c>
      <c r="N37" s="1157">
        <v>0.72</v>
      </c>
      <c r="O37" s="1157">
        <v>1.8</v>
      </c>
      <c r="P37" s="1157">
        <v>2.25</v>
      </c>
      <c r="Q37" s="1157">
        <v>2.52</v>
      </c>
      <c r="R37" s="1157">
        <v>3.06</v>
      </c>
      <c r="S37" s="1157">
        <v>3.69</v>
      </c>
      <c r="T37" s="1157">
        <v>4.1399999999999997</v>
      </c>
      <c r="U37" s="1157">
        <v>1.8</v>
      </c>
      <c r="V37" s="1157">
        <v>2.25</v>
      </c>
      <c r="W37" s="1157">
        <v>2.52</v>
      </c>
      <c r="X37" s="1157">
        <v>1.44</v>
      </c>
      <c r="Y37" s="1157">
        <v>1.08</v>
      </c>
      <c r="Z37" s="1157">
        <v>1.62</v>
      </c>
    </row>
    <row r="38" spans="2:26">
      <c r="B38" s="1157"/>
      <c r="C38" s="1160">
        <v>39748</v>
      </c>
      <c r="D38" s="1157">
        <v>6.12</v>
      </c>
      <c r="E38" s="1157">
        <v>6.93</v>
      </c>
      <c r="F38" s="1157">
        <v>7.02</v>
      </c>
      <c r="G38" s="1157">
        <v>7.29</v>
      </c>
      <c r="H38" s="1157">
        <v>7.47</v>
      </c>
      <c r="I38" s="1157">
        <v>4.05</v>
      </c>
      <c r="J38" s="1157">
        <v>4.59</v>
      </c>
      <c r="L38" s="1157"/>
      <c r="M38" s="1158">
        <v>38289</v>
      </c>
      <c r="N38" s="1157">
        <v>0.72</v>
      </c>
      <c r="O38" s="1157">
        <v>1.71</v>
      </c>
      <c r="P38" s="1157">
        <v>2.0699999999999998</v>
      </c>
      <c r="Q38" s="1157">
        <v>2.25</v>
      </c>
      <c r="R38" s="1157">
        <v>2.7</v>
      </c>
      <c r="S38" s="1157">
        <v>3.24</v>
      </c>
      <c r="T38" s="1157">
        <v>3.6</v>
      </c>
      <c r="U38" s="1157">
        <v>1.71</v>
      </c>
      <c r="V38" s="1157">
        <v>2.0699999999999998</v>
      </c>
      <c r="W38" s="1157">
        <v>2.25</v>
      </c>
      <c r="X38" s="1157">
        <v>1.44</v>
      </c>
      <c r="Y38" s="1157">
        <v>1.08</v>
      </c>
      <c r="Z38" s="1157">
        <v>1.62</v>
      </c>
    </row>
    <row r="39" spans="2:26">
      <c r="B39" s="1157"/>
      <c r="C39" s="1158">
        <v>39730</v>
      </c>
      <c r="D39" s="1157">
        <v>6.12</v>
      </c>
      <c r="E39" s="1157">
        <v>6.93</v>
      </c>
      <c r="F39" s="1157">
        <v>7.02</v>
      </c>
      <c r="G39" s="1157">
        <v>7.29</v>
      </c>
      <c r="H39" s="1157">
        <v>7.47</v>
      </c>
      <c r="I39" s="1157">
        <v>4.32</v>
      </c>
      <c r="J39" s="1157">
        <v>4.8600000000000003</v>
      </c>
      <c r="L39" s="1157"/>
      <c r="M39" s="1158">
        <v>37308</v>
      </c>
      <c r="N39" s="1157">
        <v>0.72</v>
      </c>
      <c r="O39" s="1157">
        <v>1.71</v>
      </c>
      <c r="P39" s="1157">
        <v>1.89</v>
      </c>
      <c r="Q39" s="1157">
        <v>1.98</v>
      </c>
      <c r="R39" s="1157">
        <v>2.25</v>
      </c>
      <c r="S39" s="1157">
        <v>2.52</v>
      </c>
      <c r="T39" s="1157">
        <v>2.79</v>
      </c>
      <c r="U39" s="1157">
        <v>1.71</v>
      </c>
      <c r="V39" s="1157">
        <v>1.89</v>
      </c>
      <c r="W39" s="1157">
        <v>1.98</v>
      </c>
      <c r="X39" s="1157">
        <v>1.44</v>
      </c>
      <c r="Y39" s="1157">
        <v>1.08</v>
      </c>
      <c r="Z39" s="1157">
        <v>1.62</v>
      </c>
    </row>
    <row r="40" spans="2:26">
      <c r="B40" s="1157"/>
      <c r="C40" s="1158">
        <v>39707</v>
      </c>
      <c r="D40" s="1157">
        <v>6.21</v>
      </c>
      <c r="E40" s="1157">
        <v>7.2</v>
      </c>
      <c r="F40" s="1157">
        <v>7.29</v>
      </c>
      <c r="G40" s="1157">
        <v>7.56</v>
      </c>
      <c r="H40" s="1157">
        <v>7.74</v>
      </c>
      <c r="I40" s="1157">
        <v>4.59</v>
      </c>
      <c r="J40" s="1157">
        <v>5.13</v>
      </c>
      <c r="L40" s="1157"/>
      <c r="M40" s="1158">
        <v>36321</v>
      </c>
      <c r="N40" s="1157">
        <v>0.99</v>
      </c>
      <c r="O40" s="1157">
        <v>1.98</v>
      </c>
      <c r="P40" s="1157">
        <v>2.16</v>
      </c>
      <c r="Q40" s="1157">
        <v>2.25</v>
      </c>
      <c r="R40" s="1157">
        <v>2.4300000000000002</v>
      </c>
      <c r="S40" s="1157">
        <v>2.7</v>
      </c>
      <c r="T40" s="1157">
        <v>2.88</v>
      </c>
      <c r="U40" s="1157">
        <v>1.98</v>
      </c>
      <c r="V40" s="1157">
        <v>2.16</v>
      </c>
      <c r="W40" s="1157">
        <v>2.25</v>
      </c>
      <c r="X40" s="1157">
        <v>1.71</v>
      </c>
      <c r="Y40" s="1157">
        <v>1.35</v>
      </c>
      <c r="Z40" s="1157">
        <v>1.89</v>
      </c>
    </row>
    <row r="41" spans="2:26">
      <c r="B41" s="1157"/>
      <c r="C41" s="1158">
        <v>39437</v>
      </c>
      <c r="D41" s="1157">
        <v>6.57</v>
      </c>
      <c r="E41" s="1157">
        <v>7.47</v>
      </c>
      <c r="F41" s="1157">
        <v>7.56</v>
      </c>
      <c r="G41" s="1157">
        <v>7.74</v>
      </c>
      <c r="H41" s="1157">
        <v>7.83</v>
      </c>
      <c r="I41" s="1157">
        <v>4.7699999999999996</v>
      </c>
      <c r="J41" s="1157">
        <v>5.22</v>
      </c>
      <c r="L41" s="1157"/>
      <c r="M41" s="1158">
        <v>36136</v>
      </c>
      <c r="N41" s="1157">
        <v>1.44</v>
      </c>
      <c r="O41" s="1157">
        <v>2.79</v>
      </c>
      <c r="P41" s="1157">
        <v>3.33</v>
      </c>
      <c r="Q41" s="1157">
        <v>3.78</v>
      </c>
      <c r="R41" s="1157">
        <v>3.96</v>
      </c>
      <c r="S41" s="1157">
        <v>4.1399999999999997</v>
      </c>
      <c r="T41" s="1157">
        <v>4.5</v>
      </c>
      <c r="U41" s="1157">
        <v>3.33</v>
      </c>
      <c r="V41" s="1157">
        <v>3.78</v>
      </c>
      <c r="W41" s="1157">
        <v>4.1399999999999997</v>
      </c>
      <c r="X41" s="1157">
        <v>2.16</v>
      </c>
      <c r="Y41" s="1157">
        <v>1.8</v>
      </c>
      <c r="Z41" s="1157">
        <v>2.34</v>
      </c>
    </row>
    <row r="42" spans="2:26">
      <c r="B42" s="1157"/>
      <c r="C42" s="1158">
        <v>39340</v>
      </c>
      <c r="D42" s="1157">
        <v>6.48</v>
      </c>
      <c r="E42" s="1157">
        <v>7.29</v>
      </c>
      <c r="F42" s="1157">
        <v>7.47</v>
      </c>
      <c r="G42" s="1157">
        <v>7.65</v>
      </c>
      <c r="H42" s="1157">
        <v>7.83</v>
      </c>
      <c r="I42" s="1157">
        <v>4.7699999999999996</v>
      </c>
      <c r="J42" s="1157">
        <v>5.22</v>
      </c>
      <c r="L42" s="1157"/>
      <c r="M42" s="1158">
        <v>35977</v>
      </c>
      <c r="N42" s="1157">
        <v>1.44</v>
      </c>
      <c r="O42" s="1157">
        <v>2.79</v>
      </c>
      <c r="P42" s="1157">
        <v>3.96</v>
      </c>
      <c r="Q42" s="1157">
        <v>4.7699999999999996</v>
      </c>
      <c r="R42" s="1157">
        <v>4.8600000000000003</v>
      </c>
      <c r="S42" s="1157">
        <v>4.95</v>
      </c>
      <c r="T42" s="1157">
        <v>5.22</v>
      </c>
      <c r="U42" s="1157">
        <v>3.96</v>
      </c>
      <c r="V42" s="1157">
        <v>4.7699999999999996</v>
      </c>
      <c r="W42" s="1157">
        <v>4.95</v>
      </c>
      <c r="X42" s="1157" t="s">
        <v>965</v>
      </c>
      <c r="Y42" s="1157" t="s">
        <v>965</v>
      </c>
      <c r="Z42" s="1157" t="s">
        <v>965</v>
      </c>
    </row>
    <row r="43" spans="2:26">
      <c r="B43" s="1157"/>
      <c r="C43" s="1158">
        <v>39316</v>
      </c>
      <c r="D43" s="1157">
        <v>6.21</v>
      </c>
      <c r="E43" s="1157">
        <v>7.02</v>
      </c>
      <c r="F43" s="1157">
        <v>7.2</v>
      </c>
      <c r="G43" s="1157">
        <v>7.38</v>
      </c>
      <c r="H43" s="1157">
        <v>7.56</v>
      </c>
      <c r="I43" s="1157">
        <v>4.59</v>
      </c>
      <c r="J43" s="1157">
        <v>5.04</v>
      </c>
      <c r="L43" s="1157"/>
      <c r="M43" s="1158">
        <v>35879</v>
      </c>
      <c r="N43" s="1157">
        <v>1.71</v>
      </c>
      <c r="O43" s="1157">
        <v>2.88</v>
      </c>
      <c r="P43" s="1157">
        <v>4.1399999999999997</v>
      </c>
      <c r="Q43" s="1157">
        <v>5.22</v>
      </c>
      <c r="R43" s="1157">
        <v>5.58</v>
      </c>
      <c r="S43" s="1157">
        <v>6.21</v>
      </c>
      <c r="T43" s="1157">
        <v>6.66</v>
      </c>
      <c r="U43" s="1157">
        <v>4.1399999999999997</v>
      </c>
      <c r="V43" s="1157">
        <v>5.22</v>
      </c>
      <c r="W43" s="1157">
        <v>6.21</v>
      </c>
      <c r="X43" s="1157" t="s">
        <v>965</v>
      </c>
      <c r="Y43" s="1157" t="s">
        <v>965</v>
      </c>
      <c r="Z43" s="1157" t="s">
        <v>965</v>
      </c>
    </row>
    <row r="44" spans="2:26">
      <c r="B44" s="1157"/>
      <c r="C44" s="1158">
        <v>39284</v>
      </c>
      <c r="D44" s="1157">
        <v>6.03</v>
      </c>
      <c r="E44" s="1157">
        <v>6.84</v>
      </c>
      <c r="F44" s="1157">
        <v>7.02</v>
      </c>
      <c r="G44" s="1157">
        <v>7.2</v>
      </c>
      <c r="H44" s="1157">
        <v>7.38</v>
      </c>
      <c r="I44" s="1157">
        <v>4.5</v>
      </c>
      <c r="J44" s="1157">
        <v>4.95</v>
      </c>
      <c r="L44" s="1157"/>
      <c r="M44" s="1158">
        <v>35726</v>
      </c>
      <c r="N44" s="1157">
        <v>1.71</v>
      </c>
      <c r="O44" s="1157">
        <v>2.88</v>
      </c>
      <c r="P44" s="1157">
        <v>4.1399999999999997</v>
      </c>
      <c r="Q44" s="1157">
        <v>5.67</v>
      </c>
      <c r="R44" s="1157">
        <v>5.94</v>
      </c>
      <c r="S44" s="1157">
        <v>6.21</v>
      </c>
      <c r="T44" s="1157">
        <v>6.66</v>
      </c>
      <c r="U44" s="1157">
        <v>4.1399999999999997</v>
      </c>
      <c r="V44" s="1157">
        <v>5.67</v>
      </c>
      <c r="W44" s="1157">
        <v>6.21</v>
      </c>
      <c r="X44" s="1157" t="s">
        <v>965</v>
      </c>
      <c r="Y44" s="1157" t="s">
        <v>965</v>
      </c>
      <c r="Z44" s="1157" t="s">
        <v>965</v>
      </c>
    </row>
    <row r="45" spans="2:26">
      <c r="B45" s="1157"/>
      <c r="C45" s="1158">
        <v>39221</v>
      </c>
      <c r="D45" s="1157">
        <v>5.85</v>
      </c>
      <c r="E45" s="1157">
        <v>6.57</v>
      </c>
      <c r="F45" s="1157">
        <v>6.75</v>
      </c>
      <c r="G45" s="1157">
        <v>6.93</v>
      </c>
      <c r="H45" s="1157">
        <v>7.2</v>
      </c>
      <c r="I45" s="1157">
        <v>4.41</v>
      </c>
      <c r="J45" s="1157">
        <v>4.8600000000000003</v>
      </c>
      <c r="L45" s="1157"/>
      <c r="M45" s="1158">
        <v>35300</v>
      </c>
      <c r="N45" s="1157">
        <v>1.98</v>
      </c>
      <c r="O45" s="1157">
        <v>3.33</v>
      </c>
      <c r="P45" s="1157">
        <v>5.4</v>
      </c>
      <c r="Q45" s="1157">
        <v>7.47</v>
      </c>
      <c r="R45" s="1157">
        <v>7.92</v>
      </c>
      <c r="S45" s="1157">
        <v>8.2799999999999994</v>
      </c>
      <c r="T45" s="1157">
        <v>9</v>
      </c>
      <c r="U45" s="1157">
        <v>5.4</v>
      </c>
      <c r="V45" s="1157">
        <v>7.47</v>
      </c>
      <c r="W45" s="1157">
        <v>8.2799999999999994</v>
      </c>
      <c r="X45" s="1157" t="s">
        <v>965</v>
      </c>
      <c r="Y45" s="1157" t="s">
        <v>965</v>
      </c>
      <c r="Z45" s="1157" t="s">
        <v>965</v>
      </c>
    </row>
    <row r="46" spans="2:26">
      <c r="B46" s="1157"/>
      <c r="C46" s="1158">
        <v>39159</v>
      </c>
      <c r="D46" s="1157">
        <v>5.67</v>
      </c>
      <c r="E46" s="1157">
        <v>6.39</v>
      </c>
      <c r="F46" s="1157">
        <v>6.57</v>
      </c>
      <c r="G46" s="1157">
        <v>6.75</v>
      </c>
      <c r="H46" s="1157">
        <v>7.11</v>
      </c>
      <c r="I46" s="1157">
        <v>4.32</v>
      </c>
      <c r="J46" s="1157">
        <v>4.7699999999999996</v>
      </c>
      <c r="L46" s="1157"/>
      <c r="M46" s="1158">
        <v>35186</v>
      </c>
      <c r="N46" s="1157">
        <v>2.97</v>
      </c>
      <c r="O46" s="1157">
        <v>4.8600000000000003</v>
      </c>
      <c r="P46" s="1157">
        <v>7.2</v>
      </c>
      <c r="Q46" s="1157">
        <v>9.18</v>
      </c>
      <c r="R46" s="1157">
        <v>9.9</v>
      </c>
      <c r="S46" s="1157">
        <v>10.8</v>
      </c>
      <c r="T46" s="1157">
        <v>12.06</v>
      </c>
      <c r="U46" s="1157">
        <v>7.2</v>
      </c>
      <c r="V46" s="1157">
        <v>9.18</v>
      </c>
      <c r="W46" s="1157">
        <v>10.8</v>
      </c>
      <c r="X46" s="1157" t="s">
        <v>965</v>
      </c>
      <c r="Y46" s="1157" t="s">
        <v>965</v>
      </c>
      <c r="Z46" s="1157" t="s">
        <v>965</v>
      </c>
    </row>
    <row r="47" spans="2:26">
      <c r="B47" s="1157"/>
      <c r="C47" s="1158">
        <v>38948</v>
      </c>
      <c r="D47" s="1157">
        <v>5.58</v>
      </c>
      <c r="E47" s="1157">
        <v>6.12</v>
      </c>
      <c r="F47" s="1157">
        <v>6.3</v>
      </c>
      <c r="G47" s="1157">
        <v>6.48</v>
      </c>
      <c r="H47" s="1157">
        <v>6.84</v>
      </c>
      <c r="I47" s="1157">
        <v>4.1399999999999997</v>
      </c>
      <c r="J47" s="1157">
        <v>4.59</v>
      </c>
      <c r="L47" s="1157"/>
      <c r="M47" s="1158">
        <v>34161</v>
      </c>
      <c r="N47" s="1157">
        <v>3.15</v>
      </c>
      <c r="O47" s="1157">
        <v>6.66</v>
      </c>
      <c r="P47" s="1157">
        <v>9</v>
      </c>
      <c r="Q47" s="1157">
        <v>10.98</v>
      </c>
      <c r="R47" s="1157">
        <v>11.7</v>
      </c>
      <c r="S47" s="1157">
        <v>12.24</v>
      </c>
      <c r="T47" s="1157">
        <v>13.86</v>
      </c>
      <c r="U47" s="1157">
        <v>9</v>
      </c>
      <c r="V47" s="1157">
        <v>10.98</v>
      </c>
      <c r="W47" s="1157">
        <v>12.24</v>
      </c>
      <c r="X47" s="1157" t="s">
        <v>965</v>
      </c>
      <c r="Y47" s="1157" t="s">
        <v>965</v>
      </c>
      <c r="Z47" s="1157" t="s">
        <v>965</v>
      </c>
    </row>
    <row r="48" spans="2:26">
      <c r="B48" s="1157"/>
      <c r="C48" s="1158">
        <v>38835</v>
      </c>
      <c r="D48" s="1157">
        <v>5.4</v>
      </c>
      <c r="E48" s="1157">
        <v>5.85</v>
      </c>
      <c r="F48" s="1157">
        <v>6.03</v>
      </c>
      <c r="G48" s="1157">
        <v>6.12</v>
      </c>
      <c r="H48" s="1157">
        <v>6.39</v>
      </c>
      <c r="I48" s="1157">
        <v>4.1399999999999997</v>
      </c>
      <c r="J48" s="1157">
        <v>4.59</v>
      </c>
      <c r="L48" s="1157"/>
      <c r="M48" s="1158">
        <v>34104</v>
      </c>
      <c r="N48" s="1157">
        <v>2.16</v>
      </c>
      <c r="O48" s="1157">
        <v>4.8600000000000003</v>
      </c>
      <c r="P48" s="1157">
        <v>7.2</v>
      </c>
      <c r="Q48" s="1157">
        <v>9.18</v>
      </c>
      <c r="R48" s="1157">
        <v>9.9</v>
      </c>
      <c r="S48" s="1157">
        <v>10.8</v>
      </c>
      <c r="T48" s="1157">
        <v>12.06</v>
      </c>
      <c r="U48" s="1157">
        <v>7.2</v>
      </c>
      <c r="V48" s="1157">
        <v>9.18</v>
      </c>
      <c r="W48" s="1157">
        <v>10.8</v>
      </c>
      <c r="X48" s="1157" t="s">
        <v>965</v>
      </c>
      <c r="Y48" s="1157" t="s">
        <v>965</v>
      </c>
      <c r="Z48" s="1157" t="s">
        <v>965</v>
      </c>
    </row>
    <row r="49" spans="2:26">
      <c r="B49" s="1157"/>
      <c r="C49" s="1158">
        <v>38428</v>
      </c>
      <c r="D49" s="1157">
        <v>5.22</v>
      </c>
      <c r="E49" s="1157">
        <v>5.58</v>
      </c>
      <c r="F49" s="1157">
        <v>5.76</v>
      </c>
      <c r="G49" s="1157">
        <v>5.85</v>
      </c>
      <c r="H49" s="1157">
        <v>6.12</v>
      </c>
      <c r="I49" s="1157">
        <v>3.96</v>
      </c>
      <c r="J49" s="1157">
        <v>4.41</v>
      </c>
      <c r="L49" s="1157"/>
      <c r="M49" s="1158">
        <v>33349</v>
      </c>
      <c r="N49" s="1157">
        <v>1.8</v>
      </c>
      <c r="O49" s="1157">
        <v>3.24</v>
      </c>
      <c r="P49" s="1157">
        <v>5.4</v>
      </c>
      <c r="Q49" s="1157">
        <v>7.56</v>
      </c>
      <c r="R49" s="1157">
        <v>7.92</v>
      </c>
      <c r="S49" s="1157">
        <v>8.2799999999999994</v>
      </c>
      <c r="T49" s="1157">
        <v>9</v>
      </c>
      <c r="U49" s="1157">
        <v>6.12</v>
      </c>
      <c r="V49" s="1157">
        <v>6.84</v>
      </c>
      <c r="W49" s="1157">
        <v>7.56</v>
      </c>
      <c r="X49" s="1157" t="s">
        <v>965</v>
      </c>
      <c r="Y49" s="1157" t="s">
        <v>965</v>
      </c>
      <c r="Z49" s="1157" t="s">
        <v>965</v>
      </c>
    </row>
    <row r="50" spans="2:26">
      <c r="B50" s="1157"/>
      <c r="C50" s="1158">
        <v>38289</v>
      </c>
      <c r="D50" s="1157">
        <v>5.22</v>
      </c>
      <c r="E50" s="1157">
        <v>5.58</v>
      </c>
      <c r="F50" s="1157">
        <v>5.76</v>
      </c>
      <c r="G50" s="1157">
        <v>5.85</v>
      </c>
      <c r="H50" s="1157">
        <v>6.12</v>
      </c>
      <c r="I50" s="1157">
        <v>3.78</v>
      </c>
      <c r="J50" s="1157">
        <v>4.2300000000000004</v>
      </c>
      <c r="L50" s="1157"/>
      <c r="M50" s="1158">
        <v>33106</v>
      </c>
      <c r="N50" s="1157">
        <v>2.16</v>
      </c>
      <c r="O50" s="1157">
        <v>4.32</v>
      </c>
      <c r="P50" s="1157">
        <v>6.48</v>
      </c>
      <c r="Q50" s="1157">
        <v>8.64</v>
      </c>
      <c r="R50" s="1157">
        <v>9.36</v>
      </c>
      <c r="S50" s="1157">
        <v>10.08</v>
      </c>
      <c r="T50" s="1157">
        <v>11.52</v>
      </c>
      <c r="U50" s="1157">
        <v>7.2</v>
      </c>
      <c r="V50" s="1157">
        <v>8.64</v>
      </c>
      <c r="W50" s="1157">
        <v>10.08</v>
      </c>
      <c r="X50" s="1157" t="s">
        <v>965</v>
      </c>
      <c r="Y50" s="1157" t="s">
        <v>965</v>
      </c>
      <c r="Z50" s="1157" t="s">
        <v>965</v>
      </c>
    </row>
    <row r="51" spans="2:26">
      <c r="B51" s="1157"/>
      <c r="C51" s="1158">
        <v>37308</v>
      </c>
      <c r="D51" s="1157">
        <v>5.04</v>
      </c>
      <c r="E51" s="1157">
        <v>5.31</v>
      </c>
      <c r="F51" s="1157">
        <v>5.49</v>
      </c>
      <c r="G51" s="1157">
        <v>5.58</v>
      </c>
      <c r="H51" s="1157">
        <v>5.76</v>
      </c>
      <c r="I51" s="1157">
        <v>3.6</v>
      </c>
      <c r="J51" s="1157">
        <v>4.05</v>
      </c>
      <c r="L51" s="1157"/>
      <c r="M51" s="1158">
        <v>32978</v>
      </c>
      <c r="N51" s="1157">
        <v>2.88</v>
      </c>
      <c r="O51" s="1157">
        <v>6.3</v>
      </c>
      <c r="P51" s="1157">
        <v>7.74</v>
      </c>
      <c r="Q51" s="1157">
        <v>10.08</v>
      </c>
      <c r="R51" s="1157">
        <v>10.98</v>
      </c>
      <c r="S51" s="1157">
        <v>11.88</v>
      </c>
      <c r="T51" s="1157">
        <v>13.68</v>
      </c>
      <c r="U51" s="1157" t="s">
        <v>965</v>
      </c>
      <c r="V51" s="1157" t="s">
        <v>965</v>
      </c>
      <c r="W51" s="1157" t="s">
        <v>965</v>
      </c>
      <c r="X51" s="1157" t="s">
        <v>965</v>
      </c>
      <c r="Y51" s="1157" t="s">
        <v>965</v>
      </c>
      <c r="Z51" s="1157" t="s">
        <v>965</v>
      </c>
    </row>
    <row r="52" spans="2:26">
      <c r="B52" s="1157"/>
      <c r="C52" s="1158">
        <v>36321</v>
      </c>
      <c r="D52" s="1157">
        <v>5.58</v>
      </c>
      <c r="E52" s="1157">
        <v>5.85</v>
      </c>
      <c r="F52" s="1157">
        <v>5.94</v>
      </c>
      <c r="G52" s="1157">
        <v>6.03</v>
      </c>
      <c r="H52" s="1157">
        <v>6.21</v>
      </c>
      <c r="I52" s="1157">
        <v>4.1399999999999997</v>
      </c>
      <c r="J52" s="1157">
        <v>4.59</v>
      </c>
      <c r="L52" s="1157"/>
      <c r="M52" s="1158"/>
      <c r="N52" s="1157"/>
      <c r="O52" s="1157"/>
      <c r="P52" s="1157"/>
      <c r="Q52" s="1157"/>
      <c r="R52" s="1157"/>
      <c r="S52" s="1157"/>
      <c r="T52" s="1157"/>
      <c r="U52" s="1157"/>
      <c r="V52" s="1157"/>
      <c r="W52" s="1157"/>
      <c r="X52" s="1157"/>
      <c r="Y52" s="1157"/>
      <c r="Z52" s="1157"/>
    </row>
    <row r="53" spans="2:26">
      <c r="B53" s="1157"/>
      <c r="C53" s="1158">
        <v>36136</v>
      </c>
      <c r="D53" s="1157">
        <v>6.12</v>
      </c>
      <c r="E53" s="1157">
        <v>6.39</v>
      </c>
      <c r="F53" s="1157">
        <v>6.66</v>
      </c>
      <c r="G53" s="1157">
        <v>7.2</v>
      </c>
      <c r="H53" s="1157">
        <v>7.56</v>
      </c>
      <c r="I53" s="1157">
        <v>0</v>
      </c>
      <c r="J53" s="1157">
        <v>0</v>
      </c>
      <c r="L53" s="1157"/>
      <c r="M53" s="1158"/>
      <c r="N53" s="1157"/>
      <c r="O53" s="1157"/>
      <c r="P53" s="1157"/>
      <c r="Q53" s="1157"/>
      <c r="R53" s="1157"/>
      <c r="S53" s="1157"/>
      <c r="T53" s="1157"/>
      <c r="U53" s="1157"/>
      <c r="V53" s="1157"/>
      <c r="W53" s="1157"/>
      <c r="X53" s="1157"/>
      <c r="Y53" s="1157"/>
      <c r="Z53" s="1157"/>
    </row>
    <row r="54" spans="2:26">
      <c r="B54" s="1157"/>
      <c r="C54" s="1158">
        <v>35977</v>
      </c>
      <c r="D54" s="1157">
        <v>6.57</v>
      </c>
      <c r="E54" s="1157">
        <v>6.93</v>
      </c>
      <c r="F54" s="1157">
        <v>7.11</v>
      </c>
      <c r="G54" s="1157">
        <v>7.65</v>
      </c>
      <c r="H54" s="1157">
        <v>8.01</v>
      </c>
      <c r="I54" s="1157">
        <v>0</v>
      </c>
      <c r="J54" s="1157">
        <v>0</v>
      </c>
      <c r="L54" s="1157"/>
      <c r="M54" s="1158"/>
      <c r="N54" s="1157"/>
      <c r="O54" s="1157"/>
      <c r="P54" s="1157"/>
      <c r="Q54" s="1157"/>
      <c r="R54" s="1157"/>
      <c r="S54" s="1157"/>
      <c r="T54" s="1157"/>
      <c r="U54" s="1157"/>
      <c r="V54" s="1157"/>
      <c r="W54" s="1157"/>
      <c r="X54" s="1157"/>
      <c r="Y54" s="1157"/>
      <c r="Z54" s="1157"/>
    </row>
    <row r="55" spans="2:26">
      <c r="B55" s="1157"/>
      <c r="C55" s="1158">
        <v>35879</v>
      </c>
      <c r="D55" s="1157">
        <v>7.02</v>
      </c>
      <c r="E55" s="1157">
        <v>7.92</v>
      </c>
      <c r="F55" s="1157">
        <v>9</v>
      </c>
      <c r="G55" s="1157">
        <v>9.7200000000000006</v>
      </c>
      <c r="H55" s="1157">
        <v>10.35</v>
      </c>
      <c r="I55" s="1157">
        <v>0</v>
      </c>
      <c r="J55" s="1157">
        <v>0</v>
      </c>
      <c r="L55" s="1157"/>
      <c r="M55" s="1158"/>
      <c r="N55" s="1157"/>
      <c r="O55" s="1157"/>
      <c r="P55" s="1157"/>
      <c r="Q55" s="1157"/>
      <c r="R55" s="1157"/>
      <c r="S55" s="1157"/>
      <c r="T55" s="1157"/>
      <c r="U55" s="1157"/>
      <c r="V55" s="1157"/>
      <c r="W55" s="1157"/>
      <c r="X55" s="1157"/>
      <c r="Y55" s="1157"/>
      <c r="Z55" s="1157"/>
    </row>
    <row r="56" spans="2:26">
      <c r="B56" s="1157"/>
      <c r="C56" s="1158">
        <v>35726</v>
      </c>
      <c r="D56" s="1157">
        <v>7.65</v>
      </c>
      <c r="E56" s="1157">
        <v>8.64</v>
      </c>
      <c r="F56" s="1157">
        <v>9.36</v>
      </c>
      <c r="G56" s="1157">
        <v>9.9</v>
      </c>
      <c r="H56" s="1157">
        <v>10.53</v>
      </c>
      <c r="I56" s="1157">
        <v>0</v>
      </c>
      <c r="J56" s="1157">
        <v>0</v>
      </c>
      <c r="L56" s="1157"/>
      <c r="M56" s="1158"/>
      <c r="N56" s="1157"/>
      <c r="O56" s="1157"/>
      <c r="P56" s="1157"/>
      <c r="Q56" s="1157"/>
      <c r="R56" s="1157"/>
      <c r="S56" s="1157"/>
      <c r="T56" s="1157"/>
      <c r="U56" s="1157"/>
      <c r="V56" s="1157"/>
      <c r="W56" s="1157"/>
      <c r="X56" s="1157"/>
      <c r="Y56" s="1157"/>
      <c r="Z56" s="1157"/>
    </row>
    <row r="57" spans="2:26">
      <c r="B57" s="1157"/>
      <c r="C57" s="1158">
        <v>35300</v>
      </c>
      <c r="D57" s="1157">
        <v>9.18</v>
      </c>
      <c r="E57" s="1157">
        <v>10.08</v>
      </c>
      <c r="F57" s="1157">
        <v>10.98</v>
      </c>
      <c r="G57" s="1157">
        <v>11.7</v>
      </c>
      <c r="H57" s="1157">
        <v>12.42</v>
      </c>
      <c r="I57" s="1157">
        <v>0</v>
      </c>
      <c r="J57" s="1157">
        <v>0</v>
      </c>
      <c r="L57" s="1157"/>
      <c r="M57" s="1158"/>
      <c r="N57" s="1157"/>
      <c r="O57" s="1157"/>
      <c r="P57" s="1157"/>
      <c r="Q57" s="1157"/>
      <c r="R57" s="1157"/>
      <c r="S57" s="1157"/>
      <c r="T57" s="1157"/>
      <c r="U57" s="1157"/>
      <c r="V57" s="1157"/>
      <c r="W57" s="1157"/>
      <c r="X57" s="1157"/>
      <c r="Y57" s="1157"/>
      <c r="Z57" s="1157"/>
    </row>
    <row r="58" spans="2:26">
      <c r="B58" s="1157"/>
      <c r="C58" s="1158">
        <v>35186</v>
      </c>
      <c r="D58" s="1157">
        <v>9.7200000000000006</v>
      </c>
      <c r="E58" s="1157">
        <v>10.98</v>
      </c>
      <c r="F58" s="1157">
        <v>13.14</v>
      </c>
      <c r="G58" s="1157">
        <v>14.94</v>
      </c>
      <c r="H58" s="1157">
        <v>15.12</v>
      </c>
      <c r="I58" s="1157">
        <v>0</v>
      </c>
      <c r="J58" s="1157">
        <v>0</v>
      </c>
    </row>
    <row r="59" spans="2:26">
      <c r="B59" s="1157"/>
      <c r="C59" s="1158">
        <v>34881</v>
      </c>
      <c r="D59" s="1157">
        <v>10.08</v>
      </c>
      <c r="E59" s="1157">
        <v>12.06</v>
      </c>
      <c r="F59" s="1157">
        <v>13.5</v>
      </c>
      <c r="G59" s="1157">
        <v>15.12</v>
      </c>
      <c r="H59" s="1157">
        <v>15.3</v>
      </c>
      <c r="I59" s="1157">
        <v>0</v>
      </c>
      <c r="J59" s="1157">
        <v>0</v>
      </c>
    </row>
    <row r="60" spans="2:26">
      <c r="B60" s="1157"/>
      <c r="C60" s="1158">
        <v>34700</v>
      </c>
      <c r="D60" s="1157">
        <v>9</v>
      </c>
      <c r="E60" s="1157">
        <v>10.98</v>
      </c>
      <c r="F60" s="1157">
        <v>12.96</v>
      </c>
      <c r="G60" s="1157">
        <v>14.58</v>
      </c>
      <c r="H60" s="1157">
        <v>14.76</v>
      </c>
      <c r="I60" s="1157">
        <v>0</v>
      </c>
      <c r="J60" s="1157">
        <v>0</v>
      </c>
    </row>
    <row r="61" spans="2:26">
      <c r="B61" s="1157"/>
      <c r="C61" s="1158">
        <v>34161</v>
      </c>
      <c r="D61" s="1157">
        <v>9</v>
      </c>
      <c r="E61" s="1157">
        <v>10.98</v>
      </c>
      <c r="F61" s="1157">
        <v>12.24</v>
      </c>
      <c r="G61" s="1157">
        <v>13.86</v>
      </c>
      <c r="H61" s="1157">
        <v>14.04</v>
      </c>
      <c r="I61" s="1157">
        <v>0</v>
      </c>
      <c r="J61" s="1157">
        <v>0</v>
      </c>
    </row>
    <row r="62" spans="2:26">
      <c r="B62" s="1157"/>
      <c r="C62" s="1158">
        <v>34104</v>
      </c>
      <c r="D62" s="1157">
        <v>8.82</v>
      </c>
      <c r="E62" s="1157">
        <v>9.36</v>
      </c>
      <c r="F62" s="1157">
        <v>10.8</v>
      </c>
      <c r="G62" s="1157">
        <v>12.06</v>
      </c>
      <c r="H62" s="1157">
        <v>12.24</v>
      </c>
      <c r="I62" s="1157">
        <v>0</v>
      </c>
      <c r="J62" s="1157">
        <v>0</v>
      </c>
    </row>
    <row r="63" spans="2:26">
      <c r="B63" s="1157"/>
      <c r="C63" s="1158">
        <v>33349</v>
      </c>
      <c r="D63" s="1157">
        <v>8.1</v>
      </c>
      <c r="E63" s="1157">
        <v>8.64</v>
      </c>
      <c r="F63" s="1157">
        <v>9</v>
      </c>
      <c r="G63" s="1157">
        <v>9.5399999999999991</v>
      </c>
      <c r="H63" s="1157">
        <v>9.7200000000000006</v>
      </c>
      <c r="I63" s="1157">
        <v>0</v>
      </c>
      <c r="J63" s="1157">
        <v>0</v>
      </c>
    </row>
    <row r="64" spans="2:26">
      <c r="B64" s="1157"/>
      <c r="C64" s="1158">
        <v>33318</v>
      </c>
      <c r="D64" s="1157">
        <v>9</v>
      </c>
      <c r="E64" s="1157">
        <v>10.08</v>
      </c>
      <c r="F64" s="1157">
        <v>10.8</v>
      </c>
      <c r="G64" s="1157">
        <v>11.52</v>
      </c>
      <c r="H64" s="1157">
        <v>11.88</v>
      </c>
      <c r="I64" s="1157" t="s">
        <v>965</v>
      </c>
      <c r="J64" s="1157" t="s">
        <v>965</v>
      </c>
    </row>
    <row r="65" spans="2:10">
      <c r="B65" s="1157"/>
      <c r="C65" s="1158">
        <v>33106</v>
      </c>
      <c r="D65" s="1157">
        <v>8.64</v>
      </c>
      <c r="E65" s="1157">
        <v>9.36</v>
      </c>
      <c r="F65" s="1157">
        <v>10.08</v>
      </c>
      <c r="G65" s="1157">
        <v>10.8</v>
      </c>
      <c r="H65" s="1157">
        <v>11.16</v>
      </c>
      <c r="I65" s="1157">
        <v>0</v>
      </c>
      <c r="J65" s="1157">
        <v>0</v>
      </c>
    </row>
    <row r="66" spans="2:10">
      <c r="B66" s="1157"/>
      <c r="C66" s="1158">
        <v>32540</v>
      </c>
      <c r="D66" s="1157">
        <v>11.34</v>
      </c>
      <c r="E66" s="1157">
        <v>11.34</v>
      </c>
      <c r="F66" s="1157">
        <v>12.78</v>
      </c>
      <c r="G66" s="1157">
        <v>14.4</v>
      </c>
      <c r="H66" s="1157">
        <v>19.260000000000002</v>
      </c>
      <c r="I66" s="1157">
        <v>0</v>
      </c>
      <c r="J66" s="1157">
        <v>0</v>
      </c>
    </row>
    <row r="67" spans="2:10">
      <c r="B67" s="1157"/>
      <c r="C67" s="1158"/>
      <c r="D67" s="1157"/>
      <c r="E67" s="1157"/>
      <c r="F67" s="1157"/>
      <c r="G67" s="1157"/>
      <c r="H67" s="1157"/>
      <c r="I67" s="1157"/>
      <c r="J67" s="1157"/>
    </row>
    <row r="68" spans="2:10">
      <c r="B68" s="1161"/>
      <c r="C68" s="1162"/>
      <c r="D68" s="1161"/>
      <c r="E68" s="1161"/>
      <c r="F68" s="1161"/>
      <c r="G68" s="1161"/>
      <c r="H68" s="1161"/>
      <c r="I68" s="1161"/>
      <c r="J68" s="1161"/>
    </row>
    <row r="69" spans="2:10">
      <c r="B69" s="1161"/>
      <c r="C69" s="1162"/>
      <c r="D69" s="1161"/>
      <c r="E69" s="1161"/>
      <c r="F69" s="1161"/>
      <c r="G69" s="1161"/>
      <c r="H69" s="1161"/>
      <c r="I69" s="1161"/>
      <c r="J69" s="1161"/>
    </row>
    <row r="70" spans="2:10">
      <c r="B70" s="1161"/>
      <c r="C70" s="1162"/>
      <c r="D70" s="1161"/>
      <c r="E70" s="1161"/>
      <c r="F70" s="1161"/>
      <c r="G70" s="1161"/>
      <c r="H70" s="1161"/>
      <c r="I70" s="1161"/>
      <c r="J70" s="1161"/>
    </row>
    <row r="71" spans="2:10">
      <c r="B71" s="1110"/>
      <c r="C71" s="1110"/>
      <c r="D71" s="1110"/>
      <c r="E71" s="1110"/>
      <c r="F71" s="1110"/>
      <c r="G71" s="1110"/>
      <c r="H71" s="1110"/>
      <c r="I71" s="1110"/>
      <c r="J71" s="1110"/>
    </row>
    <row r="72" spans="2:10">
      <c r="B72" s="1110"/>
      <c r="C72" s="1110"/>
      <c r="D72" s="1110"/>
      <c r="E72" s="1110"/>
      <c r="F72" s="1110"/>
      <c r="G72" s="1110"/>
      <c r="H72" s="1110"/>
      <c r="I72" s="1110"/>
      <c r="J72" s="1110"/>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O11:R19"/>
  <sheetViews>
    <sheetView workbookViewId="0">
      <selection activeCell="P24" sqref="P24"/>
    </sheetView>
  </sheetViews>
  <sheetFormatPr defaultRowHeight="14.4"/>
  <cols>
    <col min="9" max="9" width="10.5546875" bestFit="1" customWidth="1"/>
  </cols>
  <sheetData>
    <row r="11" spans="15:18">
      <c r="O11" s="1207" t="s">
        <v>3048</v>
      </c>
    </row>
    <row r="12" spans="15:18">
      <c r="O12">
        <v>70000</v>
      </c>
    </row>
    <row r="13" spans="15:18">
      <c r="O13">
        <v>80000</v>
      </c>
      <c r="P13">
        <v>0.6</v>
      </c>
      <c r="Q13">
        <f>O12*P13</f>
        <v>42000</v>
      </c>
      <c r="R13">
        <f>P13*O13</f>
        <v>48000</v>
      </c>
    </row>
    <row r="14" spans="15:18">
      <c r="P14">
        <v>0.5</v>
      </c>
      <c r="Q14">
        <f>O12*P14</f>
        <v>35000</v>
      </c>
      <c r="R14">
        <f>P14*O13</f>
        <v>40000</v>
      </c>
    </row>
    <row r="19" spans="15:15">
      <c r="O19">
        <f>4.55*收益法!F7*365/12</f>
        <v>22916.966041666663</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07" customWidth="1"/>
    <col min="2" max="2" width="37.88671875" style="1207" customWidth="1"/>
    <col min="3" max="3" width="16.109375" style="1207" customWidth="1"/>
    <col min="4" max="4" width="22.21875" style="1207" customWidth="1"/>
    <col min="5" max="5" width="4.109375" style="1207" customWidth="1"/>
    <col min="6" max="7" width="13" style="1207" customWidth="1"/>
    <col min="8" max="16384" width="9" style="1207"/>
  </cols>
  <sheetData>
    <row r="1" spans="1:5" ht="17.399999999999999">
      <c r="A1" s="1222" t="s">
        <v>592</v>
      </c>
    </row>
    <row r="2" spans="1:5" ht="78.75" customHeight="1">
      <c r="A2" s="30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76"/>
      <c r="C2" s="3076"/>
      <c r="D2" s="3076"/>
      <c r="E2" s="3076"/>
    </row>
    <row r="3" spans="1:5" ht="13.5" customHeight="1">
      <c r="A3" s="1223"/>
      <c r="B3" s="1223"/>
      <c r="C3" s="1223"/>
      <c r="D3" s="1223"/>
      <c r="E3" s="1223"/>
    </row>
    <row r="4" spans="1:5" ht="18" thickBot="1">
      <c r="A4" s="3077" t="str">
        <f>IF(项目基本情况!D5="房地产市场价值","估价结果一览表（市场价值不需本页表格)","估价结果一览表")</f>
        <v>估价结果一览表</v>
      </c>
      <c r="B4" s="3077"/>
      <c r="C4" s="3077"/>
      <c r="D4" s="3077"/>
      <c r="E4" s="3077"/>
    </row>
    <row r="5" spans="1:5" ht="14.25" customHeight="1" thickTop="1">
      <c r="B5" s="1224" t="s">
        <v>562</v>
      </c>
      <c r="C5" s="3078" t="s">
        <v>593</v>
      </c>
      <c r="D5" s="3079"/>
    </row>
    <row r="6" spans="1:5" ht="15.6">
      <c r="B6" s="1225" t="str">
        <f>项目基本情况!I1</f>
        <v>北京市房地产</v>
      </c>
      <c r="C6" s="3080">
        <f>项目基本情况!C12</f>
        <v>165.59</v>
      </c>
      <c r="D6" s="3080"/>
    </row>
    <row r="7" spans="1:5" ht="15.6">
      <c r="B7" s="3074" t="s">
        <v>594</v>
      </c>
      <c r="C7" s="1226" t="str">
        <f>IF('数据-取费表'!B3="万元","总价（万元）","总价（元）")</f>
        <v>总价（元）</v>
      </c>
      <c r="D7" s="1227">
        <f>IF('数据-取费表'!E3="否",结果表!I102,'结果表 (1修多)'!I104)</f>
        <v>0</v>
      </c>
    </row>
    <row r="8" spans="1:5" ht="15.6">
      <c r="B8" s="3074"/>
      <c r="C8" s="1228" t="s">
        <v>924</v>
      </c>
      <c r="D8" s="1229" t="str">
        <f>IF('数据-取费表'!B3="万元",NUMBERSTRING(INT(D7*10000),2)&amp;"元整",NUMBERSTRING(INT(D7),2)&amp;"元整")</f>
        <v>零元整</v>
      </c>
    </row>
    <row r="9" spans="1:5" ht="15.6">
      <c r="B9" s="3074"/>
      <c r="C9" s="1230" t="s">
        <v>1020</v>
      </c>
      <c r="D9" s="1227" t="e">
        <f>IF('数据-取费表'!E3="否",结果表!I103,'结果表 (1修多)'!I105)</f>
        <v>#DIV/0!</v>
      </c>
    </row>
    <row r="10" spans="1:5" ht="15.6">
      <c r="B10" s="3081" t="str">
        <f>IF('数据-取费表'!E3="否",结果表!F105,'结果表 (1修多)'!F107)</f>
        <v>2.估价师所知悉的法定优先受偿款</v>
      </c>
      <c r="C10" s="1231" t="str">
        <f>IF('数据-取费表'!B3="万元","总额（万元）","总额（元）")</f>
        <v>总额（元）</v>
      </c>
      <c r="D10" s="1227">
        <f>IF('数据-取费表'!E3="否",结果表!I105,'结果表 (1修多)'!I107)</f>
        <v>0</v>
      </c>
    </row>
    <row r="11" spans="1:5" ht="15.6">
      <c r="B11" s="3081"/>
      <c r="C11" s="1228" t="s">
        <v>924</v>
      </c>
      <c r="D11" s="1229" t="str">
        <f>IF('数据-取费表'!B3="万元",NUMBERSTRING(INT(D10*10000),2)&amp;"元整",NUMBERSTRING(INT(D10),2)&amp;"元整")</f>
        <v>零元整</v>
      </c>
    </row>
    <row r="12" spans="1:5" ht="15.6">
      <c r="B12" s="1232" t="s">
        <v>563</v>
      </c>
      <c r="C12" s="1233" t="str">
        <f>C10</f>
        <v>总额（元）</v>
      </c>
      <c r="D12" s="1234">
        <f>IF('数据-取费表'!E3="否",结果表!I106,'结果表 (1修多)'!I108)</f>
        <v>0</v>
      </c>
    </row>
    <row r="13" spans="1:5" ht="15.6">
      <c r="B13" s="1232" t="s">
        <v>564</v>
      </c>
      <c r="C13" s="1233" t="str">
        <f>C10</f>
        <v>总额（元）</v>
      </c>
      <c r="D13" s="1234">
        <f>IF('数据-取费表'!E3="否",结果表!I107,'结果表 (1修多)'!I109)</f>
        <v>0</v>
      </c>
    </row>
    <row r="14" spans="1:5" ht="15.6">
      <c r="B14" s="1232" t="s">
        <v>565</v>
      </c>
      <c r="C14" s="1233" t="str">
        <f>C10</f>
        <v>总额（元）</v>
      </c>
      <c r="D14" s="1234">
        <f>IF('数据-取费表'!E3="否",结果表!I108,'结果表 (1修多)'!I110)</f>
        <v>0</v>
      </c>
    </row>
    <row r="15" spans="1:5" ht="15.6">
      <c r="B15" s="3081" t="str">
        <f>IF('数据-取费表'!E3="否",结果表!F110,'结果表 (1修多)'!F112)</f>
        <v>3.房地产抵押价值</v>
      </c>
      <c r="C15" s="1221" t="str">
        <f>C7</f>
        <v>总价（元）</v>
      </c>
      <c r="D15" s="1227">
        <f>IF('数据-取费表'!E3="否",结果表!I110,'结果表 (1修多)'!I112)</f>
        <v>0</v>
      </c>
    </row>
    <row r="16" spans="1:5" ht="15.6">
      <c r="B16" s="3081"/>
      <c r="C16" s="1228" t="s">
        <v>924</v>
      </c>
      <c r="D16" s="1227" t="str">
        <f>IF('数据-取费表'!B3="万元",NUMBERSTRING(INT(D15*10000),2)&amp;"元整",NUMBERSTRING(INT(D15),2)&amp;"元整")</f>
        <v>零元整</v>
      </c>
    </row>
    <row r="17" spans="2:4" ht="15.6">
      <c r="B17" s="3081"/>
      <c r="C17" s="1230" t="s">
        <v>1020</v>
      </c>
      <c r="D17" s="1227" t="e">
        <f>IF('数据-取费表'!E3="否",结果表!I111,'结果表 (1修多)'!I113)</f>
        <v>#DIV/0!</v>
      </c>
    </row>
    <row r="18" spans="2:4" ht="15.6">
      <c r="B18" s="3081" t="str">
        <f>IF('数据-取费表'!E3="否",结果表!F112,'结果表 (1修多)'!F114)</f>
        <v>——</v>
      </c>
      <c r="C18" s="1221" t="str">
        <f>C7</f>
        <v>总价（元）</v>
      </c>
      <c r="D18" s="1227" t="str">
        <f>IF('数据-取费表'!E3="否",结果表!I112,'结果表 (1修多)'!I114)</f>
        <v>——</v>
      </c>
    </row>
    <row r="19" spans="2:4" ht="15.6">
      <c r="B19" s="3081"/>
      <c r="C19" s="1228" t="s">
        <v>924</v>
      </c>
      <c r="D19" s="1227" t="e">
        <f>IF('数据-取费表'!B3="万元",NUMBERSTRING(INT(D18*10000),2)&amp;"元整",NUMBERSTRING(INT(D18),2)&amp;"元整")</f>
        <v>#VALUE!</v>
      </c>
    </row>
    <row r="20" spans="2:4" ht="15.6">
      <c r="B20" s="3081"/>
      <c r="C20" s="1230" t="s">
        <v>1020</v>
      </c>
      <c r="D20" s="1227" t="str">
        <f>IF('数据-取费表'!E3="否",结果表!I113,'结果表 (1修多)'!I115)</f>
        <v>——</v>
      </c>
    </row>
    <row r="21" spans="2:4" ht="15.6">
      <c r="B21" s="3074" t="str">
        <f>IF('数据-取费表'!E3="否",结果表!F114,'结果表 (1修多)'!F116)</f>
        <v>——</v>
      </c>
      <c r="C21" s="1226" t="str">
        <f>C7</f>
        <v>总价（元）</v>
      </c>
      <c r="D21" s="1227" t="str">
        <f>IF('数据-取费表'!E3="否",结果表!I114,'结果表 (1修多)'!I116)</f>
        <v>——</v>
      </c>
    </row>
    <row r="22" spans="2:4" ht="15.6">
      <c r="B22" s="3074"/>
      <c r="C22" s="1228" t="s">
        <v>924</v>
      </c>
      <c r="D22" s="1229" t="e">
        <f>IF('数据-取费表'!B3="万元",NUMBERSTRING(INT(D21*10000),2)&amp;"元整",NUMBERSTRING(INT(D21),2)&amp;"元整")</f>
        <v>#VALUE!</v>
      </c>
    </row>
    <row r="23" spans="2:4" ht="16.2" thickBot="1">
      <c r="B23" s="3075"/>
      <c r="C23" s="1235" t="s">
        <v>1020</v>
      </c>
      <c r="D23" s="1236" t="str">
        <f>IF('数据-取费表'!E3="否",结果表!I115,'结果表 (1修多)'!I117)</f>
        <v>——</v>
      </c>
    </row>
    <row r="24" spans="2:4" ht="15" thickTop="1"/>
    <row r="25" spans="2:4" ht="18.75" customHeight="1" thickBot="1">
      <c r="B25" s="3066" t="s">
        <v>1021</v>
      </c>
      <c r="C25" s="3066"/>
      <c r="D25" s="3066"/>
    </row>
    <row r="26" spans="2:4" ht="18.75" customHeight="1" thickTop="1">
      <c r="B26" s="3069" t="s">
        <v>923</v>
      </c>
      <c r="C26" s="3070"/>
      <c r="D26" s="3067" t="s">
        <v>922</v>
      </c>
    </row>
    <row r="27" spans="2:4" ht="18.75" customHeight="1">
      <c r="B27" s="3071"/>
      <c r="C27" s="3072"/>
      <c r="D27" s="3068"/>
    </row>
    <row r="28" spans="2:4" ht="15.6">
      <c r="B28" s="3059" t="s">
        <v>594</v>
      </c>
      <c r="C28" s="1237" t="s">
        <v>925</v>
      </c>
      <c r="D28" s="1238">
        <f>IF('数据-取费表'!E3="否",结果表!I102,'结果表 (1修多)'!I104)</f>
        <v>0</v>
      </c>
    </row>
    <row r="29" spans="2:4" ht="15.6">
      <c r="B29" s="3060"/>
      <c r="C29" s="1239" t="s">
        <v>924</v>
      </c>
      <c r="D29" s="1240" t="str">
        <f>IF('数据-取费表'!B3="万元",NUMBERSTRING(INT(D28*10000),2)&amp;"元整",NUMBERSTRING(INT(D28),2)&amp;"元整")</f>
        <v>零元整</v>
      </c>
    </row>
    <row r="30" spans="2:4" ht="15.6">
      <c r="B30" s="3061"/>
      <c r="C30" s="1230" t="s">
        <v>927</v>
      </c>
      <c r="D30" s="1241" t="e">
        <f>IF('数据-取费表'!E3="否",结果表!I103,'结果表 (1修多)'!I105)</f>
        <v>#DIV/0!</v>
      </c>
    </row>
    <row r="31" spans="2:4" ht="15.6">
      <c r="B31" s="3064" t="str">
        <f>B10</f>
        <v>2.估价师所知悉的法定优先受偿款</v>
      </c>
      <c r="C31" s="1242" t="s">
        <v>926</v>
      </c>
      <c r="D31" s="1243">
        <f>IF('数据-取费表'!E3="否",结果表!I105,'结果表 (1修多)'!I107)</f>
        <v>0</v>
      </c>
    </row>
    <row r="32" spans="2:4" ht="15.6">
      <c r="B32" s="3073"/>
      <c r="C32" s="1239" t="s">
        <v>924</v>
      </c>
      <c r="D32" s="1229" t="str">
        <f>IF('数据-取费表'!B3="万元",NUMBERSTRING(INT(D31*10000),2)&amp;"元整",NUMBERSTRING(INT(D31),2)&amp;"元整")</f>
        <v>零元整</v>
      </c>
    </row>
    <row r="33" spans="2:4" ht="15.6">
      <c r="B33" s="1228" t="s">
        <v>907</v>
      </c>
      <c r="C33" s="1228" t="str">
        <f>C31</f>
        <v>总额</v>
      </c>
      <c r="D33" s="1241">
        <f>IF('数据-取费表'!E3="否",结果表!I106,'结果表 (1修多)'!I108)</f>
        <v>0</v>
      </c>
    </row>
    <row r="34" spans="2:4" ht="15.6">
      <c r="B34" s="1228" t="s">
        <v>908</v>
      </c>
      <c r="C34" s="1228" t="str">
        <f>C31</f>
        <v>总额</v>
      </c>
      <c r="D34" s="1241">
        <f>IF('数据-取费表'!E3="否",结果表!I107,'结果表 (1修多)'!I109)</f>
        <v>0</v>
      </c>
    </row>
    <row r="35" spans="2:4" ht="15.6">
      <c r="B35" s="1228" t="s">
        <v>909</v>
      </c>
      <c r="C35" s="1228" t="str">
        <f>C31</f>
        <v>总额</v>
      </c>
      <c r="D35" s="1241">
        <f>IF('数据-取费表'!E3="否",结果表!I108,'结果表 (1修多)'!I110)</f>
        <v>0</v>
      </c>
    </row>
    <row r="36" spans="2:4" ht="15.6">
      <c r="B36" s="3062" t="str">
        <f>B15</f>
        <v>3.房地产抵押价值</v>
      </c>
      <c r="C36" s="1242" t="str">
        <f>C28</f>
        <v>总价</v>
      </c>
      <c r="D36" s="1243">
        <f>IF('数据-取费表'!E3="否",结果表!I110,'结果表 (1修多)'!I112)</f>
        <v>0</v>
      </c>
    </row>
    <row r="37" spans="2:4" ht="15.6">
      <c r="B37" s="3062"/>
      <c r="C37" s="1239" t="s">
        <v>924</v>
      </c>
      <c r="D37" s="1229" t="str">
        <f>IF('数据-取费表'!B3="万元",NUMBERSTRING(INT(D36*10000),2)&amp;"元整",NUMBERSTRING(INT(D36),2)&amp;"元整")</f>
        <v>零元整</v>
      </c>
    </row>
    <row r="38" spans="2:4" ht="15.6">
      <c r="B38" s="3062"/>
      <c r="C38" s="1230" t="s">
        <v>928</v>
      </c>
      <c r="D38" s="1241" t="e">
        <f>IF('数据-取费表'!E3="否",结果表!D113,'结果表 (1修多)'!D117)</f>
        <v>#DIV/0!</v>
      </c>
    </row>
    <row r="39" spans="2:4" ht="15.6">
      <c r="B39" s="3063" t="str">
        <f>B18</f>
        <v>——</v>
      </c>
      <c r="C39" s="1242" t="str">
        <f>C28</f>
        <v>总价</v>
      </c>
      <c r="D39" s="1243" t="str">
        <f>IF('数据-取费表'!E3="否",结果表!I112,'结果表 (1修多)'!I114)</f>
        <v>——</v>
      </c>
    </row>
    <row r="40" spans="2:4" ht="15.6">
      <c r="B40" s="3063"/>
      <c r="C40" s="1239" t="s">
        <v>924</v>
      </c>
      <c r="D40" s="1229" t="e">
        <f>IF('数据-取费表'!B3="万元",NUMBERSTRING(INT(D39*10000),2)&amp;"元整",NUMBERSTRING(INT(D39),2)&amp;"元整")</f>
        <v>#VALUE!</v>
      </c>
    </row>
    <row r="41" spans="2:4" ht="15.6">
      <c r="B41" s="3063"/>
      <c r="C41" s="1230" t="s">
        <v>928</v>
      </c>
      <c r="D41" s="1241" t="str">
        <f>IF('数据-取费表'!E3="否",结果表!D115,'结果表 (1修多)'!D119)</f>
        <v>——</v>
      </c>
    </row>
    <row r="42" spans="2:4" ht="15.6">
      <c r="B42" s="3062" t="str">
        <f>B21</f>
        <v>——</v>
      </c>
      <c r="C42" s="1242" t="str">
        <f>C28</f>
        <v>总价</v>
      </c>
      <c r="D42" s="1243" t="str">
        <f>IF('数据-取费表'!E3="否",结果表!I114,'结果表 (1修多)'!I116)</f>
        <v>——</v>
      </c>
    </row>
    <row r="43" spans="2:4" ht="15.6">
      <c r="B43" s="3064"/>
      <c r="C43" s="1239" t="s">
        <v>924</v>
      </c>
      <c r="D43" s="1244" t="e">
        <f>IF('数据-取费表'!B3="万元",NUMBERSTRING(INT(D42*10000),2)&amp;"元整",NUMBERSTRING(INT(D42),2)&amp;"元整")</f>
        <v>#VALUE!</v>
      </c>
    </row>
    <row r="44" spans="2:4" ht="16.2" thickBot="1">
      <c r="B44" s="3065"/>
      <c r="C44" s="1235" t="s">
        <v>928</v>
      </c>
      <c r="D44" s="1245" t="str">
        <f>IF('数据-取费表'!E3="否",结果表!D117,'结果表 (1修多)'!D121)</f>
        <v>——</v>
      </c>
    </row>
    <row r="45" spans="2:4" ht="15" thickTop="1">
      <c r="B45" s="1207" t="str">
        <f>IF('数据-取费表'!B3="元","单位：元、元/平方米（单位：人民币）","单位：万元、元/平方米（单位：人民币）")</f>
        <v>单位：元、元/平方米（单位：人民币）</v>
      </c>
    </row>
    <row r="46" spans="2:4" ht="17.399999999999999">
      <c r="B46" s="1246"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582" customWidth="1"/>
    <col min="2" max="9" width="12.21875" style="582" customWidth="1"/>
    <col min="10" max="16384" width="9" style="582"/>
  </cols>
  <sheetData>
    <row r="1" spans="1:9" ht="16.2" thickBot="1">
      <c r="A1" s="3088" t="str">
        <f>IF(项目基本情况!D5="房地产市场价值","估价结果一览表","结果表-2")</f>
        <v>结果表-2</v>
      </c>
      <c r="B1" s="3088"/>
      <c r="C1" s="3088"/>
      <c r="D1" s="3088"/>
      <c r="E1" s="3088"/>
      <c r="F1" s="3088"/>
      <c r="G1" s="3088"/>
      <c r="H1" s="3088"/>
      <c r="I1" s="3088"/>
    </row>
    <row r="2" spans="1:9" ht="30" customHeight="1" thickTop="1">
      <c r="A2" s="3089" t="s">
        <v>1022</v>
      </c>
      <c r="B2" s="3089" t="s">
        <v>1023</v>
      </c>
      <c r="C2" s="3089" t="s">
        <v>1024</v>
      </c>
      <c r="D2" s="3089" t="str">
        <f>IF('数据-取费表'!E3="否",结果表!D119,'结果表 (1修多)'!D123)</f>
        <v>出让国有建设用地使用权价值</v>
      </c>
      <c r="E2" s="3089"/>
      <c r="F2" s="3089" t="s">
        <v>1025</v>
      </c>
      <c r="G2" s="3089"/>
      <c r="H2" s="3089" t="s">
        <v>1026</v>
      </c>
      <c r="I2" s="3089"/>
    </row>
    <row r="3" spans="1:9" ht="15.6">
      <c r="A3" s="3082"/>
      <c r="B3" s="3082"/>
      <c r="C3" s="3082"/>
      <c r="D3" s="741" t="s">
        <v>1027</v>
      </c>
      <c r="E3" s="741" t="s">
        <v>1028</v>
      </c>
      <c r="F3" s="741" t="s">
        <v>1027</v>
      </c>
      <c r="G3" s="741" t="s">
        <v>1029</v>
      </c>
      <c r="H3" s="741" t="s">
        <v>1027</v>
      </c>
      <c r="I3" s="741" t="s">
        <v>1029</v>
      </c>
    </row>
    <row r="4" spans="1:9" ht="46.5" customHeight="1">
      <c r="A4" s="741" t="str">
        <f>项目基本情况!I1</f>
        <v>北京市房地产</v>
      </c>
      <c r="B4" s="741">
        <f>结果表!B121</f>
        <v>165.59</v>
      </c>
      <c r="C4" s="741">
        <f>结果表!C121</f>
        <v>0</v>
      </c>
      <c r="D4" s="741">
        <f>IF('数据-取费表'!E3="否",结果表!D121,'结果表 (1修多)'!D125)</f>
        <v>0</v>
      </c>
      <c r="E4" s="741" t="e">
        <f>IF('数据-取费表'!E3="否",结果表!E121,'结果表 (1修多)'!E125)</f>
        <v>#DIV/0!</v>
      </c>
      <c r="F4" s="741">
        <f>IF('数据-取费表'!E3="否",结果表!F121,'结果表 (1修多)'!F125)</f>
        <v>0</v>
      </c>
      <c r="G4" s="741" t="e">
        <f>IF('数据-取费表'!E3="否",结果表!G121,'结果表 (1修多)'!G125)</f>
        <v>#DIV/0!</v>
      </c>
      <c r="H4" s="741">
        <f>IF('数据-取费表'!E3="否",结果表!H121,'结果表 (1修多)'!H125)</f>
        <v>0</v>
      </c>
      <c r="I4" s="741" t="e">
        <f>IF('数据-取费表'!E3="否",结果表!I121,'结果表 (1修多)'!I125)</f>
        <v>#DIV/0!</v>
      </c>
    </row>
    <row r="5" spans="1:9" ht="15">
      <c r="A5" s="3082" t="s">
        <v>1030</v>
      </c>
      <c r="B5" s="3082"/>
      <c r="C5" s="3082"/>
      <c r="D5" s="3083" t="str">
        <f>IF('数据-取费表'!E3="否",结果表!D122,'结果表 (1修多)'!D126)</f>
        <v>零元整</v>
      </c>
      <c r="E5" s="3083"/>
      <c r="F5" s="3083" t="str">
        <f>IF('数据-取费表'!E3="否",结果表!F122,'结果表 (1修多)'!F126)</f>
        <v>零元整</v>
      </c>
      <c r="G5" s="3083"/>
      <c r="H5" s="3083" t="str">
        <f>IF('数据-取费表'!E3="否",结果表!H122,'结果表 (1修多)'!H126)</f>
        <v>零元整</v>
      </c>
      <c r="I5" s="3083"/>
    </row>
    <row r="6" spans="1:9" ht="15.6">
      <c r="A6" s="3084" t="str">
        <f>IF('数据-取费表'!E3="否",结果表!A123,'结果表 (1修多)'!A127)</f>
        <v>估价师所知悉的法定优先受偿款</v>
      </c>
      <c r="B6" s="3084"/>
      <c r="C6" s="3084"/>
      <c r="D6" s="3084">
        <f>IF('数据-取费表'!E3="否",结果表!D123,'结果表 (1修多)'!D127)</f>
        <v>0</v>
      </c>
      <c r="E6" s="3084"/>
      <c r="F6" s="3084"/>
      <c r="G6" s="3084"/>
      <c r="H6" s="3084"/>
      <c r="I6" s="3084"/>
    </row>
    <row r="7" spans="1:9" ht="15">
      <c r="A7" s="3082" t="s">
        <v>1030</v>
      </c>
      <c r="B7" s="3082"/>
      <c r="C7" s="3082"/>
      <c r="D7" s="3090">
        <f>IF('数据-取费表'!E3="否",结果表!D124,'结果表 (1修多)'!D128)</f>
        <v>0</v>
      </c>
      <c r="E7" s="3091"/>
      <c r="F7" s="3091"/>
      <c r="G7" s="3091"/>
      <c r="H7" s="3091"/>
      <c r="I7" s="3092"/>
    </row>
    <row r="8" spans="1:9" ht="15.6">
      <c r="A8" s="3084" t="str">
        <f>IF('数据-取费表'!E3="否",结果表!A125,'结果表 (1修多)'!A129)</f>
        <v>房地产抵押价值</v>
      </c>
      <c r="B8" s="3084"/>
      <c r="C8" s="3084"/>
      <c r="D8" s="3084">
        <f>IF('数据-取费表'!E3="否",结果表!D125,'结果表 (1修多)'!D129)</f>
        <v>0</v>
      </c>
      <c r="E8" s="3084"/>
      <c r="F8" s="3084"/>
      <c r="G8" s="3084"/>
      <c r="H8" s="3084"/>
      <c r="I8" s="3084"/>
    </row>
    <row r="9" spans="1:9" ht="15">
      <c r="A9" s="3082" t="s">
        <v>1030</v>
      </c>
      <c r="B9" s="3082"/>
      <c r="C9" s="3082"/>
      <c r="D9" s="3083" t="e">
        <f>IF('数据-取费表'!E3="否",结果表!D126,'结果表 (1修多)'!D130)</f>
        <v>#DIV/0!</v>
      </c>
      <c r="E9" s="3083"/>
      <c r="F9" s="3083"/>
      <c r="G9" s="3083"/>
      <c r="H9" s="3083"/>
      <c r="I9" s="3083"/>
    </row>
    <row r="10" spans="1:9" ht="15.6">
      <c r="A10" s="3084" t="str">
        <f>IF('数据-取费表'!E3="否",结果表!A127,'结果表 (1修多)'!A131)</f>
        <v/>
      </c>
      <c r="B10" s="3084"/>
      <c r="C10" s="3084"/>
      <c r="D10" s="3084" t="e">
        <f>IF('数据-取费表'!E3="否",结果表!D127,'结果表 (1修多)'!D130)</f>
        <v>#DIV/0!</v>
      </c>
      <c r="E10" s="3084"/>
      <c r="F10" s="3084"/>
      <c r="G10" s="3084"/>
      <c r="H10" s="3084"/>
      <c r="I10" s="3084"/>
    </row>
    <row r="11" spans="1:9" ht="15">
      <c r="A11" s="3082" t="s">
        <v>1030</v>
      </c>
      <c r="B11" s="3082"/>
      <c r="C11" s="3082"/>
      <c r="D11" s="3083" t="str">
        <f>IF('数据-取费表'!E3="否",结果表!D128,'结果表 (1修多)'!D132)</f>
        <v>——</v>
      </c>
      <c r="E11" s="3083"/>
      <c r="F11" s="3083"/>
      <c r="G11" s="3083"/>
      <c r="H11" s="3083"/>
      <c r="I11" s="3083"/>
    </row>
    <row r="12" spans="1:9" ht="15.6">
      <c r="A12" s="3084" t="str">
        <f>IF('数据-取费表'!E3="否",结果表!A129,'结果表 (1修多)'!A133)</f>
        <v/>
      </c>
      <c r="B12" s="3084"/>
      <c r="C12" s="3084"/>
      <c r="D12" s="3084" t="str">
        <f>IF('数据-取费表'!E3="否",结果表!D129,'结果表 (1修多)'!D133)</f>
        <v>——</v>
      </c>
      <c r="E12" s="3084"/>
      <c r="F12" s="3084"/>
      <c r="G12" s="3084"/>
      <c r="H12" s="3084"/>
      <c r="I12" s="3084"/>
    </row>
    <row r="13" spans="1:9" ht="15.6" thickBot="1">
      <c r="A13" s="3085" t="s">
        <v>1030</v>
      </c>
      <c r="B13" s="3085"/>
      <c r="C13" s="3085"/>
      <c r="D13" s="3086">
        <f>IF('数据-取费表'!E3="否",结果表!D130,'结果表 (1修多)'!D134)</f>
        <v>0</v>
      </c>
      <c r="E13" s="3086"/>
      <c r="F13" s="3086"/>
      <c r="G13" s="3086"/>
      <c r="H13" s="3086"/>
      <c r="I13" s="3086"/>
    </row>
    <row r="14" spans="1:9" ht="14.4" thickTop="1">
      <c r="A14" s="3087" t="str">
        <f>IF('数据-取费表'!E3="否",结果表!A131,'结果表 (1修多)'!A135)</f>
        <v>单位：平方米、元、元/平方米（币种：人民币）</v>
      </c>
      <c r="B14" s="3087"/>
      <c r="C14" s="3087"/>
      <c r="D14" s="3087"/>
      <c r="E14" s="3087"/>
      <c r="F14" s="3087"/>
      <c r="G14" s="3087"/>
      <c r="H14" s="3087"/>
      <c r="I14" s="3087"/>
    </row>
    <row r="16" spans="1:9" ht="17.399999999999999">
      <c r="A16" s="1220" t="s">
        <v>1031</v>
      </c>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582" customWidth="1"/>
    <col min="2" max="2" width="24" style="582" customWidth="1"/>
    <col min="3" max="3" width="23.21875" style="582" customWidth="1"/>
    <col min="4" max="4" width="21" style="582" customWidth="1"/>
    <col min="5" max="16384" width="9" style="582"/>
  </cols>
  <sheetData>
    <row r="1" spans="1:4" ht="17.399999999999999">
      <c r="A1" s="3094" t="s">
        <v>1043</v>
      </c>
      <c r="B1" s="3094"/>
      <c r="C1" s="3094"/>
      <c r="D1" s="3094"/>
    </row>
    <row r="2" spans="1:4" ht="17.399999999999999">
      <c r="A2" s="3093" t="s">
        <v>1032</v>
      </c>
      <c r="B2" s="3093"/>
      <c r="C2" s="3093"/>
      <c r="D2" s="3093"/>
    </row>
    <row r="3" spans="1:4" ht="17.399999999999999">
      <c r="A3" s="1247" t="s">
        <v>1033</v>
      </c>
      <c r="B3" s="1247" t="s">
        <v>1034</v>
      </c>
      <c r="C3" s="1247" t="s">
        <v>1035</v>
      </c>
      <c r="D3" s="1247" t="s">
        <v>1036</v>
      </c>
    </row>
    <row r="4" spans="1:4" ht="56.25" customHeight="1">
      <c r="A4" s="1248">
        <f>项目基本情况!B3</f>
        <v>0</v>
      </c>
      <c r="B4" s="1249">
        <f>项目基本情况!C3</f>
        <v>0</v>
      </c>
      <c r="C4" s="1250"/>
      <c r="D4" s="1251" t="s">
        <v>1044</v>
      </c>
    </row>
    <row r="5" spans="1:4" ht="56.25" customHeight="1">
      <c r="A5" s="1248">
        <f>项目基本情况!D3</f>
        <v>0</v>
      </c>
      <c r="B5" s="1249">
        <f>项目基本情况!E3</f>
        <v>0</v>
      </c>
      <c r="C5" s="1252"/>
      <c r="D5" s="1251" t="s">
        <v>1044</v>
      </c>
    </row>
    <row r="6" spans="1:4" ht="12" customHeight="1">
      <c r="A6" s="1248"/>
      <c r="B6" s="1249"/>
      <c r="C6" s="1253"/>
      <c r="D6" s="1251"/>
    </row>
    <row r="7" spans="1:4" ht="17.399999999999999">
      <c r="A7" s="3093" t="s">
        <v>1037</v>
      </c>
      <c r="B7" s="3093"/>
      <c r="C7" s="3093"/>
      <c r="D7" s="3093"/>
    </row>
    <row r="8" spans="1:4" ht="17.399999999999999">
      <c r="A8" s="1247" t="s">
        <v>1033</v>
      </c>
      <c r="B8" s="1249" t="s">
        <v>1038</v>
      </c>
      <c r="C8" s="1247" t="s">
        <v>1035</v>
      </c>
      <c r="D8" s="1247" t="s">
        <v>1036</v>
      </c>
    </row>
    <row r="9" spans="1:4" ht="56.25" customHeight="1">
      <c r="A9" s="1254" t="s">
        <v>595</v>
      </c>
      <c r="B9" s="1254" t="s">
        <v>596</v>
      </c>
      <c r="C9" s="1250"/>
      <c r="D9" s="1251" t="s">
        <v>1044</v>
      </c>
    </row>
    <row r="11" spans="1:4" ht="17.399999999999999">
      <c r="A11" s="1255" t="s">
        <v>1039</v>
      </c>
    </row>
    <row r="12" spans="1:4" ht="30" customHeight="1">
      <c r="A12" s="3095" t="s">
        <v>2496</v>
      </c>
      <c r="B12" s="3096"/>
      <c r="C12" s="3096"/>
      <c r="D12" s="3096"/>
    </row>
    <row r="13" spans="1:4" ht="15.6">
      <c r="A13" s="30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096"/>
      <c r="C13" s="3096"/>
      <c r="D13" s="3096"/>
    </row>
    <row r="14" spans="1:4" ht="30" customHeight="1">
      <c r="A14" s="309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096"/>
      <c r="C14" s="3096"/>
      <c r="D14" s="3096"/>
    </row>
    <row r="15" spans="1:4" ht="15.75" customHeight="1">
      <c r="A15" s="3095" t="str">
        <f>IF(项目基本情况!D4="抵押","4.本次评估估价师所知悉的法定优先受偿款情况说明如下：","——")</f>
        <v>4.本次评估估价师所知悉的法定优先受偿款情况说明如下：</v>
      </c>
      <c r="B15" s="3096"/>
      <c r="C15" s="3096"/>
      <c r="D15" s="3096"/>
    </row>
    <row r="16" spans="1:4" ht="75" customHeight="1">
      <c r="A16" s="309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095"/>
      <c r="C16" s="3095"/>
      <c r="D16" s="3095"/>
    </row>
    <row r="17" spans="1:4" ht="63.75" customHeight="1">
      <c r="A17" s="3097" t="s">
        <v>1045</v>
      </c>
      <c r="B17" s="3097"/>
      <c r="C17" s="3097"/>
      <c r="D17" s="3097"/>
    </row>
    <row r="18" spans="1:4" ht="15.75" customHeight="1">
      <c r="A18" s="3095" t="str">
        <f>IF(项目基本情况!D4="抵押",结果表!L106,"——")</f>
        <v>本次评估不存在估价师所知悉的法定优先受偿款。</v>
      </c>
      <c r="B18" s="3095"/>
      <c r="C18" s="3095"/>
      <c r="D18" s="3095"/>
    </row>
    <row r="19" spans="1:4" ht="46.5" customHeight="1">
      <c r="A19" s="30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95"/>
      <c r="C19" s="3095"/>
      <c r="D19" s="3095"/>
    </row>
    <row r="20" spans="1:4" ht="15">
      <c r="A20" s="3097" t="s">
        <v>2497</v>
      </c>
      <c r="B20" s="3097"/>
      <c r="C20" s="3097"/>
      <c r="D20" s="3097"/>
    </row>
    <row r="21" spans="1:4">
      <c r="A21" s="1256"/>
      <c r="B21" s="403"/>
      <c r="C21" s="403"/>
      <c r="D21" s="403"/>
    </row>
    <row r="22" spans="1:4">
      <c r="A22" s="1256"/>
      <c r="B22" s="403"/>
      <c r="C22" s="403"/>
      <c r="D22" s="403"/>
    </row>
    <row r="23" spans="1:4" ht="17.399999999999999">
      <c r="A23" s="1220" t="s">
        <v>1040</v>
      </c>
    </row>
    <row r="24" spans="1:4" ht="17.399999999999999">
      <c r="A24" s="1220"/>
    </row>
    <row r="25" spans="1:4" ht="17.399999999999999">
      <c r="A25" s="1220" t="s">
        <v>1041</v>
      </c>
    </row>
    <row r="28" spans="1:4" ht="21" customHeight="1">
      <c r="D28" s="1257" t="s">
        <v>1042</v>
      </c>
    </row>
    <row r="29" spans="1:4" ht="21" customHeight="1">
      <c r="C29" s="1258"/>
      <c r="D29" s="125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264" customWidth="1"/>
    <col min="2" max="16384" width="14.44140625" style="582"/>
  </cols>
  <sheetData>
    <row r="1" spans="1:7" s="1220" customFormat="1" ht="17.399999999999999">
      <c r="A1" s="580" t="s">
        <v>1112</v>
      </c>
    </row>
    <row r="3" spans="1:7">
      <c r="A3" s="1263" t="s">
        <v>1113</v>
      </c>
      <c r="B3" s="582" t="s">
        <v>1114</v>
      </c>
      <c r="G3" s="1216"/>
    </row>
    <row r="4" spans="1:7">
      <c r="G4" s="1216"/>
    </row>
    <row r="5" spans="1:7">
      <c r="A5" s="1265" t="s">
        <v>1115</v>
      </c>
      <c r="B5" s="582" t="s">
        <v>1116</v>
      </c>
      <c r="G5" s="1216"/>
    </row>
    <row r="6" spans="1:7">
      <c r="G6" s="1216"/>
    </row>
    <row r="7" spans="1:7">
      <c r="A7" s="1266" t="s">
        <v>1117</v>
      </c>
      <c r="B7" s="582" t="s">
        <v>1118</v>
      </c>
      <c r="G7" s="1216"/>
    </row>
    <row r="8" spans="1:7">
      <c r="G8" s="1216"/>
    </row>
    <row r="9" spans="1:7">
      <c r="A9" s="1267" t="s">
        <v>1119</v>
      </c>
      <c r="B9" s="582" t="s">
        <v>1120</v>
      </c>
    </row>
    <row r="11" spans="1:7">
      <c r="A11" s="1268" t="s">
        <v>1121</v>
      </c>
      <c r="B11" s="1269" t="s">
        <v>1122</v>
      </c>
    </row>
    <row r="13" spans="1:7">
      <c r="A13" s="1064" t="s">
        <v>1123</v>
      </c>
    </row>
    <row r="15" spans="1:7" ht="14.4">
      <c r="A15" s="3103" t="s">
        <v>1124</v>
      </c>
      <c r="B15" s="3098" t="s">
        <v>1125</v>
      </c>
      <c r="C15" s="3099"/>
    </row>
    <row r="16" spans="1:7" ht="14.4">
      <c r="A16" s="3104"/>
      <c r="B16" s="3098" t="s">
        <v>1126</v>
      </c>
      <c r="C16" s="3099"/>
    </row>
    <row r="17" spans="1:3" ht="14.4">
      <c r="A17" s="3104"/>
      <c r="B17" s="3098" t="s">
        <v>1127</v>
      </c>
      <c r="C17" s="3099"/>
    </row>
    <row r="18" spans="1:3" ht="14.4">
      <c r="A18" s="3105"/>
      <c r="B18" s="3100" t="s">
        <v>1128</v>
      </c>
      <c r="C18" s="3099"/>
    </row>
    <row r="19" spans="1:3" ht="14.4">
      <c r="A19" s="1270" t="s">
        <v>1129</v>
      </c>
      <c r="B19" s="1271"/>
      <c r="C19" s="1272"/>
    </row>
    <row r="20" spans="1:3" ht="14.4">
      <c r="A20" s="3101" t="s">
        <v>1130</v>
      </c>
      <c r="B20" s="3100" t="s">
        <v>1131</v>
      </c>
      <c r="C20" s="3099"/>
    </row>
    <row r="21" spans="1:3" ht="14.4">
      <c r="A21" s="3101"/>
      <c r="B21" s="3100" t="s">
        <v>1132</v>
      </c>
      <c r="C21" s="3099"/>
    </row>
    <row r="22" spans="1:3" ht="14.4">
      <c r="A22" s="3101"/>
      <c r="B22" s="3100" t="s">
        <v>1133</v>
      </c>
      <c r="C22" s="3099"/>
    </row>
    <row r="23" spans="1:3" ht="14.4">
      <c r="A23" s="3101"/>
      <c r="B23" s="3102" t="s">
        <v>1134</v>
      </c>
      <c r="C23" s="1273" t="s">
        <v>1135</v>
      </c>
    </row>
    <row r="24" spans="1:3" ht="14.4">
      <c r="A24" s="3101"/>
      <c r="B24" s="3102"/>
      <c r="C24" s="1273" t="s">
        <v>1136</v>
      </c>
    </row>
    <row r="25" spans="1:3" ht="14.4">
      <c r="A25" s="3101"/>
      <c r="B25" s="3102"/>
      <c r="C25" s="1273" t="s">
        <v>1137</v>
      </c>
    </row>
    <row r="26" spans="1:3" ht="14.4">
      <c r="A26" s="3101"/>
      <c r="B26" s="3102"/>
      <c r="C26" s="1273" t="s">
        <v>1138</v>
      </c>
    </row>
    <row r="27" spans="1:3" ht="14.4">
      <c r="A27" s="3101"/>
      <c r="B27" s="3102"/>
      <c r="C27" s="1273" t="s">
        <v>1139</v>
      </c>
    </row>
    <row r="28" spans="1:3" ht="14.4">
      <c r="A28" s="3101"/>
      <c r="B28" s="3102"/>
      <c r="C28" s="1273" t="s">
        <v>1140</v>
      </c>
    </row>
    <row r="29" spans="1:3" ht="14.4">
      <c r="A29" s="3101"/>
      <c r="B29" s="3102"/>
      <c r="C29" s="1273" t="s">
        <v>1141</v>
      </c>
    </row>
    <row r="30" spans="1:3" ht="14.4">
      <c r="A30" s="3101"/>
      <c r="B30" s="3102"/>
      <c r="C30" s="1273" t="s">
        <v>1142</v>
      </c>
    </row>
    <row r="31" spans="1:3" ht="14.4">
      <c r="A31" s="3101"/>
      <c r="B31" s="3102"/>
      <c r="C31" s="1273" t="s">
        <v>1143</v>
      </c>
    </row>
    <row r="32" spans="1:3">
      <c r="A32" s="127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744" customWidth="1"/>
    <col min="2" max="2" width="38.6640625" style="2744" customWidth="1"/>
    <col min="3" max="3" width="26" style="2744" customWidth="1"/>
    <col min="4" max="4" width="35" style="2744" hidden="1" customWidth="1"/>
    <col min="5" max="5" width="30.109375" style="2744" customWidth="1"/>
    <col min="6" max="6" width="35.44140625" style="2744" customWidth="1"/>
    <col min="7" max="7" width="31" style="2744" customWidth="1"/>
    <col min="8" max="8" width="37.44140625" style="2744" hidden="1" customWidth="1"/>
    <col min="9" max="16384" width="22.6640625" style="2744"/>
  </cols>
  <sheetData>
    <row r="1" spans="1:8" ht="24" customHeight="1">
      <c r="A1" s="2746"/>
      <c r="B1" s="2746"/>
      <c r="C1" s="2746"/>
      <c r="D1" s="2746"/>
      <c r="E1" s="2746"/>
      <c r="F1" s="2746"/>
      <c r="G1" s="2746"/>
      <c r="H1" s="2746"/>
    </row>
    <row r="2" spans="1:8" ht="24" customHeight="1">
      <c r="A2" s="2747" t="s">
        <v>566</v>
      </c>
      <c r="B2" s="2748">
        <f ca="1">TODAY()</f>
        <v>44904</v>
      </c>
      <c r="C2" s="2749" t="s">
        <v>567</v>
      </c>
      <c r="D2" s="2749"/>
      <c r="E2" s="2749"/>
      <c r="F2" s="2746"/>
      <c r="G2" s="2746"/>
      <c r="H2" s="2746"/>
    </row>
    <row r="3" spans="1:8" ht="24" customHeight="1">
      <c r="A3" s="2750" t="s">
        <v>568</v>
      </c>
      <c r="B3" s="1172" t="s">
        <v>569</v>
      </c>
      <c r="C3" s="1172" t="s">
        <v>570</v>
      </c>
      <c r="D3" s="2751" t="s">
        <v>590</v>
      </c>
      <c r="E3" s="2763" t="s">
        <v>571</v>
      </c>
      <c r="F3" s="1172" t="s">
        <v>572</v>
      </c>
      <c r="G3" s="1172" t="s">
        <v>570</v>
      </c>
      <c r="H3" s="2751" t="s">
        <v>591</v>
      </c>
    </row>
    <row r="4" spans="1:8" ht="24" customHeight="1">
      <c r="A4" s="1172" t="s">
        <v>573</v>
      </c>
      <c r="B4" s="1172" t="str">
        <f ca="1">IF(C4&lt;B2,"已过期",1119970066)</f>
        <v>已过期</v>
      </c>
      <c r="C4" s="2752">
        <v>44876</v>
      </c>
      <c r="D4" s="2762" t="str">
        <f ca="1">A4&amp;"（注册号："&amp;B4&amp;"）"</f>
        <v>梁津（注册号：已过期）</v>
      </c>
      <c r="E4" s="2764" t="s">
        <v>573</v>
      </c>
      <c r="F4" s="1172">
        <f ca="1">IF(G4&lt;B2,"已过期",96010014)</f>
        <v>96010014</v>
      </c>
      <c r="G4" s="2753">
        <v>47118</v>
      </c>
      <c r="H4" s="2754" t="str">
        <f ca="1">E4&amp;"（注册号："&amp;F4&amp;"）"</f>
        <v>梁津（注册号：96010014）</v>
      </c>
    </row>
    <row r="5" spans="1:8" ht="24" customHeight="1">
      <c r="A5" s="1172" t="s">
        <v>574</v>
      </c>
      <c r="B5" s="1172" t="str">
        <f ca="1">IF(C5&lt;B2,"已过期",1119970111)</f>
        <v>已过期</v>
      </c>
      <c r="C5" s="2752">
        <v>44876</v>
      </c>
      <c r="D5" s="2762" t="str">
        <f t="shared" ref="D5:D14" ca="1" si="0">A5&amp;"（注册号："&amp;B5&amp;"）"</f>
        <v>叶凌（注册号：已过期）</v>
      </c>
      <c r="E5" s="2764" t="s">
        <v>574</v>
      </c>
      <c r="F5" s="1172">
        <f ca="1">IF(G5&lt;B2,"已过期",94010078)</f>
        <v>94010078</v>
      </c>
      <c r="G5" s="2753">
        <v>46387</v>
      </c>
      <c r="H5" s="2754" t="str">
        <f t="shared" ref="H5:H16" ca="1" si="1">E5&amp;"（注册号："&amp;F5&amp;"）"</f>
        <v>叶凌（注册号：94010078）</v>
      </c>
    </row>
    <row r="6" spans="1:8" ht="24" customHeight="1">
      <c r="A6" s="1172" t="s">
        <v>575</v>
      </c>
      <c r="B6" s="1172">
        <f ca="1">IF(C6&lt;B2,"已过期",1120050019)</f>
        <v>1120050019</v>
      </c>
      <c r="C6" s="2752">
        <v>45410</v>
      </c>
      <c r="D6" s="2762" t="str">
        <f t="shared" ca="1" si="0"/>
        <v>王鹏（注册号：1120050019）</v>
      </c>
      <c r="E6" s="2764" t="s">
        <v>575</v>
      </c>
      <c r="F6" s="1172">
        <f ca="1">IF(G6&lt;B2,"已过期",2002110030)</f>
        <v>2002110030</v>
      </c>
      <c r="G6" s="2753">
        <v>46387</v>
      </c>
      <c r="H6" s="2754" t="str">
        <f t="shared" ca="1" si="1"/>
        <v>王鹏（注册号：2002110030）</v>
      </c>
    </row>
    <row r="7" spans="1:8" ht="24" customHeight="1">
      <c r="A7" s="1172" t="s">
        <v>576</v>
      </c>
      <c r="B7" s="1172" t="str">
        <f ca="1">IF(C7&lt;B2,"已过期",1120000080)</f>
        <v>已过期</v>
      </c>
      <c r="C7" s="2752">
        <v>44876</v>
      </c>
      <c r="D7" s="2762" t="str">
        <f t="shared" ca="1" si="0"/>
        <v>欧红伟（注册号：已过期）</v>
      </c>
      <c r="E7" s="2764" t="s">
        <v>576</v>
      </c>
      <c r="F7" s="1172">
        <f ca="1">IF(G7&lt;B2,"已过期",2000110082)</f>
        <v>2000110082</v>
      </c>
      <c r="G7" s="2753">
        <v>46387</v>
      </c>
      <c r="H7" s="2754" t="str">
        <f t="shared" ca="1" si="1"/>
        <v>欧红伟（注册号：2000110082）</v>
      </c>
    </row>
    <row r="8" spans="1:8" ht="24" customHeight="1">
      <c r="A8" s="1172" t="s">
        <v>577</v>
      </c>
      <c r="B8" s="1172" t="str">
        <f ca="1">IF(C8&lt;B2,"已过期",1419970001)</f>
        <v>已过期</v>
      </c>
      <c r="C8" s="2752">
        <v>44899</v>
      </c>
      <c r="D8" s="2762" t="str">
        <f t="shared" ca="1" si="0"/>
        <v>吴薇（注册号：已过期）</v>
      </c>
      <c r="E8" s="2764" t="s">
        <v>577</v>
      </c>
      <c r="F8" s="1172">
        <f ca="1">IF(G8&lt;B2,"已过期",2002110125)</f>
        <v>2002110125</v>
      </c>
      <c r="G8" s="2753">
        <v>47118</v>
      </c>
      <c r="H8" s="2754" t="str">
        <f t="shared" ca="1" si="1"/>
        <v>吴薇（注册号：2002110125）</v>
      </c>
    </row>
    <row r="9" spans="1:8" ht="24" customHeight="1">
      <c r="A9" s="1172" t="s">
        <v>578</v>
      </c>
      <c r="B9" s="1172">
        <f ca="1">IF(C9&lt;B2,"已过期",1120060040)</f>
        <v>1120060040</v>
      </c>
      <c r="C9" s="2755">
        <v>45592</v>
      </c>
      <c r="D9" s="2762" t="str">
        <f t="shared" ca="1" si="0"/>
        <v>陈颖（注册号：1120060040）</v>
      </c>
      <c r="E9" s="2764" t="s">
        <v>578</v>
      </c>
      <c r="F9" s="1172">
        <f ca="1">IF(G9&lt;B2,"已过期",2004110096)</f>
        <v>2004110096</v>
      </c>
      <c r="G9" s="2753">
        <v>47118</v>
      </c>
      <c r="H9" s="2754" t="str">
        <f t="shared" ca="1" si="1"/>
        <v>陈颖（注册号：2004110096）</v>
      </c>
    </row>
    <row r="10" spans="1:8" ht="24" customHeight="1">
      <c r="A10" s="1172" t="s">
        <v>579</v>
      </c>
      <c r="B10" s="1172" t="str">
        <f ca="1">IF(C10&lt;B2,"已过期",1120100036)</f>
        <v>已过期</v>
      </c>
      <c r="C10" s="2755">
        <v>44675</v>
      </c>
      <c r="D10" s="2762" t="str">
        <f t="shared" ca="1" si="0"/>
        <v>崔锴（注册号：已过期）</v>
      </c>
      <c r="E10" s="2764" t="s">
        <v>579</v>
      </c>
      <c r="F10" s="1172">
        <f ca="1">IF(G10&lt;B2,"已过期",2010110070)</f>
        <v>2010110070</v>
      </c>
      <c r="G10" s="2753">
        <v>47907</v>
      </c>
      <c r="H10" s="2754" t="str">
        <f t="shared" ca="1" si="1"/>
        <v>崔锴（注册号：2010110070）</v>
      </c>
    </row>
    <row r="11" spans="1:8" ht="24" customHeight="1">
      <c r="A11" s="1172" t="s">
        <v>580</v>
      </c>
      <c r="B11" s="1172" t="str">
        <f ca="1">IF(C11&lt;B2,"已过期",1120070131)</f>
        <v>已过期</v>
      </c>
      <c r="C11" s="2752">
        <v>44849</v>
      </c>
      <c r="D11" s="2762" t="str">
        <f t="shared" ca="1" si="0"/>
        <v>郑燚（注册号：已过期）</v>
      </c>
      <c r="E11" s="2764" t="s">
        <v>580</v>
      </c>
      <c r="F11" s="1172">
        <f ca="1">IF(G11&lt;B2,"已过期",2014110011)</f>
        <v>2014110011</v>
      </c>
      <c r="G11" s="2753">
        <v>49302</v>
      </c>
      <c r="H11" s="2754" t="str">
        <f t="shared" ca="1" si="1"/>
        <v>郑燚（注册号：2014110011）</v>
      </c>
    </row>
    <row r="12" spans="1:8" ht="24" customHeight="1">
      <c r="A12" s="1172" t="s">
        <v>2473</v>
      </c>
      <c r="B12" s="1172" t="str">
        <f ca="1">IF(C12&lt;B2,"已过期",1120040230)</f>
        <v>已过期</v>
      </c>
      <c r="C12" s="2755">
        <v>44864</v>
      </c>
      <c r="D12" s="2762" t="str">
        <f t="shared" ca="1" si="0"/>
        <v>苏海（注册号：已过期）</v>
      </c>
      <c r="E12" s="2764" t="s">
        <v>2473</v>
      </c>
      <c r="F12" s="1172">
        <f ca="1">IF(G12&lt;B2,"已过期",98030020)</f>
        <v>98030020</v>
      </c>
      <c r="G12" s="2753">
        <v>47118</v>
      </c>
      <c r="H12" s="2754" t="str">
        <f t="shared" ca="1" si="1"/>
        <v>苏海（注册号：98030020）</v>
      </c>
    </row>
    <row r="13" spans="1:8" ht="24" customHeight="1">
      <c r="A13" s="1172" t="s">
        <v>581</v>
      </c>
      <c r="B13" s="1172" t="str">
        <f ca="1">IF(C13&lt;B2,"已过期",1120020033)</f>
        <v>已过期</v>
      </c>
      <c r="C13" s="2752">
        <v>44339</v>
      </c>
      <c r="D13" s="2762" t="str">
        <f t="shared" ca="1" si="0"/>
        <v>刘敬东（注册号：已过期）</v>
      </c>
      <c r="E13" s="2764" t="s">
        <v>581</v>
      </c>
      <c r="F13" s="1172">
        <f ca="1">IF(G13&lt;B2,"已过期",2000110137)</f>
        <v>2000110137</v>
      </c>
      <c r="G13" s="2753">
        <v>46387</v>
      </c>
      <c r="H13" s="2754" t="str">
        <f t="shared" ca="1" si="1"/>
        <v>刘敬东（注册号：2000110137）</v>
      </c>
    </row>
    <row r="14" spans="1:8" ht="24" customHeight="1">
      <c r="A14" s="1172" t="s">
        <v>2489</v>
      </c>
      <c r="B14" s="1172">
        <f ca="1">IF(C14&lt;B2,"已过期",1119980106)</f>
        <v>1119980106</v>
      </c>
      <c r="C14" s="2755">
        <v>44969</v>
      </c>
      <c r="D14" s="2762" t="str">
        <f t="shared" ca="1" si="0"/>
        <v>刘俊财（注册号：1119980106）</v>
      </c>
      <c r="E14" s="2764" t="s">
        <v>2589</v>
      </c>
      <c r="F14" s="1172">
        <f ca="1">IF(G14&lt;B2,"已过期",96010063)</f>
        <v>96010063</v>
      </c>
      <c r="G14" s="2753">
        <v>47483</v>
      </c>
      <c r="H14" s="2754" t="str">
        <f t="shared" ca="1" si="1"/>
        <v>刘俊财（注册号：96010063）</v>
      </c>
    </row>
    <row r="15" spans="1:8" ht="24" customHeight="1">
      <c r="A15" s="1172" t="s">
        <v>2801</v>
      </c>
      <c r="B15" s="1172">
        <v>1120210056</v>
      </c>
      <c r="C15" s="2755">
        <v>45410</v>
      </c>
      <c r="D15" s="2762" t="str">
        <f t="shared" ref="D15" si="2">A15&amp;"（注册号："&amp;B15&amp;"）"</f>
        <v>宁小鳗（注册号：1120210056）</v>
      </c>
      <c r="E15" s="2764" t="s">
        <v>2592</v>
      </c>
      <c r="F15" s="1172">
        <f ca="1">IF(G15&lt;B2,"已过期",2011110090)</f>
        <v>2011110090</v>
      </c>
      <c r="G15" s="2753">
        <v>48302</v>
      </c>
      <c r="H15" s="2754" t="str">
        <f t="shared" ref="H15" ca="1" si="3">E15&amp;"（注册号："&amp;F15&amp;"）"</f>
        <v>赵雯（注册号：2011110090）</v>
      </c>
    </row>
    <row r="16" spans="1:8" ht="24" customHeight="1">
      <c r="A16" s="1172"/>
      <c r="B16" s="1172"/>
      <c r="C16" s="1172"/>
      <c r="D16" s="2762" t="str">
        <f>A16&amp;"（注册号："&amp;B16&amp;"）"</f>
        <v>（注册号：）</v>
      </c>
      <c r="E16" s="2764"/>
      <c r="F16" s="1172"/>
      <c r="G16" s="1172"/>
      <c r="H16" s="2756" t="str">
        <f t="shared" si="1"/>
        <v>（注册号：）</v>
      </c>
    </row>
    <row r="17" spans="1:8" ht="24" customHeight="1">
      <c r="A17" s="3106" t="s">
        <v>582</v>
      </c>
      <c r="B17" s="3106"/>
      <c r="C17" s="3106"/>
      <c r="D17" s="3106"/>
      <c r="E17" s="3106"/>
      <c r="F17" s="3106"/>
      <c r="G17" s="3106"/>
      <c r="H17" s="3106"/>
    </row>
    <row r="18" spans="1:8" ht="24" customHeight="1">
      <c r="A18" s="3107" t="s">
        <v>583</v>
      </c>
      <c r="B18" s="3107"/>
      <c r="C18" s="3107"/>
      <c r="D18" s="2751"/>
      <c r="E18" s="3108" t="s">
        <v>584</v>
      </c>
      <c r="F18" s="3107"/>
      <c r="G18" s="3107"/>
    </row>
    <row r="19" spans="1:8" s="2743" customFormat="1" ht="24" customHeight="1">
      <c r="A19" s="2757" t="s">
        <v>585</v>
      </c>
      <c r="B19" s="1172" t="s">
        <v>586</v>
      </c>
      <c r="C19" s="1172" t="s">
        <v>587</v>
      </c>
      <c r="D19" s="2751"/>
      <c r="E19" s="2764" t="s">
        <v>585</v>
      </c>
      <c r="F19" s="1172" t="s">
        <v>586</v>
      </c>
      <c r="G19" s="1172" t="s">
        <v>587</v>
      </c>
    </row>
    <row r="20" spans="1:8" s="2743" customFormat="1" ht="24" customHeight="1">
      <c r="A20" s="2758" t="s">
        <v>2590</v>
      </c>
      <c r="B20" s="2758" t="s">
        <v>2591</v>
      </c>
      <c r="C20" s="2753">
        <v>44820</v>
      </c>
      <c r="D20" s="2765"/>
      <c r="E20" s="2767" t="s">
        <v>588</v>
      </c>
      <c r="F20" s="2760" t="s">
        <v>2802</v>
      </c>
      <c r="G20" s="2761">
        <v>44926</v>
      </c>
    </row>
    <row r="21" spans="1:8" s="2743" customFormat="1" ht="24" customHeight="1">
      <c r="A21" s="2758"/>
      <c r="B21" s="2758"/>
      <c r="C21" s="2759"/>
      <c r="D21" s="2766"/>
      <c r="E21" s="2767"/>
      <c r="F21" s="2760"/>
      <c r="G21" s="2761"/>
    </row>
    <row r="22" spans="1:8" ht="24" customHeight="1">
      <c r="C22" s="2745"/>
      <c r="D22" s="2745"/>
      <c r="E22" s="2768"/>
      <c r="G22" s="2769"/>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583" customWidth="1"/>
    <col min="2" max="2" width="22.44140625" style="582" customWidth="1"/>
    <col min="3" max="3" width="13" style="8" hidden="1" customWidth="1"/>
    <col min="4" max="4" width="5.77734375" style="7" hidden="1" customWidth="1"/>
    <col min="5" max="5" width="7.109375" style="7" hidden="1" customWidth="1"/>
    <col min="6" max="6" width="10.6640625" style="7" hidden="1" customWidth="1"/>
    <col min="7" max="7" width="7.4414062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88671875" style="582" customWidth="1"/>
    <col min="27" max="16384" width="9" style="582"/>
  </cols>
  <sheetData>
    <row r="1" spans="1:25" s="581" customFormat="1" ht="28.8">
      <c r="A1" s="1275"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ht="14.4">
      <c r="A2" s="1276" t="s">
        <v>33</v>
      </c>
      <c r="B2" s="1276" t="s">
        <v>1170</v>
      </c>
      <c r="C2" s="880"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276" t="s">
        <v>1183</v>
      </c>
      <c r="B3" s="1277" t="s">
        <v>1184</v>
      </c>
      <c r="C3" s="880"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276" t="s">
        <v>1196</v>
      </c>
      <c r="B4" s="1277" t="s">
        <v>1197</v>
      </c>
      <c r="C4" s="880"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276" t="s">
        <v>1207</v>
      </c>
      <c r="B5" s="1276" t="s">
        <v>1208</v>
      </c>
      <c r="C5" s="880"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ht="14.4">
      <c r="A6" s="1276" t="s">
        <v>1216</v>
      </c>
      <c r="B6" s="1276" t="s">
        <v>1217</v>
      </c>
      <c r="C6" s="867"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ht="14.4">
      <c r="A7" s="1276" t="s">
        <v>1224</v>
      </c>
      <c r="B7" s="1277" t="s">
        <v>1225</v>
      </c>
      <c r="C7" s="880" t="s">
        <v>1226</v>
      </c>
      <c r="F7" s="7" t="s">
        <v>1227</v>
      </c>
      <c r="H7" s="7" t="s">
        <v>1228</v>
      </c>
      <c r="I7" s="7" t="s">
        <v>1229</v>
      </c>
    </row>
    <row r="8" spans="1:25" ht="14.4">
      <c r="A8" s="1276" t="s">
        <v>1230</v>
      </c>
      <c r="B8" s="1277" t="s">
        <v>1231</v>
      </c>
      <c r="C8" s="880" t="s">
        <v>1232</v>
      </c>
      <c r="F8" s="7" t="s">
        <v>1233</v>
      </c>
      <c r="H8" s="7" t="s">
        <v>1234</v>
      </c>
      <c r="I8" s="7" t="s">
        <v>1235</v>
      </c>
    </row>
    <row r="9" spans="1:25" ht="14.4">
      <c r="A9" s="1276" t="s">
        <v>1236</v>
      </c>
      <c r="B9" s="1276" t="s">
        <v>1237</v>
      </c>
      <c r="C9" s="880" t="s">
        <v>1238</v>
      </c>
      <c r="F9" s="7" t="s">
        <v>1239</v>
      </c>
      <c r="H9" s="7" t="s">
        <v>1240</v>
      </c>
    </row>
    <row r="10" spans="1:25" ht="14.4">
      <c r="A10" s="1276" t="s">
        <v>1241</v>
      </c>
      <c r="B10" s="1276" t="s">
        <v>1242</v>
      </c>
      <c r="C10" s="880" t="s">
        <v>1243</v>
      </c>
      <c r="F10" s="7" t="s">
        <v>13</v>
      </c>
    </row>
    <row r="11" spans="1:25" ht="14.4">
      <c r="A11" s="1276" t="s">
        <v>1244</v>
      </c>
      <c r="B11" s="1276" t="s">
        <v>1245</v>
      </c>
      <c r="C11" s="880" t="s">
        <v>1246</v>
      </c>
    </row>
    <row r="12" spans="1:25" ht="14.4">
      <c r="A12" s="1276" t="s">
        <v>1247</v>
      </c>
      <c r="B12" s="1276" t="s">
        <v>1248</v>
      </c>
      <c r="C12" s="880" t="s">
        <v>1249</v>
      </c>
    </row>
    <row r="13" spans="1:25" ht="14.4">
      <c r="A13" s="1276" t="s">
        <v>1250</v>
      </c>
      <c r="B13" s="1276" t="s">
        <v>1251</v>
      </c>
      <c r="C13" s="880" t="s">
        <v>1252</v>
      </c>
    </row>
    <row r="14" spans="1:25" ht="14.4">
      <c r="A14" s="1276" t="s">
        <v>1253</v>
      </c>
      <c r="B14" s="1276" t="s">
        <v>1254</v>
      </c>
      <c r="C14" s="880"/>
    </row>
    <row r="15" spans="1:25" ht="14.4">
      <c r="A15" s="1276" t="s">
        <v>1255</v>
      </c>
      <c r="B15" s="1276" t="s">
        <v>1256</v>
      </c>
      <c r="C15" s="880"/>
    </row>
    <row r="16" spans="1:25" ht="14.4">
      <c r="A16" s="1276" t="s">
        <v>1257</v>
      </c>
      <c r="B16" s="1276" t="s">
        <v>1258</v>
      </c>
      <c r="C16" s="880"/>
    </row>
    <row r="17" spans="1:3" ht="14.4">
      <c r="A17" s="1276" t="s">
        <v>1259</v>
      </c>
      <c r="B17" s="1276" t="s">
        <v>1260</v>
      </c>
      <c r="C17" s="880"/>
    </row>
    <row r="18" spans="1:3" ht="14.4">
      <c r="A18" s="1276" t="s">
        <v>1261</v>
      </c>
      <c r="B18" s="1276" t="s">
        <v>1262</v>
      </c>
      <c r="C18" s="880"/>
    </row>
    <row r="19" spans="1:3" ht="14.4">
      <c r="A19" s="1276" t="s">
        <v>1263</v>
      </c>
      <c r="B19" s="1276" t="s">
        <v>1264</v>
      </c>
      <c r="C19" s="880"/>
    </row>
    <row r="20" spans="1:3" ht="14.4">
      <c r="A20" s="1276" t="s">
        <v>1265</v>
      </c>
      <c r="B20" s="1276" t="s">
        <v>2790</v>
      </c>
      <c r="C20" s="880"/>
    </row>
    <row r="21" spans="1:3" ht="14.4">
      <c r="A21" s="1276" t="s">
        <v>1266</v>
      </c>
      <c r="B21" s="1276" t="s">
        <v>560</v>
      </c>
      <c r="C21" s="880"/>
    </row>
    <row r="22" spans="1:3" ht="14.4">
      <c r="A22" s="1276" t="s">
        <v>1267</v>
      </c>
      <c r="B22" s="1276" t="s">
        <v>560</v>
      </c>
      <c r="C22" s="880"/>
    </row>
    <row r="23" spans="1:3" ht="14.4">
      <c r="A23" s="1276" t="s">
        <v>1268</v>
      </c>
      <c r="B23" s="1276" t="s">
        <v>560</v>
      </c>
      <c r="C23" s="880"/>
    </row>
    <row r="24" spans="1:3" ht="14.4">
      <c r="A24" s="1276" t="s">
        <v>1269</v>
      </c>
      <c r="B24" s="1276" t="s">
        <v>560</v>
      </c>
      <c r="C24" s="880"/>
    </row>
    <row r="25" spans="1:3" ht="14.4">
      <c r="A25" s="1276" t="s">
        <v>1270</v>
      </c>
      <c r="B25" s="1276" t="s">
        <v>560</v>
      </c>
      <c r="C25" s="880"/>
    </row>
    <row r="26" spans="1:3" ht="14.4">
      <c r="A26" s="1276" t="s">
        <v>1271</v>
      </c>
      <c r="B26" s="1276" t="s">
        <v>560</v>
      </c>
      <c r="C26" s="880"/>
    </row>
    <row r="27" spans="1:3">
      <c r="A27" s="1276" t="s">
        <v>560</v>
      </c>
      <c r="B27" s="1276" t="s">
        <v>560</v>
      </c>
      <c r="C27" s="880"/>
    </row>
    <row r="28" spans="1:3">
      <c r="A28" s="1276" t="s">
        <v>560</v>
      </c>
      <c r="B28" s="1276" t="s">
        <v>560</v>
      </c>
      <c r="C28" s="880"/>
    </row>
    <row r="29" spans="1:3">
      <c r="A29" s="1276" t="s">
        <v>560</v>
      </c>
      <c r="B29" s="1276" t="s">
        <v>560</v>
      </c>
      <c r="C29" s="880"/>
    </row>
    <row r="30" spans="1:3">
      <c r="A30" s="1276" t="s">
        <v>560</v>
      </c>
      <c r="B30" s="1276" t="s">
        <v>560</v>
      </c>
      <c r="C30" s="880"/>
    </row>
    <row r="31" spans="1:3">
      <c r="A31" s="1276" t="s">
        <v>560</v>
      </c>
      <c r="B31" s="1276" t="s">
        <v>560</v>
      </c>
      <c r="C31" s="880"/>
    </row>
    <row r="32" spans="1:3">
      <c r="A32" s="1276" t="s">
        <v>560</v>
      </c>
      <c r="B32" s="1276" t="s">
        <v>560</v>
      </c>
      <c r="C32" s="880"/>
    </row>
    <row r="33" spans="1:3">
      <c r="A33" s="1276" t="s">
        <v>560</v>
      </c>
      <c r="B33" s="1276" t="s">
        <v>560</v>
      </c>
      <c r="C33" s="880"/>
    </row>
    <row r="34" spans="1:3">
      <c r="A34" s="1276" t="s">
        <v>560</v>
      </c>
      <c r="B34" s="1276" t="s">
        <v>560</v>
      </c>
      <c r="C34" s="880"/>
    </row>
    <row r="35" spans="1:3">
      <c r="A35" s="1276" t="s">
        <v>560</v>
      </c>
      <c r="B35" s="1276" t="s">
        <v>560</v>
      </c>
      <c r="C35" s="880"/>
    </row>
    <row r="36" spans="1:3">
      <c r="A36" s="1276" t="s">
        <v>560</v>
      </c>
      <c r="B36" s="1276" t="s">
        <v>560</v>
      </c>
      <c r="C36" s="880"/>
    </row>
    <row r="37" spans="1:3">
      <c r="A37" s="1276" t="s">
        <v>560</v>
      </c>
      <c r="B37" s="1276" t="s">
        <v>560</v>
      </c>
      <c r="C37" s="880"/>
    </row>
    <row r="38" spans="1:3">
      <c r="A38" s="1276" t="s">
        <v>560</v>
      </c>
      <c r="B38" s="1276" t="s">
        <v>560</v>
      </c>
      <c r="C38" s="880"/>
    </row>
    <row r="39" spans="1:3">
      <c r="A39" s="1276" t="s">
        <v>560</v>
      </c>
      <c r="B39" s="1276" t="s">
        <v>560</v>
      </c>
      <c r="C39" s="880"/>
    </row>
    <row r="40" spans="1:3">
      <c r="A40" s="1276" t="s">
        <v>560</v>
      </c>
      <c r="B40" s="1276" t="s">
        <v>560</v>
      </c>
      <c r="C40" s="880"/>
    </row>
    <row r="41" spans="1:3">
      <c r="A41" s="1276" t="s">
        <v>560</v>
      </c>
      <c r="B41" s="1276" t="s">
        <v>560</v>
      </c>
      <c r="C41" s="880"/>
    </row>
    <row r="42" spans="1:3">
      <c r="A42" s="1276" t="s">
        <v>560</v>
      </c>
      <c r="B42" s="1276" t="s">
        <v>560</v>
      </c>
      <c r="C42" s="880"/>
    </row>
    <row r="43" spans="1:3">
      <c r="A43" s="1276" t="s">
        <v>560</v>
      </c>
      <c r="B43" s="1276" t="s">
        <v>560</v>
      </c>
      <c r="C43" s="880"/>
    </row>
    <row r="44" spans="1:3">
      <c r="A44" s="1276" t="s">
        <v>560</v>
      </c>
      <c r="B44" s="1276" t="s">
        <v>560</v>
      </c>
      <c r="C44" s="880"/>
    </row>
    <row r="45" spans="1:3">
      <c r="A45" s="1276" t="s">
        <v>560</v>
      </c>
      <c r="B45" s="1276" t="s">
        <v>560</v>
      </c>
      <c r="C45" s="880"/>
    </row>
    <row r="46" spans="1:3">
      <c r="A46" s="1276" t="s">
        <v>560</v>
      </c>
      <c r="B46" s="1276" t="s">
        <v>560</v>
      </c>
      <c r="C46" s="880"/>
    </row>
    <row r="47" spans="1:3">
      <c r="A47" s="1276" t="s">
        <v>560</v>
      </c>
      <c r="B47" s="1276" t="s">
        <v>560</v>
      </c>
      <c r="C47" s="880"/>
    </row>
    <row r="48" spans="1:3">
      <c r="A48" s="1276" t="s">
        <v>560</v>
      </c>
      <c r="B48" s="1276" t="s">
        <v>560</v>
      </c>
      <c r="C48" s="880"/>
    </row>
    <row r="49" spans="1:4">
      <c r="A49" s="1276" t="s">
        <v>560</v>
      </c>
      <c r="B49" s="1276" t="s">
        <v>560</v>
      </c>
      <c r="C49" s="880"/>
    </row>
    <row r="50" spans="1:4">
      <c r="A50" s="1276" t="s">
        <v>560</v>
      </c>
      <c r="B50" s="1276" t="s">
        <v>560</v>
      </c>
      <c r="C50" s="880"/>
    </row>
    <row r="51" spans="1:4" ht="14.4">
      <c r="A51" s="584"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4" t="s">
        <v>1273</v>
      </c>
    </row>
    <row r="52" spans="1:4" ht="14.4">
      <c r="A52" s="584" t="s">
        <v>1274</v>
      </c>
      <c r="B52" s="584" t="s">
        <v>1275</v>
      </c>
      <c r="C52" s="8" t="s">
        <v>1276</v>
      </c>
      <c r="D52" s="8" t="s">
        <v>1277</v>
      </c>
    </row>
    <row r="53" spans="1:4" ht="14.25" customHeight="1">
      <c r="A53" s="3109"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本次估价的“房地产价值”是指在正常市场情况下，在价值时点2022年12月6日，估价对象规划用途为，假定未设立法定优先受偿款下的房地产市场价值。</v>
      </c>
    </row>
    <row r="54" spans="1:4" ht="14.4">
      <c r="A54" s="3109"/>
      <c r="B54" s="8" t="s">
        <v>1280</v>
      </c>
      <c r="C54" s="8" t="s">
        <v>1281</v>
      </c>
    </row>
    <row r="55" spans="1:4" ht="14.4">
      <c r="A55" s="3109"/>
      <c r="B55" s="8" t="s">
        <v>1282</v>
      </c>
      <c r="C55" s="8" t="s">
        <v>1283</v>
      </c>
    </row>
    <row r="56" spans="1:4" ht="14.4">
      <c r="A56" s="3109"/>
      <c r="B56" s="8" t="s">
        <v>1284</v>
      </c>
      <c r="C56" s="8" t="s">
        <v>1285</v>
      </c>
    </row>
    <row r="57" spans="1:4" ht="14.4">
      <c r="A57" s="3109"/>
      <c r="B57" s="8" t="s">
        <v>1286</v>
      </c>
      <c r="C57" s="8" t="s">
        <v>1287</v>
      </c>
    </row>
    <row r="58" spans="1:4">
      <c r="A58" s="1278"/>
      <c r="B58" s="8"/>
    </row>
    <row r="59" spans="1:4">
      <c r="A59" s="1278"/>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2022-12-09T14:22:57Z</dcterms:modified>
</cp:coreProperties>
</file>