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尚都soho\过程\"/>
    </mc:Choice>
  </mc:AlternateContent>
  <xr:revisionPtr revIDLastSave="0" documentId="13_ncr:1_{DB3AE91E-A0B9-4186-A088-947A0398170F}" xr6:coauthVersionLast="47" xr6:coauthVersionMax="47" xr10:uidLastSave="{00000000-0000-0000-0000-000000000000}"/>
  <bookViews>
    <workbookView xWindow="-108" yWindow="-108" windowWidth="23256" windowHeight="12576" tabRatio="837" firstSheet="10"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workbook>
</file>

<file path=xl/calcChain.xml><?xml version="1.0" encoding="utf-8"?>
<calcChain xmlns="http://schemas.openxmlformats.org/spreadsheetml/2006/main">
  <c r="U4" i="43" l="1"/>
  <c r="W2" i="43"/>
  <c r="W4" i="43"/>
  <c r="G14" i="73"/>
  <c r="F14" i="73"/>
  <c r="E14" i="73"/>
  <c r="G13" i="73"/>
  <c r="F13" i="73"/>
  <c r="E13" i="73"/>
  <c r="C1" i="73"/>
  <c r="L1" i="73"/>
  <c r="I30" i="78"/>
  <c r="AD30" i="78"/>
  <c r="AB30" i="78"/>
  <c r="AA30" i="78"/>
  <c r="Z30" i="78"/>
  <c r="W30" i="78"/>
  <c r="N30" i="78"/>
  <c r="M30" i="78"/>
  <c r="P30" i="78"/>
  <c r="L30" i="78"/>
  <c r="AB29" i="78"/>
  <c r="AA29" i="78"/>
  <c r="Z29" i="78"/>
  <c r="Z22" i="78"/>
  <c r="Z23" i="78"/>
  <c r="Z24" i="78"/>
  <c r="Z25" i="78"/>
  <c r="Z26" i="78"/>
  <c r="Z27" i="78"/>
  <c r="Z28" i="78"/>
  <c r="Z20" i="78"/>
  <c r="N29" i="78"/>
  <c r="U29" i="78"/>
  <c r="M29" i="78"/>
  <c r="T29" i="78"/>
  <c r="W29" i="78"/>
  <c r="P29" i="78"/>
  <c r="L29" i="78"/>
  <c r="S29" i="78"/>
  <c r="I29" i="78"/>
  <c r="AD29" i="78"/>
  <c r="AB28" i="78"/>
  <c r="AA28" i="78"/>
  <c r="AA22" i="78"/>
  <c r="AA23" i="78"/>
  <c r="AA24" i="78"/>
  <c r="AA25" i="78"/>
  <c r="AA26" i="78"/>
  <c r="AA27" i="78"/>
  <c r="AA20" i="78"/>
  <c r="AD20" i="78"/>
  <c r="M28" i="78"/>
  <c r="T28" i="78"/>
  <c r="W28" i="78"/>
  <c r="N28" i="78"/>
  <c r="U28" i="78"/>
  <c r="P28" i="78"/>
  <c r="L28" i="78"/>
  <c r="S28" i="78"/>
  <c r="I28" i="78"/>
  <c r="AD28" i="78"/>
  <c r="AB27" i="78"/>
  <c r="AB22" i="78"/>
  <c r="AB23" i="78"/>
  <c r="AB24" i="78"/>
  <c r="AB25" i="78"/>
  <c r="AB26" i="78"/>
  <c r="AB20" i="78"/>
  <c r="M27" i="78"/>
  <c r="T27" i="78"/>
  <c r="W27" i="78"/>
  <c r="N27" i="78"/>
  <c r="U27" i="78"/>
  <c r="P27" i="78"/>
  <c r="L27" i="78"/>
  <c r="S27" i="78"/>
  <c r="I27" i="78"/>
  <c r="AD27" i="78"/>
  <c r="I26" i="78"/>
  <c r="AD26" i="78"/>
  <c r="N26" i="78"/>
  <c r="U26" i="78"/>
  <c r="M26" i="78"/>
  <c r="T26" i="78"/>
  <c r="W26" i="78"/>
  <c r="L26" i="78"/>
  <c r="S26" i="78"/>
  <c r="N25" i="78"/>
  <c r="U25" i="78"/>
  <c r="M25" i="78"/>
  <c r="T25" i="78"/>
  <c r="W25" i="78"/>
  <c r="L25" i="78"/>
  <c r="I25" i="78"/>
  <c r="N24" i="78"/>
  <c r="U24" i="78"/>
  <c r="M24" i="78"/>
  <c r="L24" i="78"/>
  <c r="I24" i="78"/>
  <c r="AD24" i="78"/>
  <c r="M23" i="78"/>
  <c r="P23" i="78"/>
  <c r="N23" i="78"/>
  <c r="L23" i="78"/>
  <c r="I23" i="78"/>
  <c r="AD23" i="78"/>
  <c r="M22" i="78"/>
  <c r="P22" i="78"/>
  <c r="N22" i="78"/>
  <c r="U22" i="78"/>
  <c r="L22" i="78"/>
  <c r="I22" i="78"/>
  <c r="AD22" i="78"/>
  <c r="G20" i="78"/>
  <c r="F20" i="78"/>
  <c r="I20" i="78"/>
  <c r="E20" i="78"/>
  <c r="AC13" i="78"/>
  <c r="AB13" i="78"/>
  <c r="AA13" i="78"/>
  <c r="AD13" i="78"/>
  <c r="Z13" i="78"/>
  <c r="Y13" i="78"/>
  <c r="W13" i="78"/>
  <c r="O13" i="78"/>
  <c r="N13" i="78"/>
  <c r="M13" i="78"/>
  <c r="P13" i="78"/>
  <c r="L13" i="78"/>
  <c r="K13" i="78"/>
  <c r="I13" i="78"/>
  <c r="AA12" i="78"/>
  <c r="AD12" i="78"/>
  <c r="AC12" i="78"/>
  <c r="AC5" i="78"/>
  <c r="AC6" i="78"/>
  <c r="AC7" i="78"/>
  <c r="AC8" i="78"/>
  <c r="AC9" i="78"/>
  <c r="AC10" i="78"/>
  <c r="AC11" i="78"/>
  <c r="AC3" i="78"/>
  <c r="AB12" i="78"/>
  <c r="Z12" i="78"/>
  <c r="Y12" i="78"/>
  <c r="N12" i="78"/>
  <c r="U12" i="78"/>
  <c r="M12" i="78"/>
  <c r="T12" i="78"/>
  <c r="W12" i="78"/>
  <c r="P12" i="78"/>
  <c r="O12" i="78"/>
  <c r="L12" i="78"/>
  <c r="L11" i="78"/>
  <c r="S11" i="78"/>
  <c r="K12" i="78"/>
  <c r="R12" i="78"/>
  <c r="I12" i="78"/>
  <c r="AA11" i="78"/>
  <c r="AD11" i="78"/>
  <c r="AB11" i="78"/>
  <c r="Z11" i="78"/>
  <c r="Y11" i="78"/>
  <c r="M11" i="78"/>
  <c r="T11" i="78"/>
  <c r="W11" i="78"/>
  <c r="P11" i="78"/>
  <c r="O11" i="78"/>
  <c r="O9" i="78"/>
  <c r="O10" i="78"/>
  <c r="V9" i="78"/>
  <c r="N11" i="78"/>
  <c r="U11" i="78"/>
  <c r="K11" i="78"/>
  <c r="R11" i="78"/>
  <c r="I11" i="78"/>
  <c r="AB10" i="78"/>
  <c r="AA10" i="78"/>
  <c r="AD10" i="78"/>
  <c r="Z10" i="78"/>
  <c r="Y10" i="78"/>
  <c r="L10" i="78"/>
  <c r="S10" i="78"/>
  <c r="K10" i="78"/>
  <c r="R10" i="78"/>
  <c r="N10" i="78"/>
  <c r="N9" i="78"/>
  <c r="U9" i="78"/>
  <c r="M10" i="78"/>
  <c r="T10" i="78"/>
  <c r="W10" i="78"/>
  <c r="I10" i="78"/>
  <c r="AA9" i="78"/>
  <c r="AD9" i="78"/>
  <c r="AB9" i="78"/>
  <c r="Z9" i="78"/>
  <c r="Z5" i="78"/>
  <c r="Z6" i="78"/>
  <c r="Z7" i="78"/>
  <c r="Z8" i="78"/>
  <c r="Z3" i="78"/>
  <c r="Y9" i="78"/>
  <c r="K9" i="78"/>
  <c r="R9" i="78"/>
  <c r="M9" i="78"/>
  <c r="P9" i="78"/>
  <c r="T9" i="78"/>
  <c r="W9" i="78"/>
  <c r="L9" i="78"/>
  <c r="I9" i="78"/>
  <c r="AB8" i="78"/>
  <c r="AA8" i="78"/>
  <c r="AD8" i="78"/>
  <c r="Y8" i="78"/>
  <c r="N8" i="78"/>
  <c r="U8" i="78"/>
  <c r="M8" i="78"/>
  <c r="T8" i="78"/>
  <c r="W8" i="78"/>
  <c r="O8" i="78"/>
  <c r="V8" i="78"/>
  <c r="P8" i="78"/>
  <c r="L8" i="78"/>
  <c r="L6" i="78"/>
  <c r="L7" i="78"/>
  <c r="S6" i="78"/>
  <c r="K8" i="78"/>
  <c r="R8" i="78"/>
  <c r="I8" i="78"/>
  <c r="AA7" i="78"/>
  <c r="AD7" i="78"/>
  <c r="AB7" i="78"/>
  <c r="Y7" i="78"/>
  <c r="M7" i="78"/>
  <c r="T7" i="78"/>
  <c r="W7" i="78"/>
  <c r="P7" i="78"/>
  <c r="O7" i="78"/>
  <c r="V7" i="78"/>
  <c r="N7" i="78"/>
  <c r="U7" i="78"/>
  <c r="K7" i="78"/>
  <c r="K6" i="78"/>
  <c r="R6" i="78"/>
  <c r="I7" i="78"/>
  <c r="AB6" i="78"/>
  <c r="AA6" i="78"/>
  <c r="AD6" i="78"/>
  <c r="Y6" i="78"/>
  <c r="O6" i="78"/>
  <c r="V6" i="78"/>
  <c r="O5" i="78"/>
  <c r="V3" i="78"/>
  <c r="N6" i="78"/>
  <c r="N5" i="78"/>
  <c r="U3" i="78"/>
  <c r="M6" i="78"/>
  <c r="P6" i="78"/>
  <c r="I6" i="78"/>
  <c r="AA5" i="78"/>
  <c r="AD5" i="78"/>
  <c r="AB5" i="78"/>
  <c r="AB3" i="78"/>
  <c r="AA3" i="78"/>
  <c r="AD3" i="78"/>
  <c r="Y5" i="78"/>
  <c r="K5" i="78"/>
  <c r="R5" i="78"/>
  <c r="M5" i="78"/>
  <c r="P5" i="78"/>
  <c r="T3" i="78"/>
  <c r="W3" i="78"/>
  <c r="L5" i="78"/>
  <c r="S3" i="78"/>
  <c r="I5" i="78"/>
  <c r="Y3" i="78"/>
  <c r="R3" i="78"/>
  <c r="K3" i="78"/>
  <c r="H3" i="78"/>
  <c r="G3" i="78"/>
  <c r="F3" i="78"/>
  <c r="I3" i="78"/>
  <c r="E3" i="78"/>
  <c r="D3" i="78"/>
  <c r="F21" i="11"/>
  <c r="C40" i="11"/>
  <c r="F38" i="11"/>
  <c r="E37" i="11"/>
  <c r="F36" i="11"/>
  <c r="F35"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4" i="31"/>
  <c r="S22" i="31"/>
  <c r="B22" i="31"/>
  <c r="R22" i="31"/>
  <c r="Q25" i="31"/>
  <c r="O25" i="31"/>
  <c r="M25" i="31"/>
  <c r="K25" i="31"/>
  <c r="I25" i="31"/>
  <c r="G25" i="31"/>
  <c r="E25" i="31"/>
  <c r="C25" i="31"/>
  <c r="P23" i="31"/>
  <c r="N23" i="31"/>
  <c r="L23" i="31"/>
  <c r="J23" i="31"/>
  <c r="H23" i="31"/>
  <c r="F23" i="31"/>
  <c r="D23"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90" i="71"/>
  <c r="G89" i="71"/>
  <c r="F89" i="71"/>
  <c r="F88" i="71"/>
  <c r="F87" i="71"/>
  <c r="C89" i="71"/>
  <c r="B89" i="71"/>
  <c r="G88" i="71"/>
  <c r="B88" i="71"/>
  <c r="B87" i="71"/>
  <c r="G87" i="71"/>
  <c r="D86" i="71"/>
  <c r="G85" i="71"/>
  <c r="F85" i="71"/>
  <c r="F84" i="71"/>
  <c r="F83" i="71"/>
  <c r="C85" i="71"/>
  <c r="B85" i="71"/>
  <c r="G84" i="71"/>
  <c r="G83" i="71"/>
  <c r="B84" i="71"/>
  <c r="B83" i="71"/>
  <c r="D82" i="71"/>
  <c r="G81" i="71"/>
  <c r="W81" i="71"/>
  <c r="F81" i="71"/>
  <c r="V81" i="71"/>
  <c r="B81" i="71"/>
  <c r="T81" i="71"/>
  <c r="R81" i="71"/>
  <c r="Q81" i="71"/>
  <c r="P81" i="71"/>
  <c r="O81" i="71"/>
  <c r="F80" i="71"/>
  <c r="F79" i="71"/>
  <c r="C81" i="71"/>
  <c r="R80" i="71"/>
  <c r="Q80" i="71"/>
  <c r="P80" i="71"/>
  <c r="O80" i="71"/>
  <c r="G80" i="71"/>
  <c r="G79" i="71"/>
  <c r="B80" i="71"/>
  <c r="B79" i="71"/>
  <c r="R79" i="71"/>
  <c r="Q79" i="71"/>
  <c r="P79" i="71"/>
  <c r="O79" i="71"/>
  <c r="R78" i="71"/>
  <c r="Q78" i="71"/>
  <c r="P78" i="71"/>
  <c r="O78" i="71"/>
  <c r="D78" i="71"/>
  <c r="G77" i="71"/>
  <c r="W77" i="71"/>
  <c r="B77" i="71"/>
  <c r="T77" i="71"/>
  <c r="R77" i="71"/>
  <c r="Q77" i="71"/>
  <c r="P77" i="71"/>
  <c r="O77" i="71"/>
  <c r="F77" i="71"/>
  <c r="C77" i="71"/>
  <c r="R76" i="71"/>
  <c r="Q76" i="71"/>
  <c r="P76" i="71"/>
  <c r="O76" i="71"/>
  <c r="G76" i="71"/>
  <c r="G75" i="71"/>
  <c r="B76" i="71"/>
  <c r="B75" i="71"/>
  <c r="R75" i="71"/>
  <c r="Q75" i="71"/>
  <c r="P75" i="71"/>
  <c r="O75" i="71"/>
  <c r="R74" i="71"/>
  <c r="Q74" i="71"/>
  <c r="P74" i="71"/>
  <c r="O74" i="71"/>
  <c r="D74" i="71"/>
  <c r="G73" i="71"/>
  <c r="W73" i="71"/>
  <c r="C73" i="71"/>
  <c r="U73" i="71"/>
  <c r="B73" i="71"/>
  <c r="T73" i="71"/>
  <c r="R73" i="71"/>
  <c r="Q73" i="71"/>
  <c r="P73" i="71"/>
  <c r="O73" i="71"/>
  <c r="F73" i="71"/>
  <c r="F72" i="71"/>
  <c r="F71" i="71"/>
  <c r="R72" i="71"/>
  <c r="Q72" i="71"/>
  <c r="P72" i="71"/>
  <c r="O72" i="71"/>
  <c r="G72" i="71"/>
  <c r="B72" i="71"/>
  <c r="B71" i="71"/>
  <c r="R71" i="71"/>
  <c r="Q71" i="71"/>
  <c r="P71" i="71"/>
  <c r="O71" i="71"/>
  <c r="G71" i="71"/>
  <c r="R70" i="71"/>
  <c r="Q70" i="71"/>
  <c r="P70" i="71"/>
  <c r="O70" i="71"/>
  <c r="D70" i="71"/>
  <c r="G69" i="71"/>
  <c r="W69" i="71"/>
  <c r="C69" i="71"/>
  <c r="U69" i="71"/>
  <c r="B69" i="71"/>
  <c r="T69" i="71"/>
  <c r="R69" i="71"/>
  <c r="O69" i="71"/>
  <c r="F69" i="71"/>
  <c r="G68" i="71"/>
  <c r="R68" i="71"/>
  <c r="B68" i="71"/>
  <c r="G67" i="71"/>
  <c r="R67" i="71"/>
  <c r="R66" i="71"/>
  <c r="D66" i="71"/>
  <c r="R65" i="71"/>
  <c r="Q65" i="71"/>
  <c r="P65" i="71"/>
  <c r="O65" i="71"/>
  <c r="R64" i="71"/>
  <c r="Q64" i="71"/>
  <c r="P64" i="71"/>
  <c r="O64" i="71"/>
  <c r="R62" i="71"/>
  <c r="G63" i="71"/>
  <c r="R63" i="71"/>
  <c r="G64" i="71"/>
  <c r="O62" i="71"/>
  <c r="B63" i="71"/>
  <c r="O63" i="71"/>
  <c r="B64" i="71"/>
  <c r="B65" i="71"/>
  <c r="T65" i="71"/>
  <c r="Q63" i="71"/>
  <c r="P63" i="71"/>
  <c r="Q62" i="71"/>
  <c r="F63" i="71"/>
  <c r="P62" i="71"/>
  <c r="C63" i="71"/>
  <c r="D62" i="71"/>
  <c r="R61" i="71"/>
  <c r="Q61" i="71"/>
  <c r="P61" i="71"/>
  <c r="O61" i="71"/>
  <c r="Q58" i="71"/>
  <c r="F59" i="71"/>
  <c r="Q59" i="71"/>
  <c r="F60" i="71"/>
  <c r="Q60" i="71"/>
  <c r="F61" i="71"/>
  <c r="V61" i="71"/>
  <c r="R60" i="71"/>
  <c r="P60" i="71"/>
  <c r="O60" i="71"/>
  <c r="R59" i="71"/>
  <c r="P59" i="71"/>
  <c r="O59" i="71"/>
  <c r="R58" i="71"/>
  <c r="G59" i="71"/>
  <c r="G60" i="71"/>
  <c r="G61" i="71"/>
  <c r="W61" i="71"/>
  <c r="P58" i="71"/>
  <c r="C59" i="71"/>
  <c r="O58" i="71"/>
  <c r="B59" i="71"/>
  <c r="B60" i="71"/>
  <c r="B61" i="71"/>
  <c r="T61" i="71"/>
  <c r="D58" i="71"/>
  <c r="R57" i="71"/>
  <c r="Q57" i="71"/>
  <c r="P57" i="71"/>
  <c r="O57" i="71"/>
  <c r="R56" i="71"/>
  <c r="Q56" i="71"/>
  <c r="P56" i="71"/>
  <c r="O56" i="71"/>
  <c r="R54" i="71"/>
  <c r="G55" i="71"/>
  <c r="R55" i="71"/>
  <c r="G56" i="71"/>
  <c r="G57" i="71"/>
  <c r="W57" i="71"/>
  <c r="Q55" i="71"/>
  <c r="P55" i="71"/>
  <c r="O55" i="71"/>
  <c r="O54" i="71"/>
  <c r="B55" i="71"/>
  <c r="B56" i="71"/>
  <c r="B57" i="71"/>
  <c r="T57" i="71"/>
  <c r="Q54" i="71"/>
  <c r="F55" i="71"/>
  <c r="P54" i="71"/>
  <c r="C55" i="71"/>
  <c r="D54" i="71"/>
  <c r="O50" i="71"/>
  <c r="B51" i="71"/>
  <c r="O51" i="71"/>
  <c r="B52" i="71"/>
  <c r="O52" i="71"/>
  <c r="B53" i="71"/>
  <c r="T53" i="71"/>
  <c r="R53" i="71"/>
  <c r="Q53" i="71"/>
  <c r="P53" i="71"/>
  <c r="O53" i="71"/>
  <c r="R52" i="71"/>
  <c r="Q52" i="71"/>
  <c r="P52" i="71"/>
  <c r="R51" i="71"/>
  <c r="Q51" i="71"/>
  <c r="P51" i="71"/>
  <c r="R50" i="71"/>
  <c r="G51" i="71"/>
  <c r="G52" i="71"/>
  <c r="G53" i="71"/>
  <c r="W53" i="71"/>
  <c r="Q50" i="71"/>
  <c r="F51" i="71"/>
  <c r="P50" i="71"/>
  <c r="C51" i="71"/>
  <c r="D50" i="71"/>
  <c r="U49" i="71"/>
  <c r="R49" i="71"/>
  <c r="Q49" i="71"/>
  <c r="P49" i="71"/>
  <c r="O49" i="71"/>
  <c r="D49" i="71"/>
  <c r="R48" i="71"/>
  <c r="Q48" i="71"/>
  <c r="P48" i="71"/>
  <c r="O48" i="71"/>
  <c r="Q46" i="71"/>
  <c r="F47" i="71"/>
  <c r="Q47" i="71"/>
  <c r="F48" i="71"/>
  <c r="F49" i="71"/>
  <c r="V49" i="71"/>
  <c r="R47" i="71"/>
  <c r="P47" i="71"/>
  <c r="P46" i="71"/>
  <c r="C47" i="71"/>
  <c r="C48" i="71"/>
  <c r="D48" i="71"/>
  <c r="O47" i="71"/>
  <c r="R46" i="71"/>
  <c r="G47" i="71"/>
  <c r="G48" i="71"/>
  <c r="G49" i="71"/>
  <c r="W49" i="71"/>
  <c r="D47" i="71"/>
  <c r="O46" i="71"/>
  <c r="B47" i="71"/>
  <c r="B48" i="71"/>
  <c r="D46" i="71"/>
  <c r="O42" i="71"/>
  <c r="B43" i="71"/>
  <c r="O43" i="71"/>
  <c r="B44" i="71"/>
  <c r="O44" i="71"/>
  <c r="B45" i="71"/>
  <c r="T45" i="71"/>
  <c r="R45" i="71"/>
  <c r="Q45" i="71"/>
  <c r="P45" i="71"/>
  <c r="O45" i="71"/>
  <c r="R44" i="71"/>
  <c r="Q44" i="71"/>
  <c r="P44" i="71"/>
  <c r="Q42" i="71"/>
  <c r="F43" i="71"/>
  <c r="Q43" i="71"/>
  <c r="F44" i="71"/>
  <c r="F45" i="71"/>
  <c r="V45" i="71"/>
  <c r="R43" i="71"/>
  <c r="P43" i="71"/>
  <c r="P42" i="71"/>
  <c r="C43" i="71"/>
  <c r="C44" i="71"/>
  <c r="R42" i="71"/>
  <c r="G43" i="71"/>
  <c r="D43" i="71"/>
  <c r="D42" i="71"/>
  <c r="R41" i="71"/>
  <c r="Q41" i="71"/>
  <c r="P41" i="71"/>
  <c r="O41" i="71"/>
  <c r="R40" i="71"/>
  <c r="Q40" i="71"/>
  <c r="P40" i="71"/>
  <c r="O40" i="71"/>
  <c r="R39" i="71"/>
  <c r="Q39" i="71"/>
  <c r="P39" i="71"/>
  <c r="P38" i="71"/>
  <c r="C39" i="71"/>
  <c r="C40" i="71"/>
  <c r="O39" i="71"/>
  <c r="R38" i="71"/>
  <c r="G39" i="71"/>
  <c r="D39" i="71"/>
  <c r="O38" i="71"/>
  <c r="B39" i="71"/>
  <c r="B40" i="71"/>
  <c r="Q38" i="71"/>
  <c r="F39" i="71"/>
  <c r="F40" i="71"/>
  <c r="F41" i="71"/>
  <c r="V41" i="71"/>
  <c r="D38" i="71"/>
  <c r="R37" i="71"/>
  <c r="Q37" i="71"/>
  <c r="P37" i="71"/>
  <c r="O37" i="71"/>
  <c r="R36" i="71"/>
  <c r="Q36" i="71"/>
  <c r="P36" i="71"/>
  <c r="O36" i="71"/>
  <c r="Q34" i="71"/>
  <c r="F35" i="71"/>
  <c r="Q35" i="71"/>
  <c r="F36" i="71"/>
  <c r="F37" i="71"/>
  <c r="V37" i="71"/>
  <c r="R35" i="71"/>
  <c r="P35" i="71"/>
  <c r="P34" i="71"/>
  <c r="C35" i="71"/>
  <c r="C36" i="71"/>
  <c r="O35" i="71"/>
  <c r="R34" i="71"/>
  <c r="G35" i="71"/>
  <c r="G36" i="71"/>
  <c r="G37" i="71"/>
  <c r="W37" i="71"/>
  <c r="D35" i="71"/>
  <c r="O34" i="71"/>
  <c r="B35" i="71"/>
  <c r="B36" i="71"/>
  <c r="B37" i="71"/>
  <c r="T37" i="71"/>
  <c r="D34" i="71"/>
  <c r="R33" i="71"/>
  <c r="Q33" i="71"/>
  <c r="P33" i="71"/>
  <c r="O33" i="71"/>
  <c r="R32" i="71"/>
  <c r="Q32" i="71"/>
  <c r="P32" i="71"/>
  <c r="O32" i="71"/>
  <c r="Q30" i="71"/>
  <c r="F31" i="71"/>
  <c r="Q31" i="71"/>
  <c r="F32" i="71"/>
  <c r="F33" i="71"/>
  <c r="V33" i="71"/>
  <c r="R31" i="71"/>
  <c r="P31" i="71"/>
  <c r="P30" i="71"/>
  <c r="C31" i="71"/>
  <c r="C32" i="71"/>
  <c r="O31" i="71"/>
  <c r="R30" i="71"/>
  <c r="G31" i="71"/>
  <c r="D31" i="71"/>
  <c r="O30" i="71"/>
  <c r="B31" i="71"/>
  <c r="B32" i="71"/>
  <c r="B33" i="71"/>
  <c r="T33" i="71"/>
  <c r="D30" i="71"/>
  <c r="O29" i="71"/>
  <c r="B29" i="71"/>
  <c r="T29" i="71"/>
  <c r="R29" i="71"/>
  <c r="Q29" i="71"/>
  <c r="F29" i="71"/>
  <c r="W29" i="71"/>
  <c r="P29" i="71"/>
  <c r="C29" i="71"/>
  <c r="G29" i="71"/>
  <c r="R28" i="71"/>
  <c r="G28" i="71"/>
  <c r="D29" i="71"/>
  <c r="V29" i="71"/>
  <c r="Q28" i="71"/>
  <c r="P28" i="71"/>
  <c r="O28" i="71"/>
  <c r="F28" i="71"/>
  <c r="Q27" i="71"/>
  <c r="F27" i="71"/>
  <c r="R27" i="71"/>
  <c r="G27" i="71"/>
  <c r="P27" i="71"/>
  <c r="O27" i="71"/>
  <c r="R26" i="71"/>
  <c r="Q26" i="71"/>
  <c r="P26" i="71"/>
  <c r="O26" i="71"/>
  <c r="D26" i="71"/>
  <c r="Q25" i="71"/>
  <c r="F25" i="71"/>
  <c r="W25" i="71"/>
  <c r="P25" i="71"/>
  <c r="C25" i="71"/>
  <c r="U25" i="71"/>
  <c r="R25" i="71"/>
  <c r="G25" i="71"/>
  <c r="R24" i="71"/>
  <c r="G24" i="71"/>
  <c r="R23" i="71"/>
  <c r="G23" i="71"/>
  <c r="R22" i="71"/>
  <c r="G22" i="71"/>
  <c r="R21" i="71"/>
  <c r="G21" i="71"/>
  <c r="R20" i="71"/>
  <c r="G20" i="71"/>
  <c r="D25" i="71"/>
  <c r="V25" i="71"/>
  <c r="O25" i="71"/>
  <c r="B25" i="71"/>
  <c r="Q24" i="71"/>
  <c r="F24" i="71"/>
  <c r="Q23" i="71"/>
  <c r="F23" i="71"/>
  <c r="P24" i="71"/>
  <c r="O24" i="71"/>
  <c r="C24" i="71"/>
  <c r="P23" i="71"/>
  <c r="O23" i="71"/>
  <c r="Q22" i="71"/>
  <c r="P22" i="71"/>
  <c r="O22" i="71"/>
  <c r="Q21" i="71"/>
  <c r="P21" i="71"/>
  <c r="O21"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c r="AI13" i="71"/>
  <c r="AF13" i="71"/>
  <c r="R13" i="71"/>
  <c r="Q13" i="71"/>
  <c r="P13" i="71"/>
  <c r="O13" i="71"/>
  <c r="AK12" i="71"/>
  <c r="AJ12" i="71"/>
  <c r="AG12" i="71"/>
  <c r="AH12" i="71"/>
  <c r="AI12" i="71"/>
  <c r="AF12" i="71"/>
  <c r="R12" i="71"/>
  <c r="AD12" i="71"/>
  <c r="Q12" i="71"/>
  <c r="AC12" i="71"/>
  <c r="O12" i="71"/>
  <c r="Y12" i="71"/>
  <c r="AB12" i="71"/>
  <c r="P12" i="71"/>
  <c r="Z12" i="71"/>
  <c r="AA12" i="71"/>
  <c r="AK11" i="71"/>
  <c r="AJ11" i="71"/>
  <c r="AG11" i="71"/>
  <c r="AH11" i="71"/>
  <c r="AI11" i="71"/>
  <c r="AF11" i="71"/>
  <c r="Q11" i="71"/>
  <c r="AC11" i="71"/>
  <c r="O11" i="71"/>
  <c r="Y11" i="71"/>
  <c r="AB11" i="71"/>
  <c r="P11" i="71"/>
  <c r="Z11" i="71"/>
  <c r="AA11" i="71"/>
  <c r="R11" i="71"/>
  <c r="P10" i="71"/>
  <c r="Z10" i="71"/>
  <c r="AA10" i="71"/>
  <c r="AK10" i="71"/>
  <c r="AJ10" i="71"/>
  <c r="AG10" i="71"/>
  <c r="AH10" i="71"/>
  <c r="AI10" i="71"/>
  <c r="AF10" i="71"/>
  <c r="O10" i="71"/>
  <c r="Y10" i="71"/>
  <c r="AB10" i="71"/>
  <c r="R10" i="71"/>
  <c r="Q10" i="71"/>
  <c r="AC10" i="71"/>
  <c r="AK9" i="71"/>
  <c r="AJ9" i="71"/>
  <c r="AG9" i="71"/>
  <c r="AH9" i="71"/>
  <c r="AI9" i="71"/>
  <c r="AF9" i="71"/>
  <c r="O9" i="71"/>
  <c r="Y9" i="71"/>
  <c r="AB9" i="71"/>
  <c r="R9" i="71"/>
  <c r="Q9" i="71"/>
  <c r="P9" i="71"/>
  <c r="Z9" i="71"/>
  <c r="AA9" i="71"/>
  <c r="AK8" i="71"/>
  <c r="AJ8" i="71"/>
  <c r="AG8" i="71"/>
  <c r="AH8" i="71"/>
  <c r="AI8" i="71"/>
  <c r="AF8" i="71"/>
  <c r="P8" i="71"/>
  <c r="Z8" i="71"/>
  <c r="AA8" i="71"/>
  <c r="R8" i="71"/>
  <c r="Q8" i="71"/>
  <c r="AC8" i="71"/>
  <c r="O8" i="71"/>
  <c r="AK7" i="71"/>
  <c r="AJ7" i="71"/>
  <c r="AG7" i="71"/>
  <c r="AH7" i="71"/>
  <c r="AI7" i="71"/>
  <c r="AF7" i="71"/>
  <c r="R7" i="71"/>
  <c r="Q7" i="71"/>
  <c r="P7" i="71"/>
  <c r="O7" i="71"/>
  <c r="AK6" i="71"/>
  <c r="AJ6" i="71"/>
  <c r="AG6" i="71"/>
  <c r="AH6" i="71"/>
  <c r="AI6" i="71"/>
  <c r="AF6" i="71"/>
  <c r="Q6" i="71"/>
  <c r="AC6" i="71"/>
  <c r="R6" i="71"/>
  <c r="P6" i="71"/>
  <c r="O6" i="71"/>
  <c r="AK5" i="71"/>
  <c r="AJ5" i="71"/>
  <c r="AG5" i="71"/>
  <c r="AH5" i="71"/>
  <c r="AI5" i="71"/>
  <c r="AF5" i="71"/>
  <c r="R5" i="71"/>
  <c r="Q5" i="71"/>
  <c r="P5" i="71"/>
  <c r="O5" i="71"/>
  <c r="M3" i="71"/>
  <c r="AK3" i="71"/>
  <c r="K3" i="71"/>
  <c r="AG3" i="71"/>
  <c r="AH3" i="71"/>
  <c r="AI3" i="71"/>
  <c r="L3" i="71"/>
  <c r="AJ3" i="71"/>
  <c r="J3" i="71"/>
  <c r="AF3" i="7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7" i="43"/>
  <c r="N112" i="43"/>
  <c r="N113" i="43"/>
  <c r="M112" i="43"/>
  <c r="M113" i="43"/>
  <c r="L112" i="43"/>
  <c r="L113" i="43"/>
  <c r="K112" i="43"/>
  <c r="K113" i="43"/>
  <c r="J112" i="43"/>
  <c r="J113" i="43"/>
  <c r="I112" i="43"/>
  <c r="I113" i="43"/>
  <c r="H112" i="43"/>
  <c r="H113" i="43"/>
  <c r="G112" i="43"/>
  <c r="G113" i="43"/>
  <c r="F112" i="43"/>
  <c r="F113" i="43"/>
  <c r="E112" i="43"/>
  <c r="E113" i="43"/>
  <c r="D112" i="43"/>
  <c r="D113" i="43"/>
  <c r="C112" i="43"/>
  <c r="C11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B96" i="43"/>
  <c r="M95" i="43"/>
  <c r="N95" i="43"/>
  <c r="K95" i="43"/>
  <c r="J95" i="43"/>
  <c r="D95" i="43"/>
  <c r="M94" i="43"/>
  <c r="N94" i="43"/>
  <c r="K94" i="43"/>
  <c r="J94" i="43"/>
  <c r="F94" i="43"/>
  <c r="H101" i="43"/>
  <c r="D94" i="43"/>
  <c r="M91" i="43"/>
  <c r="N91" i="43"/>
  <c r="K91" i="43"/>
  <c r="J91" i="43"/>
  <c r="D91" i="43"/>
  <c r="M90" i="43"/>
  <c r="N90" i="43"/>
  <c r="K90" i="43"/>
  <c r="J90" i="43"/>
  <c r="D90" i="43"/>
  <c r="M89" i="43"/>
  <c r="N89" i="43"/>
  <c r="K89" i="43"/>
  <c r="J89" i="43"/>
  <c r="D89" i="43"/>
  <c r="M88" i="43"/>
  <c r="N88" i="43"/>
  <c r="K88" i="43"/>
  <c r="J88" i="43"/>
  <c r="D88" i="43"/>
  <c r="M87" i="43"/>
  <c r="N87" i="43"/>
  <c r="K87" i="43"/>
  <c r="J87" i="43"/>
  <c r="D87" i="43"/>
  <c r="B87" i="43"/>
  <c r="M86" i="43"/>
  <c r="N86" i="43"/>
  <c r="K86" i="43"/>
  <c r="J86" i="43"/>
  <c r="D86" i="43"/>
  <c r="B86" i="43"/>
  <c r="M85" i="43"/>
  <c r="N85" i="43"/>
  <c r="K85" i="43"/>
  <c r="J85" i="43"/>
  <c r="D85" i="43"/>
  <c r="M84" i="43"/>
  <c r="N84" i="43"/>
  <c r="K84" i="43"/>
  <c r="J84" i="43"/>
  <c r="F84" i="43"/>
  <c r="H90" i="43"/>
  <c r="D84" i="43"/>
  <c r="E84" i="43"/>
  <c r="B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B75" i="43"/>
  <c r="M74" i="43"/>
  <c r="N74" i="43"/>
  <c r="K74" i="43"/>
  <c r="J74" i="43"/>
  <c r="D74" i="43"/>
  <c r="D73" i="43"/>
  <c r="E73" i="43"/>
  <c r="B71" i="43"/>
  <c r="M73" i="43"/>
  <c r="N73" i="43"/>
  <c r="K73" i="43"/>
  <c r="J73" i="43"/>
  <c r="F73" i="43"/>
  <c r="H79" i="43"/>
  <c r="M70" i="43"/>
  <c r="N70" i="43"/>
  <c r="K70" i="43"/>
  <c r="J70" i="43"/>
  <c r="D70"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B64" i="43"/>
  <c r="M63" i="43"/>
  <c r="N63" i="43"/>
  <c r="K63" i="43"/>
  <c r="J63" i="43"/>
  <c r="D63" i="43"/>
  <c r="M62" i="43"/>
  <c r="N62" i="43"/>
  <c r="K62" i="43"/>
  <c r="J62" i="43"/>
  <c r="F62" i="43"/>
  <c r="H69" i="43"/>
  <c r="D62" i="43"/>
  <c r="E62" i="43"/>
  <c r="B60" i="43"/>
  <c r="M59" i="43"/>
  <c r="N59" i="43"/>
  <c r="K59" i="43"/>
  <c r="J59" i="43"/>
  <c r="D59" i="43"/>
  <c r="M58" i="43"/>
  <c r="N58" i="43"/>
  <c r="K58" i="43"/>
  <c r="J58" i="43"/>
  <c r="D58" i="43"/>
  <c r="M57" i="43"/>
  <c r="N57" i="43"/>
  <c r="K57" i="43"/>
  <c r="M56" i="43"/>
  <c r="N56" i="43"/>
  <c r="K56" i="43"/>
  <c r="M55" i="43"/>
  <c r="K55" i="43"/>
  <c r="J55" i="43"/>
  <c r="M54" i="43"/>
  <c r="N54" i="43"/>
  <c r="K54" i="43"/>
  <c r="M53" i="43"/>
  <c r="N53" i="43"/>
  <c r="K53" i="43"/>
  <c r="J53" i="43"/>
  <c r="B53" i="43"/>
  <c r="M52" i="43"/>
  <c r="N52" i="43"/>
  <c r="K52" i="43"/>
  <c r="J52" i="43"/>
  <c r="D52" i="43"/>
  <c r="M51" i="43"/>
  <c r="N51" i="43"/>
  <c r="K51" i="43"/>
  <c r="J51" i="43"/>
  <c r="D51" i="43"/>
  <c r="B51" i="43"/>
  <c r="H42" i="43"/>
  <c r="H41" i="43"/>
  <c r="H40" i="43"/>
  <c r="H39" i="43"/>
  <c r="H38" i="43"/>
  <c r="L37" i="43"/>
  <c r="Q37" i="43"/>
  <c r="P37" i="43"/>
  <c r="O37" i="43"/>
  <c r="N37" i="43"/>
  <c r="M37" i="43"/>
  <c r="H37" i="43"/>
  <c r="Q36" i="43"/>
  <c r="P36" i="43"/>
  <c r="O36" i="43"/>
  <c r="N36" i="43"/>
  <c r="M36" i="43"/>
  <c r="E24" i="43"/>
  <c r="P32" i="43"/>
  <c r="O32" i="43"/>
  <c r="N32" i="43"/>
  <c r="M32" i="43"/>
  <c r="J24" i="43"/>
  <c r="G24" i="43"/>
  <c r="E44" i="43"/>
  <c r="C44" i="43"/>
  <c r="Q32" i="43"/>
  <c r="I23" i="43"/>
  <c r="G23" i="43"/>
  <c r="C22" i="43"/>
  <c r="I18" i="43"/>
  <c r="G18" i="43"/>
  <c r="G17" i="43"/>
  <c r="C17" i="43"/>
  <c r="C13" i="43"/>
  <c r="C10" i="43"/>
  <c r="C11" i="43"/>
  <c r="AI9" i="43"/>
  <c r="AI10" i="43"/>
  <c r="AG9" i="43"/>
  <c r="AG10" i="43"/>
  <c r="AE9" i="43"/>
  <c r="AE10" i="43"/>
  <c r="Z9" i="43"/>
  <c r="Z10" i="43"/>
  <c r="Y10" i="43"/>
  <c r="AJ9" i="43"/>
  <c r="AJ10" i="43"/>
  <c r="AH9" i="43"/>
  <c r="AH10" i="43"/>
  <c r="AF9" i="43"/>
  <c r="AF10" i="43"/>
  <c r="AD9" i="43"/>
  <c r="AD10" i="43"/>
  <c r="AC9" i="43"/>
  <c r="AC10" i="43"/>
  <c r="AB9" i="43"/>
  <c r="AB10" i="43"/>
  <c r="AA9" i="43"/>
  <c r="AA10" i="43"/>
  <c r="C9" i="43"/>
  <c r="C7" i="43"/>
  <c r="I2" i="43"/>
  <c r="M12" i="43"/>
  <c r="G2" i="43"/>
  <c r="H117"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H40" i="40"/>
  <c r="F39" i="40"/>
  <c r="AA39" i="40"/>
  <c r="Q39" i="40"/>
  <c r="Z39" i="40"/>
  <c r="S39" i="40"/>
  <c r="Q38" i="40"/>
  <c r="Z38" i="40"/>
  <c r="J37" i="40"/>
  <c r="AC37" i="40"/>
  <c r="H37" i="40"/>
  <c r="AB37" i="40"/>
  <c r="F37" i="40"/>
  <c r="AA37" i="40"/>
  <c r="W37" i="40"/>
  <c r="S37" i="40"/>
  <c r="Q37" i="40"/>
  <c r="Z37" i="40"/>
  <c r="U37" i="40"/>
  <c r="H36" i="40"/>
  <c r="AB36" i="40"/>
  <c r="F36" i="40"/>
  <c r="AA36" i="40"/>
  <c r="U36" i="40"/>
  <c r="Q36" i="40"/>
  <c r="Z36" i="40"/>
  <c r="J36" i="40"/>
  <c r="S36" i="40"/>
  <c r="H35" i="40"/>
  <c r="AB35" i="40"/>
  <c r="F35" i="40"/>
  <c r="AA35" i="40"/>
  <c r="J35" i="40"/>
  <c r="W35" i="40"/>
  <c r="U35" i="40"/>
  <c r="S35" i="40"/>
  <c r="Q35" i="40"/>
  <c r="Z35" i="40"/>
  <c r="AC35" i="40"/>
  <c r="J34" i="40"/>
  <c r="AC34" i="40"/>
  <c r="F34" i="40"/>
  <c r="AA34" i="40"/>
  <c r="W34" i="40"/>
  <c r="Q34" i="40"/>
  <c r="Z34" i="40"/>
  <c r="H34" i="40"/>
  <c r="S34" i="40"/>
  <c r="Q33" i="40"/>
  <c r="Z33" i="40"/>
  <c r="H33" i="40"/>
  <c r="J32" i="40"/>
  <c r="AC32" i="40"/>
  <c r="AB32" i="40"/>
  <c r="U32" i="40"/>
  <c r="Q32" i="40"/>
  <c r="Z32" i="40"/>
  <c r="W32" i="40"/>
  <c r="F32" i="40"/>
  <c r="Q31" i="40"/>
  <c r="Z31" i="40"/>
  <c r="J31" i="40"/>
  <c r="H31" i="40"/>
  <c r="F31" i="40"/>
  <c r="AA31" i="40"/>
  <c r="Q30" i="40"/>
  <c r="Z30" i="40"/>
  <c r="C30" i="40"/>
  <c r="H30" i="40"/>
  <c r="F28" i="40"/>
  <c r="AA28" i="40"/>
  <c r="S28" i="40"/>
  <c r="Q28" i="40"/>
  <c r="Z28" i="40"/>
  <c r="J28" i="40"/>
  <c r="H28" i="40"/>
  <c r="AB28" i="40"/>
  <c r="C28" i="40"/>
  <c r="J27" i="40"/>
  <c r="AC27" i="40"/>
  <c r="F27" i="40"/>
  <c r="AA27" i="40"/>
  <c r="Q27" i="40"/>
  <c r="Z27" i="40"/>
  <c r="W27" i="40"/>
  <c r="H27" i="40"/>
  <c r="S27" i="40"/>
  <c r="J25" i="40"/>
  <c r="AC25" i="40"/>
  <c r="W25" i="40"/>
  <c r="Q25" i="40"/>
  <c r="Z25" i="40"/>
  <c r="H25" i="40"/>
  <c r="F25" i="40"/>
  <c r="AA25" i="40"/>
  <c r="H23" i="40"/>
  <c r="AB23" i="40"/>
  <c r="J23" i="40"/>
  <c r="W23" i="40"/>
  <c r="U23" i="40"/>
  <c r="F23" i="40"/>
  <c r="S23" i="40"/>
  <c r="Q23" i="40"/>
  <c r="Z23" i="40"/>
  <c r="AC23" i="40"/>
  <c r="AA23" i="40"/>
  <c r="J21" i="40"/>
  <c r="AC21" i="40"/>
  <c r="Q21" i="40"/>
  <c r="Z21" i="40"/>
  <c r="F21" i="40"/>
  <c r="S21" i="40"/>
  <c r="W21" i="40"/>
  <c r="H21" i="40"/>
  <c r="AB21" i="40"/>
  <c r="AA21" i="40"/>
  <c r="H19" i="40"/>
  <c r="AB19" i="40"/>
  <c r="F19" i="40"/>
  <c r="S19" i="40"/>
  <c r="Q19" i="40"/>
  <c r="Z19" i="40"/>
  <c r="J19" i="40"/>
  <c r="U19" i="40"/>
  <c r="AA19" i="40"/>
  <c r="C19" i="40"/>
  <c r="Q17" i="40"/>
  <c r="Z17" i="40"/>
  <c r="H17" i="40"/>
  <c r="U17" i="40"/>
  <c r="J17" i="40"/>
  <c r="W17" i="40"/>
  <c r="AB17" i="40"/>
  <c r="F17" i="40"/>
  <c r="AA17" i="40"/>
  <c r="Q15" i="40"/>
  <c r="Z15" i="40"/>
  <c r="J15" i="40"/>
  <c r="W15" i="40"/>
  <c r="AC15" i="40"/>
  <c r="H15" i="40"/>
  <c r="F15" i="40"/>
  <c r="AA15" i="40"/>
  <c r="J14" i="40"/>
  <c r="AC14" i="40"/>
  <c r="W14" i="40"/>
  <c r="H14" i="40"/>
  <c r="U14" i="40"/>
  <c r="Q14" i="40"/>
  <c r="Z14" i="40"/>
  <c r="AB14" i="40"/>
  <c r="F14" i="40"/>
  <c r="J13" i="40"/>
  <c r="AC13" i="40"/>
  <c r="F13" i="40"/>
  <c r="AA13" i="40"/>
  <c r="W13" i="40"/>
  <c r="S13" i="40"/>
  <c r="Q13" i="40"/>
  <c r="Z13" i="40"/>
  <c r="H13" i="40"/>
  <c r="H12" i="40"/>
  <c r="AB12" i="40"/>
  <c r="Q12" i="40"/>
  <c r="Z12" i="40"/>
  <c r="U12" i="40"/>
  <c r="J11" i="40"/>
  <c r="AC11" i="40"/>
  <c r="F11" i="40"/>
  <c r="AA11" i="40"/>
  <c r="W11" i="40"/>
  <c r="S11" i="40"/>
  <c r="Q11" i="40"/>
  <c r="Z11" i="40"/>
  <c r="H11" i="40"/>
  <c r="Q10" i="40"/>
  <c r="Z10" i="40"/>
  <c r="J9" i="40"/>
  <c r="AC9" i="40"/>
  <c r="F9" i="40"/>
  <c r="AA9" i="40"/>
  <c r="H9" i="40"/>
  <c r="U9" i="40"/>
  <c r="S9" i="40"/>
  <c r="Q9" i="40"/>
  <c r="Z9" i="40"/>
  <c r="W9" i="40"/>
  <c r="AB9" i="40"/>
  <c r="F8" i="40"/>
  <c r="AA8" i="40"/>
  <c r="H8" i="40"/>
  <c r="U8" i="40"/>
  <c r="J8" i="40"/>
  <c r="AB8" i="40"/>
  <c r="S8" i="40"/>
  <c r="B131" i="39"/>
  <c r="H45"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F36" i="39"/>
  <c r="AA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U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F45" i="39"/>
  <c r="AA45" i="39"/>
  <c r="Q45" i="39"/>
  <c r="Z45" i="39"/>
  <c r="J45" i="39"/>
  <c r="W45" i="39"/>
  <c r="AC45" i="39"/>
  <c r="S45" i="39"/>
  <c r="H44" i="39"/>
  <c r="AB44" i="39"/>
  <c r="Q44" i="39"/>
  <c r="Z44" i="39"/>
  <c r="U44" i="39"/>
  <c r="F44" i="39"/>
  <c r="S44" i="39"/>
  <c r="J44" i="39"/>
  <c r="AC44" i="39"/>
  <c r="AA44" i="39"/>
  <c r="Q43" i="39"/>
  <c r="Z43" i="39"/>
  <c r="F43" i="39"/>
  <c r="H42" i="39"/>
  <c r="AB42" i="39"/>
  <c r="Q42" i="39"/>
  <c r="Z42" i="39"/>
  <c r="J42" i="39"/>
  <c r="U42" i="39"/>
  <c r="F42" i="39"/>
  <c r="H41" i="39"/>
  <c r="AB41" i="39"/>
  <c r="Q41" i="39"/>
  <c r="Z41" i="39"/>
  <c r="J41" i="39"/>
  <c r="U41" i="39"/>
  <c r="F41" i="39"/>
  <c r="H40" i="39"/>
  <c r="AB40" i="39"/>
  <c r="Q40" i="39"/>
  <c r="Z40" i="39"/>
  <c r="U40" i="39"/>
  <c r="J40" i="39"/>
  <c r="F40" i="39"/>
  <c r="J39" i="39"/>
  <c r="AC39" i="39"/>
  <c r="F39" i="39"/>
  <c r="AA39" i="39"/>
  <c r="Q39" i="39"/>
  <c r="Z39" i="39"/>
  <c r="W39" i="39"/>
  <c r="S39" i="39"/>
  <c r="H39" i="39"/>
  <c r="AB39" i="39"/>
  <c r="J38" i="39"/>
  <c r="AC38" i="39"/>
  <c r="H38" i="39"/>
  <c r="AB38" i="39"/>
  <c r="Q38" i="39"/>
  <c r="Z38" i="39"/>
  <c r="W38" i="39"/>
  <c r="U38" i="39"/>
  <c r="F38" i="39"/>
  <c r="AA38" i="39"/>
  <c r="Q37" i="39"/>
  <c r="Z37" i="39"/>
  <c r="H36" i="39"/>
  <c r="AB36" i="39"/>
  <c r="Q36" i="39"/>
  <c r="Z36" i="39"/>
  <c r="J36" i="39"/>
  <c r="W36" i="39"/>
  <c r="U36" i="39"/>
  <c r="S36" i="39"/>
  <c r="AC36" i="39"/>
  <c r="H35" i="39"/>
  <c r="AB35" i="39"/>
  <c r="U35" i="39"/>
  <c r="F35" i="39"/>
  <c r="S35" i="39"/>
  <c r="Q35" i="39"/>
  <c r="Z35" i="39"/>
  <c r="J35" i="39"/>
  <c r="AA35" i="39"/>
  <c r="H34" i="39"/>
  <c r="AB34" i="39"/>
  <c r="Q34" i="39"/>
  <c r="Z34" i="39"/>
  <c r="U34" i="39"/>
  <c r="J34" i="39"/>
  <c r="F34" i="39"/>
  <c r="J32" i="39"/>
  <c r="AC32" i="39"/>
  <c r="W32" i="39"/>
  <c r="H32" i="39"/>
  <c r="U32" i="39"/>
  <c r="Q32" i="39"/>
  <c r="Z32" i="39"/>
  <c r="AB32" i="39"/>
  <c r="F32" i="39"/>
  <c r="AB31" i="39"/>
  <c r="Q31" i="39"/>
  <c r="Z31" i="39"/>
  <c r="F31" i="39"/>
  <c r="S31" i="39"/>
  <c r="J31" i="39"/>
  <c r="AA31" i="39"/>
  <c r="J29" i="39"/>
  <c r="AC29" i="39"/>
  <c r="F29" i="39"/>
  <c r="AA29" i="39"/>
  <c r="W29" i="39"/>
  <c r="S29" i="39"/>
  <c r="Q29" i="39"/>
  <c r="Z29" i="39"/>
  <c r="H29" i="39"/>
  <c r="AB29" i="39"/>
  <c r="J27" i="39"/>
  <c r="AC27" i="39"/>
  <c r="F27" i="39"/>
  <c r="AA27" i="39"/>
  <c r="S27" i="39"/>
  <c r="Q27" i="39"/>
  <c r="Z27" i="39"/>
  <c r="W27" i="39"/>
  <c r="H27" i="39"/>
  <c r="J25" i="39"/>
  <c r="AC25" i="39"/>
  <c r="H25" i="39"/>
  <c r="AB25" i="39"/>
  <c r="F25" i="39"/>
  <c r="AA25" i="39"/>
  <c r="Q25" i="39"/>
  <c r="Z25" i="39"/>
  <c r="W25" i="39"/>
  <c r="U25" i="39"/>
  <c r="S25" i="39"/>
  <c r="J23" i="39"/>
  <c r="AC23" i="39"/>
  <c r="H23" i="39"/>
  <c r="AB23" i="39"/>
  <c r="F23" i="39"/>
  <c r="AA23" i="39"/>
  <c r="Q23" i="39"/>
  <c r="Z23" i="39"/>
  <c r="W23" i="39"/>
  <c r="U23" i="39"/>
  <c r="S23" i="39"/>
  <c r="C23" i="39"/>
  <c r="F21" i="39"/>
  <c r="AA21" i="39"/>
  <c r="Q21" i="39"/>
  <c r="Z21" i="39"/>
  <c r="H21" i="39"/>
  <c r="U21" i="39"/>
  <c r="J21" i="39"/>
  <c r="W21" i="39"/>
  <c r="AB21" i="39"/>
  <c r="S21" i="39"/>
  <c r="H19" i="39"/>
  <c r="AB19" i="39"/>
  <c r="Q19" i="39"/>
  <c r="Z19" i="39"/>
  <c r="J19" i="39"/>
  <c r="U19" i="39"/>
  <c r="F19" i="39"/>
  <c r="S19" i="39"/>
  <c r="Q17" i="39"/>
  <c r="Z17" i="39"/>
  <c r="J17" i="39"/>
  <c r="W17" i="39"/>
  <c r="H17" i="39"/>
  <c r="F17" i="39"/>
  <c r="Q15" i="39"/>
  <c r="Z15" i="39"/>
  <c r="J15" i="39"/>
  <c r="W15" i="39"/>
  <c r="H15" i="39"/>
  <c r="F15" i="39"/>
  <c r="S15" i="39"/>
  <c r="J14" i="39"/>
  <c r="AC14" i="39"/>
  <c r="H14" i="39"/>
  <c r="AB14" i="39"/>
  <c r="Q14" i="39"/>
  <c r="Z14" i="39"/>
  <c r="W14" i="39"/>
  <c r="U14" i="39"/>
  <c r="F14" i="39"/>
  <c r="S14" i="39"/>
  <c r="Q13" i="39"/>
  <c r="Z13" i="39"/>
  <c r="J12" i="39"/>
  <c r="AC12" i="39"/>
  <c r="F12" i="39"/>
  <c r="AA12" i="39"/>
  <c r="W12" i="39"/>
  <c r="H12" i="39"/>
  <c r="U12" i="39"/>
  <c r="Q12" i="39"/>
  <c r="Z12" i="39"/>
  <c r="AB12" i="39"/>
  <c r="S12" i="39"/>
  <c r="J11" i="39"/>
  <c r="AC11" i="39"/>
  <c r="H11" i="39"/>
  <c r="AB11" i="39"/>
  <c r="Q11" i="39"/>
  <c r="Z11" i="39"/>
  <c r="W11" i="39"/>
  <c r="U11" i="39"/>
  <c r="F11" i="39"/>
  <c r="S11" i="39"/>
  <c r="AA11" i="39"/>
  <c r="Q10" i="39"/>
  <c r="Z10" i="39"/>
  <c r="J9" i="39"/>
  <c r="AC9" i="39"/>
  <c r="H9" i="39"/>
  <c r="AB9" i="39"/>
  <c r="W9" i="39"/>
  <c r="U9" i="39"/>
  <c r="Q9" i="39"/>
  <c r="Z9" i="39"/>
  <c r="F9" i="39"/>
  <c r="H8" i="39"/>
  <c r="AB8" i="39"/>
  <c r="J8" i="39"/>
  <c r="W8" i="39"/>
  <c r="U8" i="39"/>
  <c r="F8" i="39"/>
  <c r="S8" i="39"/>
  <c r="AC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J23" i="36"/>
  <c r="AC23" i="36"/>
  <c r="D70" i="36"/>
  <c r="D68" i="36"/>
  <c r="E68" i="36"/>
  <c r="F68" i="36"/>
  <c r="G68" i="36"/>
  <c r="D66" i="36"/>
  <c r="E66" i="36"/>
  <c r="F66" i="36"/>
  <c r="G66" i="36"/>
  <c r="D64" i="36"/>
  <c r="E64" i="36"/>
  <c r="F64" i="36"/>
  <c r="G64" i="36"/>
  <c r="D62" i="36"/>
  <c r="E62" i="36"/>
  <c r="F62" i="36"/>
  <c r="G62" i="36"/>
  <c r="B59" i="36"/>
  <c r="H13" i="36"/>
  <c r="B57" i="36"/>
  <c r="J12" i="36"/>
  <c r="B55" i="36"/>
  <c r="F54" i="36"/>
  <c r="G54" i="36"/>
  <c r="H54" i="36"/>
  <c r="I54" i="36"/>
  <c r="C51" i="36"/>
  <c r="I42" i="36"/>
  <c r="J42" i="36"/>
  <c r="G42" i="36"/>
  <c r="H42" i="36"/>
  <c r="E42" i="36"/>
  <c r="F42" i="36"/>
  <c r="P37" i="36"/>
  <c r="P36" i="36"/>
  <c r="K36" i="36"/>
  <c r="V35" i="36"/>
  <c r="T35" i="36"/>
  <c r="R35" i="36"/>
  <c r="P35" i="36"/>
  <c r="J34" i="36"/>
  <c r="AC34" i="36"/>
  <c r="H34" i="36"/>
  <c r="AB34" i="36"/>
  <c r="F34" i="36"/>
  <c r="AA34" i="36"/>
  <c r="Q34" i="36"/>
  <c r="Z34" i="36"/>
  <c r="W34" i="36"/>
  <c r="U34" i="36"/>
  <c r="S34" i="36"/>
  <c r="AB33" i="36"/>
  <c r="Q33" i="36"/>
  <c r="Z33" i="36"/>
  <c r="U33" i="36"/>
  <c r="F33" i="36"/>
  <c r="Q32" i="36"/>
  <c r="Z32" i="36"/>
  <c r="H31" i="36"/>
  <c r="AB31" i="36"/>
  <c r="J31" i="36"/>
  <c r="W31" i="36"/>
  <c r="U31" i="36"/>
  <c r="Q31" i="36"/>
  <c r="Z31" i="36"/>
  <c r="AC31" i="36"/>
  <c r="F31" i="36"/>
  <c r="AA31" i="36"/>
  <c r="F30" i="36"/>
  <c r="AA30" i="36"/>
  <c r="J30" i="36"/>
  <c r="W30" i="36"/>
  <c r="S30" i="36"/>
  <c r="Q30" i="36"/>
  <c r="Z30" i="36"/>
  <c r="AC30" i="36"/>
  <c r="H30" i="36"/>
  <c r="AB30" i="36"/>
  <c r="Q29" i="36"/>
  <c r="Z29" i="36"/>
  <c r="J29" i="36"/>
  <c r="H29" i="36"/>
  <c r="AB29" i="36"/>
  <c r="F29" i="36"/>
  <c r="J28" i="36"/>
  <c r="W28" i="36"/>
  <c r="F28" i="36"/>
  <c r="S28" i="36"/>
  <c r="Q28" i="36"/>
  <c r="Z28" i="36"/>
  <c r="AC28" i="36"/>
  <c r="H28" i="36"/>
  <c r="AB28" i="36"/>
  <c r="AA28" i="36"/>
  <c r="H27" i="36"/>
  <c r="U27" i="36"/>
  <c r="Q27" i="36"/>
  <c r="Z27" i="36"/>
  <c r="J27" i="36"/>
  <c r="AC27" i="36"/>
  <c r="AB27" i="36"/>
  <c r="F27" i="36"/>
  <c r="H26" i="36"/>
  <c r="AB26" i="36"/>
  <c r="U26" i="36"/>
  <c r="Q26" i="36"/>
  <c r="Z26" i="36"/>
  <c r="J26" i="36"/>
  <c r="W26" i="36"/>
  <c r="F26" i="36"/>
  <c r="H25" i="36"/>
  <c r="AB25" i="36"/>
  <c r="Q25" i="36"/>
  <c r="Z25" i="36"/>
  <c r="J25" i="36"/>
  <c r="U25" i="36"/>
  <c r="F25" i="36"/>
  <c r="J24" i="36"/>
  <c r="AC24" i="36"/>
  <c r="H24" i="36"/>
  <c r="AB24" i="36"/>
  <c r="F24" i="36"/>
  <c r="AA24" i="36"/>
  <c r="Q24" i="36"/>
  <c r="Z24" i="36"/>
  <c r="W24" i="36"/>
  <c r="U24" i="36"/>
  <c r="S24" i="36"/>
  <c r="Q23" i="36"/>
  <c r="Z23" i="36"/>
  <c r="W23" i="36"/>
  <c r="H23" i="36"/>
  <c r="J22" i="36"/>
  <c r="AC22" i="36"/>
  <c r="F22" i="36"/>
  <c r="AA22" i="36"/>
  <c r="W22" i="36"/>
  <c r="Q22" i="36"/>
  <c r="Z22" i="36"/>
  <c r="H22" i="36"/>
  <c r="S22" i="36"/>
  <c r="H20" i="36"/>
  <c r="AB20" i="36"/>
  <c r="F20" i="36"/>
  <c r="AA20" i="36"/>
  <c r="Q20" i="36"/>
  <c r="Z20" i="36"/>
  <c r="J20" i="36"/>
  <c r="W20" i="36"/>
  <c r="U20" i="36"/>
  <c r="AC20" i="36"/>
  <c r="S20" i="36"/>
  <c r="C20" i="36"/>
  <c r="Q18" i="36"/>
  <c r="Z18" i="36"/>
  <c r="J18" i="36"/>
  <c r="H18" i="36"/>
  <c r="F18" i="36"/>
  <c r="C18" i="36"/>
  <c r="J16" i="36"/>
  <c r="AC16" i="36"/>
  <c r="Q16" i="36"/>
  <c r="Z16" i="36"/>
  <c r="W16" i="36"/>
  <c r="H16" i="36"/>
  <c r="F16" i="36"/>
  <c r="C16" i="36"/>
  <c r="Q14" i="36"/>
  <c r="Z14" i="36"/>
  <c r="J14" i="36"/>
  <c r="W14" i="36"/>
  <c r="AC14" i="36"/>
  <c r="H14" i="36"/>
  <c r="F14" i="36"/>
  <c r="AA14" i="36"/>
  <c r="C14" i="36"/>
  <c r="J13" i="36"/>
  <c r="AC13" i="36"/>
  <c r="Q13" i="36"/>
  <c r="Z13" i="36"/>
  <c r="W13" i="36"/>
  <c r="F13" i="36"/>
  <c r="AC12" i="36"/>
  <c r="H12" i="36"/>
  <c r="AB12" i="36"/>
  <c r="W12" i="36"/>
  <c r="U12" i="36"/>
  <c r="Q12" i="36"/>
  <c r="Z12" i="36"/>
  <c r="F12" i="36"/>
  <c r="Q11" i="36"/>
  <c r="Z11" i="36"/>
  <c r="J10" i="36"/>
  <c r="AC10" i="36"/>
  <c r="H10" i="36"/>
  <c r="AB10" i="36"/>
  <c r="F10" i="36"/>
  <c r="AA10" i="36"/>
  <c r="S10" i="36"/>
  <c r="Q10" i="36"/>
  <c r="Z10" i="36"/>
  <c r="W10" i="36"/>
  <c r="U10" i="36"/>
  <c r="H9" i="36"/>
  <c r="AB9" i="36"/>
  <c r="Q9" i="36"/>
  <c r="Z9" i="36"/>
  <c r="J9" i="36"/>
  <c r="U9" i="36"/>
  <c r="F9" i="36"/>
  <c r="J8" i="36"/>
  <c r="W8" i="36"/>
  <c r="H8" i="36"/>
  <c r="U8" i="36"/>
  <c r="F8" i="36"/>
  <c r="S8" i="36"/>
  <c r="AC8" i="36"/>
  <c r="AB8" i="36"/>
  <c r="AA8" i="36"/>
  <c r="D3" i="36"/>
  <c r="B101" i="35"/>
  <c r="J36" i="35"/>
  <c r="W36" i="35"/>
  <c r="B99" i="35"/>
  <c r="F35" i="35"/>
  <c r="S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F24" i="35"/>
  <c r="S24"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H9" i="35"/>
  <c r="I44" i="35"/>
  <c r="J44" i="35"/>
  <c r="G44" i="35"/>
  <c r="H44" i="35"/>
  <c r="E44" i="35"/>
  <c r="F44" i="35"/>
  <c r="P39" i="35"/>
  <c r="P38" i="35"/>
  <c r="K38" i="35"/>
  <c r="B38" i="35"/>
  <c r="V37" i="35"/>
  <c r="T37" i="35"/>
  <c r="R37" i="35"/>
  <c r="P37" i="35"/>
  <c r="AC36" i="35"/>
  <c r="Q36" i="35"/>
  <c r="Z36" i="35"/>
  <c r="H36" i="35"/>
  <c r="F36" i="35"/>
  <c r="S36" i="35"/>
  <c r="J35" i="35"/>
  <c r="AC35" i="35"/>
  <c r="H35" i="35"/>
  <c r="AB35" i="35"/>
  <c r="U35" i="35"/>
  <c r="Q35" i="35"/>
  <c r="Z35" i="35"/>
  <c r="W35" i="35"/>
  <c r="J34" i="35"/>
  <c r="AC34" i="35"/>
  <c r="H34" i="35"/>
  <c r="AB34" i="35"/>
  <c r="F34" i="35"/>
  <c r="AA34" i="35"/>
  <c r="W34" i="35"/>
  <c r="Q34" i="35"/>
  <c r="Z34" i="35"/>
  <c r="U34" i="35"/>
  <c r="S34" i="35"/>
  <c r="J33" i="35"/>
  <c r="AC33" i="35"/>
  <c r="F33" i="35"/>
  <c r="AA33" i="35"/>
  <c r="W33" i="35"/>
  <c r="H33" i="35"/>
  <c r="U33" i="35"/>
  <c r="Q33" i="35"/>
  <c r="Z33" i="35"/>
  <c r="AB33" i="35"/>
  <c r="S33" i="35"/>
  <c r="J32" i="35"/>
  <c r="AC32" i="35"/>
  <c r="H32" i="35"/>
  <c r="AB32" i="35"/>
  <c r="W32" i="35"/>
  <c r="U32" i="35"/>
  <c r="Q32" i="35"/>
  <c r="Z32" i="35"/>
  <c r="F32" i="35"/>
  <c r="F31" i="35"/>
  <c r="AA31" i="35"/>
  <c r="H31" i="35"/>
  <c r="U31" i="35"/>
  <c r="S31" i="35"/>
  <c r="Q31" i="35"/>
  <c r="Z31" i="35"/>
  <c r="J31" i="35"/>
  <c r="AB31" i="35"/>
  <c r="J30" i="35"/>
  <c r="AC30" i="35"/>
  <c r="Q30" i="35"/>
  <c r="Z30" i="35"/>
  <c r="W30" i="35"/>
  <c r="H30" i="35"/>
  <c r="F30" i="35"/>
  <c r="Q29" i="35"/>
  <c r="Z29" i="35"/>
  <c r="J29" i="35"/>
  <c r="H29" i="35"/>
  <c r="AB29" i="35"/>
  <c r="F29" i="35"/>
  <c r="F28" i="35"/>
  <c r="AA28" i="35"/>
  <c r="Q28" i="35"/>
  <c r="Z28" i="35"/>
  <c r="J28" i="35"/>
  <c r="H28" i="35"/>
  <c r="S28" i="35"/>
  <c r="J27" i="35"/>
  <c r="AC27" i="35"/>
  <c r="H27" i="35"/>
  <c r="AB27" i="35"/>
  <c r="Q27" i="35"/>
  <c r="Z27" i="35"/>
  <c r="U27" i="35"/>
  <c r="W27" i="35"/>
  <c r="F27" i="35"/>
  <c r="Q26" i="35"/>
  <c r="Z26" i="35"/>
  <c r="C26" i="35"/>
  <c r="J25" i="35"/>
  <c r="AC25" i="35"/>
  <c r="H25" i="35"/>
  <c r="AB25" i="35"/>
  <c r="W25" i="35"/>
  <c r="F25" i="35"/>
  <c r="S25" i="35"/>
  <c r="Q25" i="35"/>
  <c r="Z25" i="35"/>
  <c r="U25" i="35"/>
  <c r="AA25" i="35"/>
  <c r="J24" i="35"/>
  <c r="AC24" i="35"/>
  <c r="Q24" i="35"/>
  <c r="Z24" i="35"/>
  <c r="W24" i="35"/>
  <c r="H24" i="35"/>
  <c r="Q23" i="35"/>
  <c r="Z23" i="35"/>
  <c r="F23" i="35"/>
  <c r="S23" i="35"/>
  <c r="AA23" i="35"/>
  <c r="J22" i="35"/>
  <c r="AC22" i="35"/>
  <c r="F22" i="35"/>
  <c r="AA22" i="35"/>
  <c r="Q22" i="35"/>
  <c r="Z22" i="35"/>
  <c r="W22" i="35"/>
  <c r="H22" i="35"/>
  <c r="U22" i="35"/>
  <c r="S22" i="35"/>
  <c r="J20" i="35"/>
  <c r="AC20" i="35"/>
  <c r="H20" i="35"/>
  <c r="AB20" i="35"/>
  <c r="Q20" i="35"/>
  <c r="Z20" i="35"/>
  <c r="W20" i="35"/>
  <c r="U20" i="35"/>
  <c r="F20" i="35"/>
  <c r="AA20" i="35"/>
  <c r="C20" i="35"/>
  <c r="J18" i="35"/>
  <c r="AC18" i="35"/>
  <c r="H18" i="35"/>
  <c r="AB18" i="35"/>
  <c r="Q18" i="35"/>
  <c r="Z18" i="35"/>
  <c r="U18" i="35"/>
  <c r="W18" i="35"/>
  <c r="F18" i="35"/>
  <c r="AA18" i="35"/>
  <c r="C18" i="35"/>
  <c r="J16" i="35"/>
  <c r="AC16" i="35"/>
  <c r="F16" i="35"/>
  <c r="AA16" i="35"/>
  <c r="Q16" i="35"/>
  <c r="Z16" i="35"/>
  <c r="W16" i="35"/>
  <c r="H16" i="35"/>
  <c r="U16" i="35"/>
  <c r="S16" i="35"/>
  <c r="AB16" i="35"/>
  <c r="C16" i="35"/>
  <c r="F14" i="35"/>
  <c r="AA14" i="35"/>
  <c r="Q14" i="35"/>
  <c r="Z14" i="35"/>
  <c r="H14" i="35"/>
  <c r="U14" i="35"/>
  <c r="J14" i="35"/>
  <c r="AB14" i="35"/>
  <c r="S14" i="35"/>
  <c r="C14" i="35"/>
  <c r="Q13" i="35"/>
  <c r="Z13" i="35"/>
  <c r="F13" i="35"/>
  <c r="J12" i="35"/>
  <c r="AC12" i="35"/>
  <c r="H12" i="35"/>
  <c r="AB12" i="35"/>
  <c r="W12" i="35"/>
  <c r="F12" i="35"/>
  <c r="S12" i="35"/>
  <c r="Q12" i="35"/>
  <c r="Z12" i="35"/>
  <c r="U12" i="35"/>
  <c r="AA12" i="35"/>
  <c r="F11" i="35"/>
  <c r="S11" i="35"/>
  <c r="Q11" i="35"/>
  <c r="Z11" i="35"/>
  <c r="AA11" i="35"/>
  <c r="H10" i="35"/>
  <c r="AB10" i="35"/>
  <c r="U10" i="35"/>
  <c r="F10" i="35"/>
  <c r="S10" i="35"/>
  <c r="Q10" i="35"/>
  <c r="Z10" i="35"/>
  <c r="J10" i="35"/>
  <c r="AA10" i="35"/>
  <c r="F9" i="35"/>
  <c r="AA9" i="35"/>
  <c r="S9" i="35"/>
  <c r="Q9" i="35"/>
  <c r="Z9" i="35"/>
  <c r="J9" i="35"/>
  <c r="W9" i="35"/>
  <c r="J8" i="35"/>
  <c r="AC8" i="35"/>
  <c r="W8" i="35"/>
  <c r="F8" i="35"/>
  <c r="S8" i="35"/>
  <c r="H8" i="35"/>
  <c r="U8" i="35"/>
  <c r="AA8"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F25" i="37"/>
  <c r="S25" i="37"/>
  <c r="D79" i="37"/>
  <c r="E79" i="37"/>
  <c r="F79" i="37"/>
  <c r="G79" i="37"/>
  <c r="D77" i="37"/>
  <c r="E77" i="37"/>
  <c r="F77" i="37"/>
  <c r="G77" i="37"/>
  <c r="D75" i="37"/>
  <c r="E75" i="37"/>
  <c r="F75" i="37"/>
  <c r="G75" i="37"/>
  <c r="D73" i="37"/>
  <c r="E73" i="37"/>
  <c r="F73" i="37"/>
  <c r="G73" i="37"/>
  <c r="D71" i="37"/>
  <c r="E71" i="37"/>
  <c r="F71" i="37"/>
  <c r="G71" i="37"/>
  <c r="B68" i="37"/>
  <c r="F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K42" i="37"/>
  <c r="V41" i="37"/>
  <c r="T41" i="37"/>
  <c r="R41" i="37"/>
  <c r="P41" i="37"/>
  <c r="Q40" i="37"/>
  <c r="Z40" i="37"/>
  <c r="F39" i="37"/>
  <c r="AA39" i="37"/>
  <c r="S39" i="37"/>
  <c r="Q39" i="37"/>
  <c r="Z39" i="37"/>
  <c r="J39" i="37"/>
  <c r="H39" i="37"/>
  <c r="Q38" i="37"/>
  <c r="Z38" i="37"/>
  <c r="J38" i="37"/>
  <c r="H38" i="37"/>
  <c r="F38" i="37"/>
  <c r="J37" i="37"/>
  <c r="AC37" i="37"/>
  <c r="F37" i="37"/>
  <c r="AA37" i="37"/>
  <c r="Q37" i="37"/>
  <c r="Z37" i="37"/>
  <c r="W37" i="37"/>
  <c r="H37" i="37"/>
  <c r="S37" i="37"/>
  <c r="J36" i="37"/>
  <c r="AC36" i="37"/>
  <c r="H36" i="37"/>
  <c r="AB36" i="37"/>
  <c r="Q36" i="37"/>
  <c r="Z36" i="37"/>
  <c r="W36" i="37"/>
  <c r="U36" i="37"/>
  <c r="F36" i="37"/>
  <c r="J35" i="37"/>
  <c r="AC35" i="37"/>
  <c r="H35" i="37"/>
  <c r="AB35" i="37"/>
  <c r="F35" i="37"/>
  <c r="AA35" i="37"/>
  <c r="Q35" i="37"/>
  <c r="Z35" i="37"/>
  <c r="W35" i="37"/>
  <c r="U35" i="37"/>
  <c r="S35" i="37"/>
  <c r="J34" i="37"/>
  <c r="AC34" i="37"/>
  <c r="F34" i="37"/>
  <c r="AA34" i="37"/>
  <c r="W34" i="37"/>
  <c r="Q34" i="37"/>
  <c r="Z34" i="37"/>
  <c r="H34" i="37"/>
  <c r="AB34" i="37"/>
  <c r="S34" i="37"/>
  <c r="H33" i="37"/>
  <c r="AB33" i="37"/>
  <c r="F33" i="37"/>
  <c r="AA33" i="37"/>
  <c r="Q33" i="37"/>
  <c r="Z33" i="37"/>
  <c r="J33" i="37"/>
  <c r="W33" i="37"/>
  <c r="U33" i="37"/>
  <c r="AC33" i="37"/>
  <c r="S33" i="37"/>
  <c r="H32" i="37"/>
  <c r="AB32" i="37"/>
  <c r="F32" i="37"/>
  <c r="AA32" i="37"/>
  <c r="J32" i="37"/>
  <c r="W32" i="37"/>
  <c r="U32" i="37"/>
  <c r="S32" i="37"/>
  <c r="Q32" i="37"/>
  <c r="Z32" i="37"/>
  <c r="AC32" i="37"/>
  <c r="F31" i="37"/>
  <c r="AA31" i="37"/>
  <c r="Q31" i="37"/>
  <c r="Z31" i="37"/>
  <c r="J31" i="37"/>
  <c r="AC31" i="37"/>
  <c r="H31" i="37"/>
  <c r="AB31" i="37"/>
  <c r="S31" i="37"/>
  <c r="H30" i="37"/>
  <c r="AB30" i="37"/>
  <c r="J30" i="37"/>
  <c r="W30" i="37"/>
  <c r="U30" i="37"/>
  <c r="Q30" i="37"/>
  <c r="Z30" i="37"/>
  <c r="AC30" i="37"/>
  <c r="F30" i="37"/>
  <c r="J29" i="37"/>
  <c r="AC29" i="37"/>
  <c r="H29" i="37"/>
  <c r="U29" i="37"/>
  <c r="F29" i="37"/>
  <c r="S29" i="37"/>
  <c r="Q29" i="37"/>
  <c r="Z29" i="37"/>
  <c r="W29" i="37"/>
  <c r="AB29" i="37"/>
  <c r="AA29" i="37"/>
  <c r="Q28" i="37"/>
  <c r="Z28" i="37"/>
  <c r="J28" i="37"/>
  <c r="H28" i="37"/>
  <c r="F28" i="37"/>
  <c r="F27" i="37"/>
  <c r="AA27" i="37"/>
  <c r="Q27" i="37"/>
  <c r="Z27" i="37"/>
  <c r="S27" i="37"/>
  <c r="Q26" i="37"/>
  <c r="Z26" i="37"/>
  <c r="F26" i="37"/>
  <c r="AA25" i="37"/>
  <c r="Q25" i="37"/>
  <c r="Z25" i="37"/>
  <c r="J25" i="37"/>
  <c r="W25" i="37"/>
  <c r="AC25" i="37"/>
  <c r="H25" i="37"/>
  <c r="J23" i="37"/>
  <c r="AC23" i="37"/>
  <c r="W23" i="37"/>
  <c r="Q23" i="37"/>
  <c r="Z23" i="37"/>
  <c r="H23" i="37"/>
  <c r="F23" i="37"/>
  <c r="S23" i="37"/>
  <c r="C23" i="37"/>
  <c r="Q21" i="37"/>
  <c r="Z21" i="37"/>
  <c r="J21" i="37"/>
  <c r="H21" i="37"/>
  <c r="AB21" i="37"/>
  <c r="F21" i="37"/>
  <c r="C21" i="37"/>
  <c r="J19" i="37"/>
  <c r="AC19" i="37"/>
  <c r="Q19" i="37"/>
  <c r="Z19" i="37"/>
  <c r="W19" i="37"/>
  <c r="H19" i="37"/>
  <c r="F19" i="37"/>
  <c r="S19" i="37"/>
  <c r="C19" i="37"/>
  <c r="J17" i="37"/>
  <c r="AC17" i="37"/>
  <c r="Q17" i="37"/>
  <c r="Z17" i="37"/>
  <c r="W17" i="37"/>
  <c r="H17" i="37"/>
  <c r="F17" i="37"/>
  <c r="C17" i="37"/>
  <c r="J15" i="37"/>
  <c r="AC15" i="37"/>
  <c r="F15" i="37"/>
  <c r="AA15" i="37"/>
  <c r="W15" i="37"/>
  <c r="H15" i="37"/>
  <c r="U15" i="37"/>
  <c r="Q15" i="37"/>
  <c r="Z15" i="37"/>
  <c r="AB15" i="37"/>
  <c r="S15" i="37"/>
  <c r="C15" i="37"/>
  <c r="H14" i="37"/>
  <c r="U14" i="37"/>
  <c r="Q14" i="37"/>
  <c r="Z14" i="37"/>
  <c r="J14" i="37"/>
  <c r="AB14" i="37"/>
  <c r="J13" i="37"/>
  <c r="AC13" i="37"/>
  <c r="Q13" i="37"/>
  <c r="Z13" i="37"/>
  <c r="W13" i="37"/>
  <c r="H13" i="37"/>
  <c r="U13" i="37"/>
  <c r="F13" i="37"/>
  <c r="AC12" i="37"/>
  <c r="Q12" i="37"/>
  <c r="Z12" i="37"/>
  <c r="W12" i="37"/>
  <c r="H12" i="37"/>
  <c r="J11" i="37"/>
  <c r="AC11" i="37"/>
  <c r="H11" i="37"/>
  <c r="AB11" i="37"/>
  <c r="F11" i="37"/>
  <c r="AA11" i="37"/>
  <c r="W11" i="37"/>
  <c r="U11" i="37"/>
  <c r="S11" i="37"/>
  <c r="Q11" i="37"/>
  <c r="Z11" i="37"/>
  <c r="F10" i="37"/>
  <c r="AA10" i="37"/>
  <c r="S10" i="37"/>
  <c r="Q10" i="37"/>
  <c r="Z10" i="37"/>
  <c r="J10" i="37"/>
  <c r="H10" i="37"/>
  <c r="J9" i="37"/>
  <c r="AC9" i="37"/>
  <c r="F9" i="37"/>
  <c r="AA9" i="37"/>
  <c r="W9" i="37"/>
  <c r="Q9" i="37"/>
  <c r="Z9" i="37"/>
  <c r="H9" i="37"/>
  <c r="S9" i="37"/>
  <c r="H8" i="37"/>
  <c r="AB8" i="37"/>
  <c r="J8" i="37"/>
  <c r="W8" i="37"/>
  <c r="U8" i="37"/>
  <c r="F8" i="37"/>
  <c r="S8" i="37"/>
  <c r="AC8" i="37"/>
  <c r="AA8" i="37"/>
  <c r="B131" i="34"/>
  <c r="F47" i="34"/>
  <c r="B129" i="34"/>
  <c r="H46" i="34"/>
  <c r="U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J28"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J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W47" i="34"/>
  <c r="Q47" i="34"/>
  <c r="Z47" i="34"/>
  <c r="AC47" i="34"/>
  <c r="H47" i="34"/>
  <c r="AB46" i="34"/>
  <c r="Q46" i="34"/>
  <c r="Z46" i="34"/>
  <c r="J46" i="34"/>
  <c r="F46" i="34"/>
  <c r="J45" i="34"/>
  <c r="AC45" i="34"/>
  <c r="H45" i="34"/>
  <c r="AB45" i="34"/>
  <c r="U45" i="34"/>
  <c r="Q45" i="34"/>
  <c r="Z45" i="34"/>
  <c r="W45" i="34"/>
  <c r="F45" i="34"/>
  <c r="AA45" i="34"/>
  <c r="Q44" i="34"/>
  <c r="Z44" i="34"/>
  <c r="F44" i="34"/>
  <c r="S44" i="34"/>
  <c r="J44" i="34"/>
  <c r="W44" i="34"/>
  <c r="H44" i="34"/>
  <c r="U44" i="34"/>
  <c r="AA44" i="34"/>
  <c r="F43" i="34"/>
  <c r="AA43" i="34"/>
  <c r="Q43" i="34"/>
  <c r="Z43" i="34"/>
  <c r="S43" i="34"/>
  <c r="J43" i="34"/>
  <c r="AC43" i="34"/>
  <c r="H43" i="34"/>
  <c r="H42" i="34"/>
  <c r="AB42" i="34"/>
  <c r="Q42" i="34"/>
  <c r="Z42" i="34"/>
  <c r="U42" i="34"/>
  <c r="J42" i="34"/>
  <c r="F42" i="34"/>
  <c r="J41" i="34"/>
  <c r="AC41" i="34"/>
  <c r="H41" i="34"/>
  <c r="AB41" i="34"/>
  <c r="F41" i="34"/>
  <c r="AA41" i="34"/>
  <c r="Q41" i="34"/>
  <c r="Z41" i="34"/>
  <c r="U41" i="34"/>
  <c r="S41" i="34"/>
  <c r="W41" i="34"/>
  <c r="J40" i="34"/>
  <c r="AC40" i="34"/>
  <c r="H40" i="34"/>
  <c r="AB40" i="34"/>
  <c r="F40" i="34"/>
  <c r="AA40" i="34"/>
  <c r="Q40" i="34"/>
  <c r="Z40" i="34"/>
  <c r="W40" i="34"/>
  <c r="S40" i="34"/>
  <c r="U40" i="34"/>
  <c r="H39" i="34"/>
  <c r="AB39" i="34"/>
  <c r="F39" i="34"/>
  <c r="AA39" i="34"/>
  <c r="J39" i="34"/>
  <c r="W39" i="34"/>
  <c r="U39" i="34"/>
  <c r="Q39" i="34"/>
  <c r="Z39" i="34"/>
  <c r="AC39" i="34"/>
  <c r="S39" i="34"/>
  <c r="J38" i="34"/>
  <c r="AC38" i="34"/>
  <c r="F38" i="34"/>
  <c r="AA38" i="34"/>
  <c r="Q38" i="34"/>
  <c r="Z38" i="34"/>
  <c r="H38" i="34"/>
  <c r="U38" i="34"/>
  <c r="S38" i="34"/>
  <c r="W38" i="34"/>
  <c r="AB38" i="34"/>
  <c r="J37" i="34"/>
  <c r="AC37" i="34"/>
  <c r="W37" i="34"/>
  <c r="Q37" i="34"/>
  <c r="Z37" i="34"/>
  <c r="H37" i="34"/>
  <c r="F37" i="34"/>
  <c r="H36" i="34"/>
  <c r="AB36" i="34"/>
  <c r="F36" i="34"/>
  <c r="AA36" i="34"/>
  <c r="Q36" i="34"/>
  <c r="Z36" i="34"/>
  <c r="U36" i="34"/>
  <c r="S36" i="34"/>
  <c r="J36" i="34"/>
  <c r="F35" i="34"/>
  <c r="AA35" i="34"/>
  <c r="J35" i="34"/>
  <c r="W35" i="34"/>
  <c r="Q35" i="34"/>
  <c r="Z35" i="34"/>
  <c r="AC35" i="34"/>
  <c r="H35" i="34"/>
  <c r="S35" i="34"/>
  <c r="J34" i="34"/>
  <c r="AC34" i="34"/>
  <c r="W34" i="34"/>
  <c r="H34" i="34"/>
  <c r="U34" i="34"/>
  <c r="Q34" i="34"/>
  <c r="Z34" i="34"/>
  <c r="AB34" i="34"/>
  <c r="F34" i="34"/>
  <c r="J33" i="34"/>
  <c r="AC33" i="34"/>
  <c r="H33" i="34"/>
  <c r="AB33" i="34"/>
  <c r="F33" i="34"/>
  <c r="AA33" i="34"/>
  <c r="S33" i="34"/>
  <c r="Q33" i="34"/>
  <c r="Z33" i="34"/>
  <c r="W33" i="34"/>
  <c r="U33" i="34"/>
  <c r="J32" i="34"/>
  <c r="AC32" i="34"/>
  <c r="Q32" i="34"/>
  <c r="Z32" i="34"/>
  <c r="H32" i="34"/>
  <c r="U32" i="34"/>
  <c r="W32" i="34"/>
  <c r="AB32" i="34"/>
  <c r="F32" i="34"/>
  <c r="Q31" i="34"/>
  <c r="Z31" i="34"/>
  <c r="H30" i="34"/>
  <c r="AB30" i="34"/>
  <c r="F30" i="34"/>
  <c r="AA30" i="34"/>
  <c r="J30" i="34"/>
  <c r="W30" i="34"/>
  <c r="Q30" i="34"/>
  <c r="Z30" i="34"/>
  <c r="AC30" i="34"/>
  <c r="U30" i="34"/>
  <c r="S30" i="34"/>
  <c r="J29" i="34"/>
  <c r="AC29" i="34"/>
  <c r="Q29" i="34"/>
  <c r="Z29" i="34"/>
  <c r="W29" i="34"/>
  <c r="H29" i="34"/>
  <c r="F29" i="34"/>
  <c r="AC28" i="34"/>
  <c r="F28" i="34"/>
  <c r="AA28" i="34"/>
  <c r="W28" i="34"/>
  <c r="Q28" i="34"/>
  <c r="Z28" i="34"/>
  <c r="H28" i="34"/>
  <c r="AB28" i="34"/>
  <c r="S28" i="34"/>
  <c r="Q27" i="34"/>
  <c r="Z27" i="34"/>
  <c r="F27" i="34"/>
  <c r="H25" i="34"/>
  <c r="AB25" i="34"/>
  <c r="F25" i="34"/>
  <c r="AA25" i="34"/>
  <c r="U25" i="34"/>
  <c r="S25" i="34"/>
  <c r="Q25" i="34"/>
  <c r="Z25" i="34"/>
  <c r="J25" i="34"/>
  <c r="H23" i="34"/>
  <c r="AB23" i="34"/>
  <c r="Q23" i="34"/>
  <c r="Z23" i="34"/>
  <c r="F23" i="34"/>
  <c r="S23" i="34"/>
  <c r="J23" i="34"/>
  <c r="U23" i="34"/>
  <c r="AA23" i="34"/>
  <c r="C23" i="34"/>
  <c r="J21" i="34"/>
  <c r="AC21" i="34"/>
  <c r="W21" i="34"/>
  <c r="Q21" i="34"/>
  <c r="Z21" i="34"/>
  <c r="H21" i="34"/>
  <c r="F21" i="34"/>
  <c r="C21" i="34"/>
  <c r="H19" i="34"/>
  <c r="AB19" i="34"/>
  <c r="Q19" i="34"/>
  <c r="Z19" i="34"/>
  <c r="J19" i="34"/>
  <c r="U19" i="34"/>
  <c r="F19" i="34"/>
  <c r="AA19" i="34"/>
  <c r="C19" i="34"/>
  <c r="J17" i="34"/>
  <c r="AC17" i="34"/>
  <c r="F17" i="34"/>
  <c r="AA17" i="34"/>
  <c r="W17" i="34"/>
  <c r="Q17" i="34"/>
  <c r="Z17" i="34"/>
  <c r="H17" i="34"/>
  <c r="S17" i="34"/>
  <c r="C17" i="34"/>
  <c r="J15" i="34"/>
  <c r="AC15" i="34"/>
  <c r="H15" i="34"/>
  <c r="AB15" i="34"/>
  <c r="Q15" i="34"/>
  <c r="Z15" i="34"/>
  <c r="W15" i="34"/>
  <c r="U15" i="34"/>
  <c r="F15" i="34"/>
  <c r="C15" i="34"/>
  <c r="AC14" i="34"/>
  <c r="H14" i="34"/>
  <c r="AB14" i="34"/>
  <c r="W14" i="34"/>
  <c r="Q14" i="34"/>
  <c r="Z14" i="34"/>
  <c r="U14" i="34"/>
  <c r="F14" i="34"/>
  <c r="S14" i="34"/>
  <c r="Q13" i="34"/>
  <c r="Z13" i="34"/>
  <c r="H13" i="34"/>
  <c r="U13" i="34"/>
  <c r="F13" i="34"/>
  <c r="S13" i="34"/>
  <c r="J13" i="34"/>
  <c r="AB13" i="34"/>
  <c r="AA13" i="34"/>
  <c r="F12" i="34"/>
  <c r="AA12" i="34"/>
  <c r="J12" i="34"/>
  <c r="W12" i="34"/>
  <c r="H12" i="34"/>
  <c r="U12" i="34"/>
  <c r="S12" i="34"/>
  <c r="Q12" i="34"/>
  <c r="Z12" i="34"/>
  <c r="AC12" i="34"/>
  <c r="AB12" i="34"/>
  <c r="J11" i="34"/>
  <c r="AC11" i="34"/>
  <c r="Q11" i="34"/>
  <c r="Z11" i="34"/>
  <c r="W11" i="34"/>
  <c r="H11" i="34"/>
  <c r="F11" i="34"/>
  <c r="AA11" i="34"/>
  <c r="H10" i="34"/>
  <c r="U10" i="34"/>
  <c r="Q10" i="34"/>
  <c r="Z10" i="34"/>
  <c r="J10" i="34"/>
  <c r="AC10" i="34"/>
  <c r="AB10" i="34"/>
  <c r="F10" i="34"/>
  <c r="Q9" i="34"/>
  <c r="Z9" i="34"/>
  <c r="J8" i="34"/>
  <c r="AC8" i="34"/>
  <c r="F8" i="34"/>
  <c r="AA8" i="34"/>
  <c r="W8" i="34"/>
  <c r="H8" i="34"/>
  <c r="S8" i="34"/>
  <c r="B130" i="33"/>
  <c r="J46"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H30" i="33"/>
  <c r="B94" i="33"/>
  <c r="B92" i="33"/>
  <c r="D91" i="33"/>
  <c r="E91" i="33"/>
  <c r="F91" i="33"/>
  <c r="G91" i="33"/>
  <c r="H91" i="33"/>
  <c r="I91" i="33"/>
  <c r="J91" i="33"/>
  <c r="K91" i="33"/>
  <c r="L91" i="33"/>
  <c r="M91" i="33"/>
  <c r="B90" i="33"/>
  <c r="H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H14" i="33"/>
  <c r="U1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H46" i="33"/>
  <c r="U46" i="33"/>
  <c r="AB46" i="33"/>
  <c r="J45" i="33"/>
  <c r="AC45" i="33"/>
  <c r="F45" i="33"/>
  <c r="AA45" i="33"/>
  <c r="Q45" i="33"/>
  <c r="Z45" i="33"/>
  <c r="W45" i="33"/>
  <c r="H45" i="33"/>
  <c r="S45" i="33"/>
  <c r="H44" i="33"/>
  <c r="AB44" i="33"/>
  <c r="Q44" i="33"/>
  <c r="Z44" i="33"/>
  <c r="U44" i="33"/>
  <c r="J43" i="33"/>
  <c r="AC43" i="33"/>
  <c r="F43" i="33"/>
  <c r="AA43" i="33"/>
  <c r="W43" i="33"/>
  <c r="H43" i="33"/>
  <c r="U43" i="33"/>
  <c r="S43" i="33"/>
  <c r="Q43" i="33"/>
  <c r="Z43" i="33"/>
  <c r="AB43" i="33"/>
  <c r="Q42" i="33"/>
  <c r="Z42" i="33"/>
  <c r="J42" i="33"/>
  <c r="W42" i="33"/>
  <c r="H42" i="33"/>
  <c r="F42" i="33"/>
  <c r="AA42" i="33"/>
  <c r="J41" i="33"/>
  <c r="AC41" i="33"/>
  <c r="W41" i="33"/>
  <c r="Q41" i="33"/>
  <c r="Z41" i="33"/>
  <c r="H41" i="33"/>
  <c r="F41" i="33"/>
  <c r="AA41" i="33"/>
  <c r="J40" i="33"/>
  <c r="AC40" i="33"/>
  <c r="Q40" i="33"/>
  <c r="Z40" i="33"/>
  <c r="W40" i="33"/>
  <c r="H40" i="33"/>
  <c r="F40" i="33"/>
  <c r="J39" i="33"/>
  <c r="AC39" i="33"/>
  <c r="F39" i="33"/>
  <c r="S39" i="33"/>
  <c r="Q39" i="33"/>
  <c r="Z39" i="33"/>
  <c r="W39" i="33"/>
  <c r="H39" i="33"/>
  <c r="AA39" i="33"/>
  <c r="J38" i="33"/>
  <c r="AC38" i="33"/>
  <c r="Q38" i="33"/>
  <c r="Z38" i="33"/>
  <c r="W38" i="33"/>
  <c r="H38" i="33"/>
  <c r="F38" i="33"/>
  <c r="J37" i="33"/>
  <c r="AC37" i="33"/>
  <c r="H37" i="33"/>
  <c r="AB37" i="33"/>
  <c r="F37" i="33"/>
  <c r="AA37" i="33"/>
  <c r="Q37" i="33"/>
  <c r="Z37" i="33"/>
  <c r="W37" i="33"/>
  <c r="U37" i="33"/>
  <c r="S37" i="33"/>
  <c r="J36" i="33"/>
  <c r="AC36" i="33"/>
  <c r="H36" i="33"/>
  <c r="AB36" i="33"/>
  <c r="F36" i="33"/>
  <c r="AA36" i="33"/>
  <c r="Q36" i="33"/>
  <c r="Z36" i="33"/>
  <c r="W36" i="33"/>
  <c r="U36" i="33"/>
  <c r="S36" i="33"/>
  <c r="H35" i="33"/>
  <c r="AB35" i="33"/>
  <c r="Q35" i="33"/>
  <c r="Z35" i="33"/>
  <c r="J35" i="33"/>
  <c r="W35" i="33"/>
  <c r="U35" i="33"/>
  <c r="F35" i="33"/>
  <c r="S35" i="33"/>
  <c r="AC35" i="33"/>
  <c r="AA35" i="33"/>
  <c r="J34" i="33"/>
  <c r="AC34" i="33"/>
  <c r="F34" i="33"/>
  <c r="AA34" i="33"/>
  <c r="W34" i="33"/>
  <c r="S34" i="33"/>
  <c r="Q34" i="33"/>
  <c r="Z34" i="33"/>
  <c r="H34" i="33"/>
  <c r="AB34" i="33"/>
  <c r="J33" i="33"/>
  <c r="AC33" i="33"/>
  <c r="H33" i="33"/>
  <c r="AB33" i="33"/>
  <c r="W33" i="33"/>
  <c r="U33" i="33"/>
  <c r="Q33" i="33"/>
  <c r="Z33" i="33"/>
  <c r="F33" i="33"/>
  <c r="Q32" i="33"/>
  <c r="Z32" i="33"/>
  <c r="F32" i="33"/>
  <c r="S32" i="33"/>
  <c r="J32" i="33"/>
  <c r="H32" i="33"/>
  <c r="AA32" i="33"/>
  <c r="AC31" i="33"/>
  <c r="W31" i="33"/>
  <c r="Q31" i="33"/>
  <c r="Z31" i="33"/>
  <c r="H31" i="33"/>
  <c r="AB31" i="33"/>
  <c r="F31" i="33"/>
  <c r="AB30" i="33"/>
  <c r="Q30" i="33"/>
  <c r="Z30" i="33"/>
  <c r="U30" i="33"/>
  <c r="Q29" i="33"/>
  <c r="Z29" i="33"/>
  <c r="J29" i="33"/>
  <c r="H29" i="33"/>
  <c r="F29" i="33"/>
  <c r="H28" i="33"/>
  <c r="AB28" i="33"/>
  <c r="U28" i="33"/>
  <c r="Q28" i="33"/>
  <c r="Z28" i="33"/>
  <c r="J28" i="33"/>
  <c r="W28" i="33"/>
  <c r="F28" i="33"/>
  <c r="Q27" i="33"/>
  <c r="Z27" i="33"/>
  <c r="J27" i="33"/>
  <c r="J26" i="33"/>
  <c r="AC26" i="33"/>
  <c r="H26" i="33"/>
  <c r="AB26" i="33"/>
  <c r="F26" i="33"/>
  <c r="AA26" i="33"/>
  <c r="Q26" i="33"/>
  <c r="Z26" i="33"/>
  <c r="W26" i="33"/>
  <c r="U26" i="33"/>
  <c r="S26" i="33"/>
  <c r="J25" i="33"/>
  <c r="AC25" i="33"/>
  <c r="H25" i="33"/>
  <c r="AB25" i="33"/>
  <c r="F25" i="33"/>
  <c r="AA25" i="33"/>
  <c r="Q25" i="33"/>
  <c r="Z25" i="33"/>
  <c r="W25" i="33"/>
  <c r="S25" i="33"/>
  <c r="U25" i="33"/>
  <c r="J23" i="33"/>
  <c r="AC23" i="33"/>
  <c r="F23" i="33"/>
  <c r="AA23" i="33"/>
  <c r="W23" i="33"/>
  <c r="Q23" i="33"/>
  <c r="Z23" i="33"/>
  <c r="H23" i="33"/>
  <c r="S23" i="33"/>
  <c r="C23" i="33"/>
  <c r="H21" i="33"/>
  <c r="AB21" i="33"/>
  <c r="F21" i="33"/>
  <c r="AA21" i="33"/>
  <c r="Q21" i="33"/>
  <c r="Z21" i="33"/>
  <c r="J21" i="33"/>
  <c r="U21" i="33"/>
  <c r="S21" i="33"/>
  <c r="C21" i="33"/>
  <c r="J19" i="33"/>
  <c r="AC19" i="33"/>
  <c r="F19" i="33"/>
  <c r="AA19" i="33"/>
  <c r="W19" i="33"/>
  <c r="Q19" i="33"/>
  <c r="Z19" i="33"/>
  <c r="H19" i="33"/>
  <c r="S19" i="33"/>
  <c r="C19" i="33"/>
  <c r="J17" i="33"/>
  <c r="AC17" i="33"/>
  <c r="Q17" i="33"/>
  <c r="Z17" i="33"/>
  <c r="H17" i="33"/>
  <c r="U17" i="33"/>
  <c r="W17" i="33"/>
  <c r="AB17" i="33"/>
  <c r="F17" i="33"/>
  <c r="C17" i="33"/>
  <c r="J15" i="33"/>
  <c r="AC15" i="33"/>
  <c r="H15" i="33"/>
  <c r="AB15" i="33"/>
  <c r="W15" i="33"/>
  <c r="Q15" i="33"/>
  <c r="Z15" i="33"/>
  <c r="U15" i="33"/>
  <c r="F15" i="33"/>
  <c r="C15" i="33"/>
  <c r="J14" i="33"/>
  <c r="AC14" i="33"/>
  <c r="AB14" i="33"/>
  <c r="F14" i="33"/>
  <c r="AA14" i="33"/>
  <c r="Q14" i="33"/>
  <c r="Z14" i="33"/>
  <c r="W14" i="33"/>
  <c r="S14" i="33"/>
  <c r="H13" i="33"/>
  <c r="AB13" i="33"/>
  <c r="Q13" i="33"/>
  <c r="Z13" i="33"/>
  <c r="U13" i="33"/>
  <c r="Q12" i="33"/>
  <c r="Z12" i="33"/>
  <c r="H12" i="33"/>
  <c r="U12" i="33"/>
  <c r="AB12" i="33"/>
  <c r="H11" i="33"/>
  <c r="AB11" i="33"/>
  <c r="U11" i="33"/>
  <c r="Q11" i="33"/>
  <c r="Z11" i="33"/>
  <c r="J11" i="33"/>
  <c r="F11" i="33"/>
  <c r="AA11" i="33"/>
  <c r="F10" i="33"/>
  <c r="AA10" i="33"/>
  <c r="Q10" i="33"/>
  <c r="Z10" i="33"/>
  <c r="S10" i="33"/>
  <c r="J10" i="33"/>
  <c r="AC10" i="33"/>
  <c r="H10" i="33"/>
  <c r="J9" i="33"/>
  <c r="AC9" i="33"/>
  <c r="F9" i="33"/>
  <c r="AA9" i="33"/>
  <c r="W9" i="33"/>
  <c r="H9" i="33"/>
  <c r="U9" i="33"/>
  <c r="S9" i="33"/>
  <c r="Q9" i="33"/>
  <c r="Z9" i="33"/>
  <c r="AB9" i="33"/>
  <c r="J8" i="33"/>
  <c r="H8" i="33"/>
  <c r="F8" i="33"/>
  <c r="S8" i="33"/>
  <c r="C145" i="21"/>
  <c r="K139" i="21"/>
  <c r="J142" i="21"/>
  <c r="J140"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AB31" i="21"/>
  <c r="B96" i="21"/>
  <c r="F30" i="21"/>
  <c r="AA30"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J46" i="21"/>
  <c r="AC46" i="21"/>
  <c r="H46" i="21"/>
  <c r="AB46" i="21"/>
  <c r="Q46" i="21"/>
  <c r="Z46" i="21"/>
  <c r="U46" i="21"/>
  <c r="W46" i="21"/>
  <c r="F46" i="21"/>
  <c r="S46" i="21"/>
  <c r="Q45" i="21"/>
  <c r="Z45" i="21"/>
  <c r="Q44" i="21"/>
  <c r="Z44" i="21"/>
  <c r="H43" i="21"/>
  <c r="AB43" i="21"/>
  <c r="U43" i="21"/>
  <c r="Q43" i="21"/>
  <c r="Z43" i="21"/>
  <c r="J43" i="21"/>
  <c r="F43" i="21"/>
  <c r="AA43" i="21"/>
  <c r="F42" i="21"/>
  <c r="AA42" i="21"/>
  <c r="Q42" i="21"/>
  <c r="Z42" i="21"/>
  <c r="S42" i="21"/>
  <c r="J42" i="21"/>
  <c r="AC42" i="21"/>
  <c r="H42" i="21"/>
  <c r="J41" i="21"/>
  <c r="AC41" i="21"/>
  <c r="F41" i="21"/>
  <c r="AA41" i="21"/>
  <c r="W41" i="21"/>
  <c r="H41" i="21"/>
  <c r="U41" i="21"/>
  <c r="S41" i="21"/>
  <c r="Q41" i="21"/>
  <c r="Z41" i="21"/>
  <c r="AB41" i="21"/>
  <c r="H40" i="21"/>
  <c r="AB40" i="21"/>
  <c r="Q40" i="21"/>
  <c r="Z40" i="21"/>
  <c r="U40" i="21"/>
  <c r="F40" i="21"/>
  <c r="S40" i="21"/>
  <c r="J40" i="21"/>
  <c r="AA40" i="21"/>
  <c r="Q39" i="21"/>
  <c r="Z39" i="21"/>
  <c r="J39" i="21"/>
  <c r="H39" i="21"/>
  <c r="F39" i="21"/>
  <c r="J38" i="21"/>
  <c r="AC38" i="21"/>
  <c r="H38" i="21"/>
  <c r="AB38" i="21"/>
  <c r="Q38" i="21"/>
  <c r="Z38" i="21"/>
  <c r="U38" i="21"/>
  <c r="W38" i="21"/>
  <c r="F38" i="21"/>
  <c r="J37" i="21"/>
  <c r="AC37" i="21"/>
  <c r="H37" i="21"/>
  <c r="AB37" i="21"/>
  <c r="F37" i="21"/>
  <c r="AA37" i="21"/>
  <c r="W37" i="21"/>
  <c r="S37" i="21"/>
  <c r="Q37" i="21"/>
  <c r="Z37" i="21"/>
  <c r="U37" i="21"/>
  <c r="J36" i="21"/>
  <c r="AC36" i="21"/>
  <c r="H36" i="21"/>
  <c r="U36" i="21"/>
  <c r="Q36" i="21"/>
  <c r="Z36" i="21"/>
  <c r="W36" i="21"/>
  <c r="AB36" i="21"/>
  <c r="F36" i="21"/>
  <c r="S36" i="21"/>
  <c r="H35" i="21"/>
  <c r="AB35" i="21"/>
  <c r="Q35" i="21"/>
  <c r="Z35" i="21"/>
  <c r="J35" i="21"/>
  <c r="U35" i="21"/>
  <c r="F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Q31" i="21"/>
  <c r="Z31" i="21"/>
  <c r="J31" i="21"/>
  <c r="W31" i="21"/>
  <c r="U31" i="21"/>
  <c r="AC31" i="21"/>
  <c r="S30" i="21"/>
  <c r="Q30" i="21"/>
  <c r="Z30" i="21"/>
  <c r="J30" i="21"/>
  <c r="H30" i="21"/>
  <c r="AB30" i="21"/>
  <c r="Q29" i="21"/>
  <c r="Z29" i="21"/>
  <c r="F29" i="21"/>
  <c r="Q28" i="21"/>
  <c r="Z28" i="21"/>
  <c r="Q27" i="21"/>
  <c r="Z27" i="21"/>
  <c r="H26" i="21"/>
  <c r="AB26" i="21"/>
  <c r="Q26" i="21"/>
  <c r="Z26" i="21"/>
  <c r="J26" i="21"/>
  <c r="W26" i="21"/>
  <c r="U26" i="21"/>
  <c r="F26" i="21"/>
  <c r="J25" i="21"/>
  <c r="AC25" i="21"/>
  <c r="H25" i="21"/>
  <c r="AB25" i="21"/>
  <c r="F25" i="21"/>
  <c r="AA25" i="21"/>
  <c r="W25" i="21"/>
  <c r="S25" i="21"/>
  <c r="Q25" i="21"/>
  <c r="Z25" i="21"/>
  <c r="U25" i="21"/>
  <c r="J23" i="21"/>
  <c r="AC23" i="21"/>
  <c r="F23" i="21"/>
  <c r="AA23" i="21"/>
  <c r="Q23" i="21"/>
  <c r="Z23" i="21"/>
  <c r="H23" i="21"/>
  <c r="U23" i="21"/>
  <c r="W23" i="21"/>
  <c r="AB23" i="21"/>
  <c r="S23" i="21"/>
  <c r="C23" i="21"/>
  <c r="H21" i="21"/>
  <c r="U21" i="21"/>
  <c r="Q21" i="21"/>
  <c r="Z21" i="21"/>
  <c r="J21" i="21"/>
  <c r="AB21" i="21"/>
  <c r="F21" i="21"/>
  <c r="S21" i="21"/>
  <c r="C21" i="21"/>
  <c r="Q19" i="21"/>
  <c r="Z19" i="21"/>
  <c r="J19" i="21"/>
  <c r="H19" i="21"/>
  <c r="F19" i="21"/>
  <c r="C19" i="21"/>
  <c r="J17" i="21"/>
  <c r="AC17" i="21"/>
  <c r="Q17" i="21"/>
  <c r="Z17" i="21"/>
  <c r="W17" i="21"/>
  <c r="H17" i="21"/>
  <c r="AB17" i="21"/>
  <c r="F17" i="21"/>
  <c r="C17" i="21"/>
  <c r="J15" i="21"/>
  <c r="AC15" i="21"/>
  <c r="H15" i="21"/>
  <c r="AB15" i="21"/>
  <c r="Q15" i="21"/>
  <c r="Z15" i="21"/>
  <c r="U15" i="21"/>
  <c r="W15" i="21"/>
  <c r="F15" i="21"/>
  <c r="S15" i="21"/>
  <c r="C15" i="21"/>
  <c r="Q14" i="21"/>
  <c r="Z14" i="21"/>
  <c r="H13" i="21"/>
  <c r="AB13" i="21"/>
  <c r="Q13" i="21"/>
  <c r="Z13" i="21"/>
  <c r="J13" i="21"/>
  <c r="W13" i="21"/>
  <c r="F13" i="21"/>
  <c r="S13" i="21"/>
  <c r="AC13" i="21"/>
  <c r="U13" i="21"/>
  <c r="AA13" i="21"/>
  <c r="J12" i="21"/>
  <c r="AC12" i="21"/>
  <c r="W12" i="21"/>
  <c r="H12" i="21"/>
  <c r="U12" i="21"/>
  <c r="Q12" i="21"/>
  <c r="Z12" i="21"/>
  <c r="AB12" i="21"/>
  <c r="F12" i="21"/>
  <c r="S12" i="21"/>
  <c r="H11" i="21"/>
  <c r="AB11" i="21"/>
  <c r="Q11" i="21"/>
  <c r="Z11" i="21"/>
  <c r="U11" i="21"/>
  <c r="J11" i="21"/>
  <c r="F11" i="21"/>
  <c r="AA11" i="21"/>
  <c r="J10" i="21"/>
  <c r="AC10" i="21"/>
  <c r="F10" i="21"/>
  <c r="AA10" i="21"/>
  <c r="W10" i="21"/>
  <c r="S10" i="21"/>
  <c r="Q10" i="21"/>
  <c r="Z10" i="21"/>
  <c r="H10" i="21"/>
  <c r="Q9" i="21"/>
  <c r="Z9" i="21"/>
  <c r="F9" i="21"/>
  <c r="H8" i="21"/>
  <c r="AB8" i="21"/>
  <c r="F8" i="21"/>
  <c r="AA8" i="21"/>
  <c r="J8" i="21"/>
  <c r="W8" i="21"/>
  <c r="U8" i="21"/>
  <c r="AC8" i="21"/>
  <c r="S8" i="21"/>
  <c r="A13" i="70"/>
  <c r="E13" i="70"/>
  <c r="A12" i="70"/>
  <c r="E12" i="70"/>
  <c r="A11" i="70"/>
  <c r="E11" i="70"/>
  <c r="A10" i="70"/>
  <c r="E10" i="70"/>
  <c r="A9" i="70"/>
  <c r="E9" i="70"/>
  <c r="A8" i="70"/>
  <c r="E8" i="70"/>
  <c r="A7" i="70"/>
  <c r="E7" i="70"/>
  <c r="A6" i="70"/>
  <c r="E6" i="70"/>
  <c r="R43" i="77"/>
  <c r="R40" i="77"/>
  <c r="R41" i="77"/>
  <c r="C23" i="77"/>
  <c r="D23" i="77"/>
  <c r="E23" i="77"/>
  <c r="E38" i="77"/>
  <c r="E39" i="77"/>
  <c r="F36" i="77"/>
  <c r="R34" i="77"/>
  <c r="R33" i="77"/>
  <c r="C30" i="77"/>
  <c r="C29" i="77"/>
  <c r="R27" i="77"/>
  <c r="D26" i="77"/>
  <c r="R21" i="77"/>
  <c r="R22" i="77"/>
  <c r="R23" i="77"/>
  <c r="R24" i="77"/>
  <c r="M24" i="77"/>
  <c r="E29" i="77"/>
  <c r="N19" i="77"/>
  <c r="R18" i="77"/>
  <c r="D18" i="77"/>
  <c r="R17" i="77"/>
  <c r="R16" i="77"/>
  <c r="R19" i="77"/>
  <c r="D17" i="77"/>
  <c r="D16" i="77"/>
  <c r="D15" i="77"/>
  <c r="M14" i="77"/>
  <c r="N14" i="77"/>
  <c r="D14" i="77"/>
  <c r="R13" i="77"/>
  <c r="R12" i="77"/>
  <c r="D12" i="77"/>
  <c r="R11" i="77"/>
  <c r="R10" i="77"/>
  <c r="D10" i="77"/>
  <c r="R9" i="77"/>
  <c r="D9" i="77"/>
  <c r="R8" i="77"/>
  <c r="R7" i="77"/>
  <c r="R4" i="77"/>
  <c r="R3" i="77"/>
  <c r="K59" i="67"/>
  <c r="P74" i="67"/>
  <c r="Q72" i="67"/>
  <c r="Q59" i="67"/>
  <c r="P61" i="67"/>
  <c r="Q58" i="67"/>
  <c r="Q51" i="67"/>
  <c r="J50" i="67"/>
  <c r="J51" i="67"/>
  <c r="M47" i="67"/>
  <c r="D46" i="67"/>
  <c r="F33" i="67"/>
  <c r="F61" i="67"/>
  <c r="F23" i="67"/>
  <c r="D22" i="67"/>
  <c r="F21" i="67"/>
  <c r="F20" i="67"/>
  <c r="M19" i="67"/>
  <c r="F18" i="67"/>
  <c r="F17" i="67"/>
  <c r="F15" i="67"/>
  <c r="Q72" i="15"/>
  <c r="Q59" i="15"/>
  <c r="K59" i="15"/>
  <c r="Q58" i="15"/>
  <c r="Q51" i="15"/>
  <c r="J50" i="15"/>
  <c r="J51" i="15"/>
  <c r="M47" i="15"/>
  <c r="D46" i="15"/>
  <c r="F33" i="15"/>
  <c r="F61" i="15"/>
  <c r="F23" i="15"/>
  <c r="D24" i="15"/>
  <c r="D23" i="15"/>
  <c r="D22" i="15"/>
  <c r="F21" i="15"/>
  <c r="B52" i="1"/>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A6" i="1"/>
  <c r="K1" i="12"/>
  <c r="F21" i="69"/>
  <c r="C40" i="69"/>
  <c r="F38" i="69"/>
  <c r="E37" i="69"/>
  <c r="F36" i="69"/>
  <c r="F35" i="69"/>
  <c r="B22" i="1"/>
  <c r="G22" i="69"/>
  <c r="F40" i="69"/>
  <c r="F20" i="69"/>
  <c r="F39" i="69"/>
  <c r="E10" i="69"/>
  <c r="E9" i="69"/>
  <c r="F7" i="69"/>
  <c r="C7" i="69"/>
  <c r="H1" i="69"/>
  <c r="G1" i="69"/>
  <c r="F21" i="68"/>
  <c r="F40" i="68"/>
  <c r="F20" i="68"/>
  <c r="F39" i="68"/>
  <c r="F38" i="68"/>
  <c r="E37" i="68"/>
  <c r="F36" i="68"/>
  <c r="F35" i="68"/>
  <c r="C40" i="68"/>
  <c r="C21" i="68"/>
  <c r="E10" i="68"/>
  <c r="E9" i="68"/>
  <c r="C8" i="68"/>
  <c r="F7" i="68"/>
  <c r="C7" i="68"/>
  <c r="C5" i="68"/>
  <c r="G1" i="68"/>
  <c r="A120" i="9"/>
  <c r="E111" i="9"/>
  <c r="H112" i="9"/>
  <c r="H111" i="9"/>
  <c r="D126" i="9"/>
  <c r="A126" i="9"/>
  <c r="E109" i="9"/>
  <c r="H109" i="9"/>
  <c r="D124" i="9"/>
  <c r="A124" i="9"/>
  <c r="E107" i="9"/>
  <c r="A122" i="9"/>
  <c r="H106" i="9"/>
  <c r="H105" i="9"/>
  <c r="H104" i="9"/>
  <c r="H103" i="9"/>
  <c r="D120" i="9"/>
  <c r="D101" i="9"/>
  <c r="C101" i="9"/>
  <c r="B43" i="1"/>
  <c r="D93" i="9"/>
  <c r="C91" i="9"/>
  <c r="D89" i="9"/>
  <c r="C89" i="9"/>
  <c r="C87" i="9"/>
  <c r="C92" i="9"/>
  <c r="E90" i="9"/>
  <c r="H77" i="9"/>
  <c r="D77" i="9"/>
  <c r="C76" i="9"/>
  <c r="F59" i="9"/>
  <c r="O55" i="9"/>
  <c r="E59" i="9"/>
  <c r="N55" i="9"/>
  <c r="F56" i="9"/>
  <c r="K55" i="9"/>
  <c r="J55" i="9"/>
  <c r="I55" i="9"/>
  <c r="F55" i="9"/>
  <c r="O53" i="9"/>
  <c r="O54" i="9"/>
  <c r="N54" i="9"/>
  <c r="N53" i="9"/>
  <c r="E48" i="9"/>
  <c r="N52" i="9"/>
  <c r="M49" i="9"/>
  <c r="L66" i="9"/>
  <c r="M66" i="9"/>
  <c r="K49" i="9"/>
  <c r="D48" i="9"/>
  <c r="M52" i="9"/>
  <c r="F33" i="9"/>
  <c r="D27" i="9"/>
  <c r="C25" i="9"/>
  <c r="C24" i="9"/>
  <c r="C17" i="9"/>
  <c r="D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c r="C20" i="20"/>
  <c r="G19" i="20"/>
  <c r="G18" i="20"/>
  <c r="C18" i="20"/>
  <c r="C17" i="20"/>
  <c r="G16" i="20"/>
  <c r="C16" i="20"/>
  <c r="C17" i="39"/>
  <c r="G15" i="20"/>
  <c r="C15" i="20"/>
  <c r="D78" i="9"/>
  <c r="B31" i="1"/>
  <c r="B24" i="1"/>
  <c r="B23" i="1"/>
  <c r="AP13" i="1"/>
  <c r="AG13" i="1"/>
  <c r="AE13" i="1"/>
  <c r="A13" i="1"/>
  <c r="S13" i="1"/>
  <c r="R13" i="1"/>
  <c r="K13" i="1"/>
  <c r="M13" i="1"/>
  <c r="O13" i="1"/>
  <c r="P13" i="1"/>
  <c r="F13" i="1"/>
  <c r="D13" i="1"/>
  <c r="B13" i="1"/>
  <c r="E13" i="1"/>
  <c r="A12" i="1"/>
  <c r="S12" i="1"/>
  <c r="AR12" i="1"/>
  <c r="AQ12" i="1"/>
  <c r="AP12" i="1"/>
  <c r="AG12" i="1"/>
  <c r="AE12" i="1"/>
  <c r="T12" i="1"/>
  <c r="K12" i="1"/>
  <c r="M12" i="1"/>
  <c r="F12" i="1"/>
  <c r="D12" i="1"/>
  <c r="G12" i="1"/>
  <c r="B12" i="1"/>
  <c r="E12" i="1"/>
  <c r="R12" i="1"/>
  <c r="A11" i="1"/>
  <c r="S11" i="1"/>
  <c r="AQ11" i="1"/>
  <c r="AP11" i="1"/>
  <c r="AG11" i="1"/>
  <c r="AE11" i="1"/>
  <c r="AR11" i="1"/>
  <c r="R11" i="1"/>
  <c r="K11" i="1"/>
  <c r="M11" i="1"/>
  <c r="O11" i="1"/>
  <c r="P11" i="1"/>
  <c r="F11" i="1"/>
  <c r="D11" i="1"/>
  <c r="AP10" i="1"/>
  <c r="AG10" i="1"/>
  <c r="AE10" i="1"/>
  <c r="F10" i="1"/>
  <c r="D10" i="1"/>
  <c r="A10" i="1"/>
  <c r="A9" i="1"/>
  <c r="S9" i="1"/>
  <c r="AR9" i="1"/>
  <c r="AP9" i="1"/>
  <c r="AG9" i="1"/>
  <c r="AE9" i="1"/>
  <c r="AQ9" i="1"/>
  <c r="R9" i="1"/>
  <c r="K9" i="1"/>
  <c r="M9" i="1"/>
  <c r="F9" i="1"/>
  <c r="D9" i="1"/>
  <c r="G9" i="1"/>
  <c r="B9" i="1"/>
  <c r="E9" i="1"/>
  <c r="AP8" i="1"/>
  <c r="AG8" i="1"/>
  <c r="AE8" i="1"/>
  <c r="F8" i="1"/>
  <c r="D8" i="1"/>
  <c r="A8" i="1"/>
  <c r="AP7" i="1"/>
  <c r="AG7" i="1"/>
  <c r="AE7" i="1"/>
  <c r="A7" i="1"/>
  <c r="R7" i="1"/>
  <c r="K7" i="1"/>
  <c r="M7" i="1"/>
  <c r="F7" i="1"/>
  <c r="B7" i="1"/>
  <c r="E7" i="1"/>
  <c r="D7" i="1"/>
  <c r="S7" i="1"/>
  <c r="AQ7" i="1"/>
  <c r="AP6" i="1"/>
  <c r="AG6" i="1"/>
  <c r="AE6" i="1"/>
  <c r="S6" i="1"/>
  <c r="R6" i="1"/>
  <c r="F6" i="1"/>
  <c r="D6" i="1"/>
  <c r="G6" i="1"/>
  <c r="T4" i="1"/>
  <c r="B2" i="1"/>
  <c r="E32" i="6"/>
  <c r="O27" i="6"/>
  <c r="N27" i="6"/>
  <c r="L19" i="6"/>
  <c r="L20" i="6"/>
  <c r="L21" i="6"/>
  <c r="L22" i="6"/>
  <c r="L23" i="6"/>
  <c r="L24" i="6"/>
  <c r="L25" i="6"/>
  <c r="L26" i="6"/>
  <c r="L27" i="6"/>
  <c r="G27" i="6"/>
  <c r="P26" i="6"/>
  <c r="E26" i="6"/>
  <c r="P25" i="6"/>
  <c r="E25" i="6"/>
  <c r="P24" i="6"/>
  <c r="E24" i="6"/>
  <c r="P23" i="6"/>
  <c r="E23" i="6"/>
  <c r="P22" i="6"/>
  <c r="E22" i="6"/>
  <c r="P21" i="6"/>
  <c r="E21" i="6"/>
  <c r="P20" i="6"/>
  <c r="E20" i="6"/>
  <c r="P19" i="6"/>
  <c r="P27"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B582" i="3"/>
  <c r="BC582" i="3"/>
  <c r="BD582" i="3"/>
  <c r="BE582" i="3"/>
  <c r="BF582" i="3"/>
  <c r="BG582" i="3"/>
  <c r="BH582" i="3"/>
  <c r="BI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M576" i="3"/>
  <c r="BN576" i="3"/>
  <c r="BO576" i="3"/>
  <c r="BP576" i="3"/>
  <c r="BQ576" i="3"/>
  <c r="BR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B575" i="3"/>
  <c r="BC575" i="3"/>
  <c r="BD575" i="3"/>
  <c r="BE575" i="3"/>
  <c r="BF575" i="3"/>
  <c r="BG575" i="3"/>
  <c r="BH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B573" i="3"/>
  <c r="BC573" i="3"/>
  <c r="BD573" i="3"/>
  <c r="BE573" i="3"/>
  <c r="BF573" i="3"/>
  <c r="BG573" i="3"/>
  <c r="BH573" i="3"/>
  <c r="BI573" i="3"/>
  <c r="BA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B571" i="3"/>
  <c r="BC571" i="3"/>
  <c r="BD571" i="3"/>
  <c r="BA571" i="3"/>
  <c r="AX571" i="3"/>
  <c r="AW571" i="3"/>
  <c r="AV571" i="3"/>
  <c r="AC571" i="3"/>
  <c r="H571" i="3"/>
  <c r="G571" i="3"/>
  <c r="BT570" i="3"/>
  <c r="BS570" i="3"/>
  <c r="BR570" i="3"/>
  <c r="BQ570" i="3"/>
  <c r="BP570" i="3"/>
  <c r="BO570" i="3"/>
  <c r="BN570" i="3"/>
  <c r="BM570" i="3"/>
  <c r="BK570" i="3"/>
  <c r="BJ570" i="3"/>
  <c r="BI570" i="3"/>
  <c r="BH570" i="3"/>
  <c r="BG570" i="3"/>
  <c r="BF570" i="3"/>
  <c r="BB570" i="3"/>
  <c r="BC570" i="3"/>
  <c r="BD570" i="3"/>
  <c r="BE570" i="3"/>
  <c r="BA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M568" i="3"/>
  <c r="BN568" i="3"/>
  <c r="BO568" i="3"/>
  <c r="BP568" i="3"/>
  <c r="BQ568" i="3"/>
  <c r="BR568" i="3"/>
  <c r="BS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M564" i="3"/>
  <c r="BN564" i="3"/>
  <c r="BO564" i="3"/>
  <c r="BP564" i="3"/>
  <c r="BQ564" i="3"/>
  <c r="BR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M560" i="3"/>
  <c r="BN560" i="3"/>
  <c r="BO560" i="3"/>
  <c r="BP560" i="3"/>
  <c r="BQ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M550" i="3"/>
  <c r="BN550" i="3"/>
  <c r="BO550" i="3"/>
  <c r="BP550" i="3"/>
  <c r="BQ550" i="3"/>
  <c r="BR550" i="3"/>
  <c r="BL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M547" i="3"/>
  <c r="BN547" i="3"/>
  <c r="BO547" i="3"/>
  <c r="BP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B543" i="3"/>
  <c r="BC543" i="3"/>
  <c r="BD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M539" i="3"/>
  <c r="BN539" i="3"/>
  <c r="BO539" i="3"/>
  <c r="BP539" i="3"/>
  <c r="BQ539" i="3"/>
  <c r="BR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M536" i="3"/>
  <c r="BN536" i="3"/>
  <c r="BO536" i="3"/>
  <c r="BP536" i="3"/>
  <c r="BQ536" i="3"/>
  <c r="BR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B533" i="3"/>
  <c r="BC533" i="3"/>
  <c r="BD533" i="3"/>
  <c r="BE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M530" i="3"/>
  <c r="BN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B525" i="3"/>
  <c r="BC525" i="3"/>
  <c r="BD525" i="3"/>
  <c r="BE525" i="3"/>
  <c r="BF525" i="3"/>
  <c r="BG525" i="3"/>
  <c r="BH525" i="3"/>
  <c r="BI525" i="3"/>
  <c r="BA525" i="3"/>
  <c r="AZ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M523" i="3"/>
  <c r="BN523" i="3"/>
  <c r="BO523" i="3"/>
  <c r="BP523" i="3"/>
  <c r="BQ523" i="3"/>
  <c r="BR523" i="3"/>
  <c r="BS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B516" i="3"/>
  <c r="BC516" i="3"/>
  <c r="BD516" i="3"/>
  <c r="BA516" i="3"/>
  <c r="AX516" i="3"/>
  <c r="AW516" i="3"/>
  <c r="AV516" i="3"/>
  <c r="AC516" i="3"/>
  <c r="H516" i="3"/>
  <c r="G516" i="3"/>
  <c r="BT515" i="3"/>
  <c r="BS515" i="3"/>
  <c r="BR515" i="3"/>
  <c r="BQ515" i="3"/>
  <c r="BP515" i="3"/>
  <c r="BO515" i="3"/>
  <c r="BN515" i="3"/>
  <c r="BM515" i="3"/>
  <c r="BL515" i="3"/>
  <c r="BB515" i="3"/>
  <c r="BC515" i="3"/>
  <c r="BD515" i="3"/>
  <c r="BE515" i="3"/>
  <c r="BF515" i="3"/>
  <c r="BG515" i="3"/>
  <c r="BH515" i="3"/>
  <c r="BI515" i="3"/>
  <c r="BJ515" i="3"/>
  <c r="BK515" i="3"/>
  <c r="BA515" i="3"/>
  <c r="AZ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c r="BT513" i="3"/>
  <c r="BS513" i="3"/>
  <c r="BM513" i="3"/>
  <c r="BN513" i="3"/>
  <c r="BO513" i="3"/>
  <c r="BP513" i="3"/>
  <c r="BQ513" i="3"/>
  <c r="BR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B510" i="3"/>
  <c r="BC510" i="3"/>
  <c r="BA510" i="3"/>
  <c r="AZ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B506" i="3"/>
  <c r="BC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M503" i="3"/>
  <c r="BN503" i="3"/>
  <c r="BO503" i="3"/>
  <c r="BP503" i="3"/>
  <c r="BQ503" i="3"/>
  <c r="BR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c r="BK493" i="3"/>
  <c r="BB493" i="3"/>
  <c r="BC493" i="3"/>
  <c r="BD493" i="3"/>
  <c r="BE493" i="3"/>
  <c r="BF493" i="3"/>
  <c r="BG493" i="3"/>
  <c r="BH493" i="3"/>
  <c r="BI493" i="3"/>
  <c r="BJ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M491" i="3"/>
  <c r="BN491" i="3"/>
  <c r="BO491" i="3"/>
  <c r="BP491" i="3"/>
  <c r="BQ491" i="3"/>
  <c r="BR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M487" i="3"/>
  <c r="BN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M482" i="3"/>
  <c r="BN482" i="3"/>
  <c r="BO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B481" i="3"/>
  <c r="BC481" i="3"/>
  <c r="BD481" i="3"/>
  <c r="BE481" i="3"/>
  <c r="BF481" i="3"/>
  <c r="BG481" i="3"/>
  <c r="BH481" i="3"/>
  <c r="BI481" i="3"/>
  <c r="BJ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M479" i="3"/>
  <c r="BN479" i="3"/>
  <c r="BO479" i="3"/>
  <c r="BP479" i="3"/>
  <c r="BQ479" i="3"/>
  <c r="BR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B477" i="3"/>
  <c r="BC477" i="3"/>
  <c r="BD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M470" i="3"/>
  <c r="BN470" i="3"/>
  <c r="BO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M467" i="3"/>
  <c r="BN467" i="3"/>
  <c r="BO467" i="3"/>
  <c r="BP467" i="3"/>
  <c r="BQ467" i="3"/>
  <c r="BR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B465" i="3"/>
  <c r="BC465" i="3"/>
  <c r="BD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C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C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M455" i="3"/>
  <c r="BN455" i="3"/>
  <c r="BO455" i="3"/>
  <c r="BP455" i="3"/>
  <c r="BQ455" i="3"/>
  <c r="BR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B445" i="3"/>
  <c r="BC445" i="3"/>
  <c r="BD445" i="3"/>
  <c r="BE445" i="3"/>
  <c r="BF445" i="3"/>
  <c r="BG445" i="3"/>
  <c r="BH445" i="3"/>
  <c r="BI445" i="3"/>
  <c r="BJ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M443" i="3"/>
  <c r="BN443" i="3"/>
  <c r="BO443" i="3"/>
  <c r="BP443" i="3"/>
  <c r="BQ443" i="3"/>
  <c r="BR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M434" i="3"/>
  <c r="BN434" i="3"/>
  <c r="BO434" i="3"/>
  <c r="BL434" i="3"/>
  <c r="BK434" i="3"/>
  <c r="BJ434" i="3"/>
  <c r="BI434" i="3"/>
  <c r="BH434" i="3"/>
  <c r="BG434" i="3"/>
  <c r="BF434" i="3"/>
  <c r="BE434" i="3"/>
  <c r="BD434" i="3"/>
  <c r="BB434" i="3"/>
  <c r="BC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M431" i="3"/>
  <c r="BN431" i="3"/>
  <c r="BO431" i="3"/>
  <c r="BP431" i="3"/>
  <c r="BQ431" i="3"/>
  <c r="BR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B428" i="3"/>
  <c r="BC428" i="3"/>
  <c r="BD428" i="3"/>
  <c r="BE428" i="3"/>
  <c r="BF428" i="3"/>
  <c r="BG428" i="3"/>
  <c r="BH428" i="3"/>
  <c r="BI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B425" i="3"/>
  <c r="BC425" i="3"/>
  <c r="BD425" i="3"/>
  <c r="BE425" i="3"/>
  <c r="BF425" i="3"/>
  <c r="BG425" i="3"/>
  <c r="BH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M419" i="3"/>
  <c r="BN419" i="3"/>
  <c r="BO419" i="3"/>
  <c r="BP419" i="3"/>
  <c r="BQ419" i="3"/>
  <c r="BR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M414" i="3"/>
  <c r="BN414" i="3"/>
  <c r="BO414" i="3"/>
  <c r="BL414" i="3"/>
  <c r="BK414" i="3"/>
  <c r="BJ414" i="3"/>
  <c r="BI414" i="3"/>
  <c r="BH414" i="3"/>
  <c r="BG414" i="3"/>
  <c r="BF414" i="3"/>
  <c r="BE414" i="3"/>
  <c r="BD414" i="3"/>
  <c r="BB414" i="3"/>
  <c r="BC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B404" i="3"/>
  <c r="BC404" i="3"/>
  <c r="BD404" i="3"/>
  <c r="BE404" i="3"/>
  <c r="BA404" i="3"/>
  <c r="AZ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M393" i="3"/>
  <c r="BN393" i="3"/>
  <c r="BO393" i="3"/>
  <c r="BP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M388" i="3"/>
  <c r="BN388" i="3"/>
  <c r="BO388" i="3"/>
  <c r="BP388" i="3"/>
  <c r="BQ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B382" i="3"/>
  <c r="BC382" i="3"/>
  <c r="BD382" i="3"/>
  <c r="BE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M380" i="3"/>
  <c r="BN380" i="3"/>
  <c r="BO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M367" i="3"/>
  <c r="BN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M363" i="3"/>
  <c r="BN363" i="3"/>
  <c r="BO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M358" i="3"/>
  <c r="BN358" i="3"/>
  <c r="BO358" i="3"/>
  <c r="BP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M355" i="3"/>
  <c r="BN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c r="BK352" i="3"/>
  <c r="BB352" i="3"/>
  <c r="BC352" i="3"/>
  <c r="BD352" i="3"/>
  <c r="BE352" i="3"/>
  <c r="BF352" i="3"/>
  <c r="BG352" i="3"/>
  <c r="BH352" i="3"/>
  <c r="BI352" i="3"/>
  <c r="BJ352" i="3"/>
  <c r="BA352" i="3"/>
  <c r="AZ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M346" i="3"/>
  <c r="BN346" i="3"/>
  <c r="BO346" i="3"/>
  <c r="BP346" i="3"/>
  <c r="BL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B341" i="3"/>
  <c r="BC341" i="3"/>
  <c r="BD341" i="3"/>
  <c r="BE341" i="3"/>
  <c r="BA341" i="3"/>
  <c r="AX341" i="3"/>
  <c r="AW341" i="3"/>
  <c r="AV341" i="3"/>
  <c r="AC341" i="3"/>
  <c r="H341" i="3"/>
  <c r="G341" i="3"/>
  <c r="BT340" i="3"/>
  <c r="BS340" i="3"/>
  <c r="BR340" i="3"/>
  <c r="BQ340" i="3"/>
  <c r="BP340" i="3"/>
  <c r="BO340" i="3"/>
  <c r="BN340" i="3"/>
  <c r="BM340" i="3"/>
  <c r="BL340" i="3"/>
  <c r="BK340" i="3"/>
  <c r="BB340" i="3"/>
  <c r="BC340" i="3"/>
  <c r="BD340" i="3"/>
  <c r="BE340" i="3"/>
  <c r="BF340" i="3"/>
  <c r="BG340" i="3"/>
  <c r="BH340" i="3"/>
  <c r="BI340" i="3"/>
  <c r="BJ340" i="3"/>
  <c r="BA340" i="3"/>
  <c r="AZ340" i="3"/>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B335" i="3"/>
  <c r="BC335" i="3"/>
  <c r="BD335" i="3"/>
  <c r="BE335" i="3"/>
  <c r="BF335" i="3"/>
  <c r="BG335" i="3"/>
  <c r="BH335" i="3"/>
  <c r="BI335" i="3"/>
  <c r="BJ335" i="3"/>
  <c r="BK335" i="3"/>
  <c r="BA335" i="3"/>
  <c r="AZ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K329" i="3"/>
  <c r="BJ329" i="3"/>
  <c r="BI329" i="3"/>
  <c r="BH329" i="3"/>
  <c r="BG329" i="3"/>
  <c r="BF329" i="3"/>
  <c r="BB329" i="3"/>
  <c r="BC329" i="3"/>
  <c r="BD329" i="3"/>
  <c r="BE329" i="3"/>
  <c r="BA329" i="3"/>
  <c r="AX329" i="3"/>
  <c r="AW329" i="3"/>
  <c r="AV329" i="3"/>
  <c r="AC329" i="3"/>
  <c r="H329" i="3"/>
  <c r="G329" i="3"/>
  <c r="BT328" i="3"/>
  <c r="BS328" i="3"/>
  <c r="BR328" i="3"/>
  <c r="BQ328" i="3"/>
  <c r="BP328" i="3"/>
  <c r="BO328" i="3"/>
  <c r="BN328" i="3"/>
  <c r="BM328" i="3"/>
  <c r="BL328" i="3"/>
  <c r="BK328" i="3"/>
  <c r="BB328" i="3"/>
  <c r="BC328" i="3"/>
  <c r="BD328" i="3"/>
  <c r="BE328" i="3"/>
  <c r="BF328" i="3"/>
  <c r="BG328" i="3"/>
  <c r="BH328" i="3"/>
  <c r="BI328" i="3"/>
  <c r="BJ328" i="3"/>
  <c r="BA328" i="3"/>
  <c r="AZ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B316" i="3"/>
  <c r="BC316" i="3"/>
  <c r="BD316" i="3"/>
  <c r="BE316" i="3"/>
  <c r="BF316" i="3"/>
  <c r="BG316" i="3"/>
  <c r="BH316" i="3"/>
  <c r="BI316" i="3"/>
  <c r="BJ316" i="3"/>
  <c r="BA316" i="3"/>
  <c r="AZ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M310" i="3"/>
  <c r="BN310" i="3"/>
  <c r="BO310" i="3"/>
  <c r="BP310" i="3"/>
  <c r="BL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M307" i="3"/>
  <c r="BN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B305" i="3"/>
  <c r="BC305" i="3"/>
  <c r="BD305" i="3"/>
  <c r="BE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M298" i="3"/>
  <c r="BN298" i="3"/>
  <c r="BO298" i="3"/>
  <c r="BP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B293" i="3"/>
  <c r="BC293" i="3"/>
  <c r="BD293" i="3"/>
  <c r="BE293" i="3"/>
  <c r="BA293" i="3"/>
  <c r="AX293" i="3"/>
  <c r="AW293" i="3"/>
  <c r="AV293" i="3"/>
  <c r="AC293" i="3"/>
  <c r="H293" i="3"/>
  <c r="G293" i="3"/>
  <c r="BT292" i="3"/>
  <c r="BS292" i="3"/>
  <c r="BR292" i="3"/>
  <c r="BQ292" i="3"/>
  <c r="BP292" i="3"/>
  <c r="BO292" i="3"/>
  <c r="BN292" i="3"/>
  <c r="BM292" i="3"/>
  <c r="BL292" i="3"/>
  <c r="BK292" i="3"/>
  <c r="BB292" i="3"/>
  <c r="BC292" i="3"/>
  <c r="BD292" i="3"/>
  <c r="BE292" i="3"/>
  <c r="BF292" i="3"/>
  <c r="BG292" i="3"/>
  <c r="BH292" i="3"/>
  <c r="BI292" i="3"/>
  <c r="BJ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M290" i="3"/>
  <c r="BN290" i="3"/>
  <c r="BO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M286" i="3"/>
  <c r="BN286" i="3"/>
  <c r="BO286" i="3"/>
  <c r="BP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M283" i="3"/>
  <c r="BN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B281" i="3"/>
  <c r="BC281" i="3"/>
  <c r="BD281" i="3"/>
  <c r="BE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M278" i="3"/>
  <c r="BN278" i="3"/>
  <c r="BO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M271" i="3"/>
  <c r="BN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B268" i="3"/>
  <c r="BC268" i="3"/>
  <c r="BD268" i="3"/>
  <c r="BE268" i="3"/>
  <c r="BF268" i="3"/>
  <c r="BG268" i="3"/>
  <c r="BH268" i="3"/>
  <c r="BI268" i="3"/>
  <c r="BJ268" i="3"/>
  <c r="BA268" i="3"/>
  <c r="AZ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B266" i="3"/>
  <c r="BC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M262" i="3"/>
  <c r="BN262" i="3"/>
  <c r="BO262" i="3"/>
  <c r="BP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M259" i="3"/>
  <c r="BN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B257" i="3"/>
  <c r="BC257" i="3"/>
  <c r="BD257" i="3"/>
  <c r="BE257" i="3"/>
  <c r="BF257" i="3"/>
  <c r="BG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M249" i="3"/>
  <c r="BN249" i="3"/>
  <c r="BO249" i="3"/>
  <c r="BP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B246" i="3"/>
  <c r="BC246" i="3"/>
  <c r="BD246" i="3"/>
  <c r="BA246" i="3"/>
  <c r="AX246" i="3"/>
  <c r="AW246" i="3"/>
  <c r="AV246" i="3"/>
  <c r="AC246" i="3"/>
  <c r="H246" i="3"/>
  <c r="G246" i="3"/>
  <c r="BT245" i="3"/>
  <c r="BS245" i="3"/>
  <c r="BR245" i="3"/>
  <c r="BQ245" i="3"/>
  <c r="BP245" i="3"/>
  <c r="BO245" i="3"/>
  <c r="BN245" i="3"/>
  <c r="BM245" i="3"/>
  <c r="BK245" i="3"/>
  <c r="BJ245" i="3"/>
  <c r="BI245" i="3"/>
  <c r="BH245" i="3"/>
  <c r="BG245" i="3"/>
  <c r="BF245" i="3"/>
  <c r="BB245" i="3"/>
  <c r="BC245" i="3"/>
  <c r="BD245" i="3"/>
  <c r="BE245" i="3"/>
  <c r="BA245" i="3"/>
  <c r="AX245" i="3"/>
  <c r="AW245" i="3"/>
  <c r="AV245" i="3"/>
  <c r="AC245" i="3"/>
  <c r="H245" i="3"/>
  <c r="G245" i="3"/>
  <c r="BT244" i="3"/>
  <c r="BS244" i="3"/>
  <c r="BR244" i="3"/>
  <c r="BQ244" i="3"/>
  <c r="BP244" i="3"/>
  <c r="BO244" i="3"/>
  <c r="BN244" i="3"/>
  <c r="BM244" i="3"/>
  <c r="BK244" i="3"/>
  <c r="BJ244" i="3"/>
  <c r="BI244" i="3"/>
  <c r="BH244" i="3"/>
  <c r="BG244" i="3"/>
  <c r="BF244" i="3"/>
  <c r="BB244" i="3"/>
  <c r="BC244" i="3"/>
  <c r="BD244" i="3"/>
  <c r="BE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M238" i="3"/>
  <c r="BN238" i="3"/>
  <c r="BO238" i="3"/>
  <c r="BP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B233" i="3"/>
  <c r="BC233" i="3"/>
  <c r="BD233" i="3"/>
  <c r="BE233" i="3"/>
  <c r="BF233" i="3"/>
  <c r="BG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B232" i="3"/>
  <c r="BC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M226" i="3"/>
  <c r="BN226" i="3"/>
  <c r="BO226" i="3"/>
  <c r="BP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M223" i="3"/>
  <c r="BN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K222" i="3"/>
  <c r="BJ222" i="3"/>
  <c r="BI222" i="3"/>
  <c r="BH222" i="3"/>
  <c r="BG222" i="3"/>
  <c r="BF222" i="3"/>
  <c r="BE222" i="3"/>
  <c r="BB222" i="3"/>
  <c r="BC222" i="3"/>
  <c r="BD222" i="3"/>
  <c r="BA222" i="3"/>
  <c r="AX222" i="3"/>
  <c r="AW222" i="3"/>
  <c r="AV222" i="3"/>
  <c r="AC222" i="3"/>
  <c r="H222" i="3"/>
  <c r="G222" i="3"/>
  <c r="BT221" i="3"/>
  <c r="BS221" i="3"/>
  <c r="BR221" i="3"/>
  <c r="BM221" i="3"/>
  <c r="BN221" i="3"/>
  <c r="BO221" i="3"/>
  <c r="BP221" i="3"/>
  <c r="BQ221" i="3"/>
  <c r="BL221" i="3"/>
  <c r="BK221" i="3"/>
  <c r="BJ221" i="3"/>
  <c r="BI221" i="3"/>
  <c r="BH221" i="3"/>
  <c r="BG221" i="3"/>
  <c r="BF221" i="3"/>
  <c r="BE221" i="3"/>
  <c r="BD221" i="3"/>
  <c r="BB221" i="3"/>
  <c r="BC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M205" i="3"/>
  <c r="BN205" i="3"/>
  <c r="BO205" i="3"/>
  <c r="BL205" i="3"/>
  <c r="BK205" i="3"/>
  <c r="BJ205" i="3"/>
  <c r="BI205" i="3"/>
  <c r="BH205" i="3"/>
  <c r="BG205" i="3"/>
  <c r="BF205" i="3"/>
  <c r="BE205" i="3"/>
  <c r="BD205" i="3"/>
  <c r="BC205" i="3"/>
  <c r="BB205" i="3"/>
  <c r="AX205" i="3"/>
  <c r="AW205" i="3"/>
  <c r="AV205" i="3"/>
  <c r="AC205" i="3"/>
  <c r="H205" i="3"/>
  <c r="G205" i="3"/>
  <c r="BT204" i="3"/>
  <c r="BS204" i="3"/>
  <c r="BM204" i="3"/>
  <c r="BN204" i="3"/>
  <c r="BO204" i="3"/>
  <c r="BP204" i="3"/>
  <c r="BQ204" i="3"/>
  <c r="BR204" i="3"/>
  <c r="BL204" i="3"/>
  <c r="BK204" i="3"/>
  <c r="BJ204" i="3"/>
  <c r="BI204" i="3"/>
  <c r="BH204" i="3"/>
  <c r="BG204" i="3"/>
  <c r="BF204" i="3"/>
  <c r="BE204" i="3"/>
  <c r="BD204" i="3"/>
  <c r="BC204" i="3"/>
  <c r="BB204" i="3"/>
  <c r="AX204" i="3"/>
  <c r="AW204" i="3"/>
  <c r="AV204" i="3"/>
  <c r="AC204" i="3"/>
  <c r="H204" i="3"/>
  <c r="G204" i="3"/>
  <c r="BT203" i="3"/>
  <c r="BS203" i="3"/>
  <c r="BR203" i="3"/>
  <c r="BQ203" i="3"/>
  <c r="BP203" i="3"/>
  <c r="BM203" i="3"/>
  <c r="BN203" i="3"/>
  <c r="BO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H196" i="3"/>
  <c r="G196" i="3"/>
  <c r="BT195" i="3"/>
  <c r="BS195" i="3"/>
  <c r="BM195" i="3"/>
  <c r="BN195" i="3"/>
  <c r="BO195" i="3"/>
  <c r="BP195" i="3"/>
  <c r="BQ195" i="3"/>
  <c r="BR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M180" i="3"/>
  <c r="BN180" i="3"/>
  <c r="BO180" i="3"/>
  <c r="BP180" i="3"/>
  <c r="BQ180" i="3"/>
  <c r="BR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B171" i="3"/>
  <c r="BC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M168" i="3"/>
  <c r="BN168" i="3"/>
  <c r="BO168" i="3"/>
  <c r="BP168" i="3"/>
  <c r="BQ168" i="3"/>
  <c r="BR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M164" i="3"/>
  <c r="BN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BC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M156" i="3"/>
  <c r="BN156" i="3"/>
  <c r="BO156" i="3"/>
  <c r="BP156" i="3"/>
  <c r="BQ156" i="3"/>
  <c r="BR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M152" i="3"/>
  <c r="BN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M144" i="3"/>
  <c r="BN144" i="3"/>
  <c r="BO144" i="3"/>
  <c r="BP144" i="3"/>
  <c r="BQ144" i="3"/>
  <c r="BR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B139" i="3"/>
  <c r="BC139" i="3"/>
  <c r="BD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M132" i="3"/>
  <c r="BN132" i="3"/>
  <c r="BO132" i="3"/>
  <c r="BP132" i="3"/>
  <c r="BQ132" i="3"/>
  <c r="BR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M128" i="3"/>
  <c r="BN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M120" i="3"/>
  <c r="BN120" i="3"/>
  <c r="BO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B115" i="3"/>
  <c r="BC115" i="3"/>
  <c r="BD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C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M108" i="3"/>
  <c r="BN108" i="3"/>
  <c r="BO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M105" i="3"/>
  <c r="BN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B103" i="3"/>
  <c r="BC103" i="3"/>
  <c r="BD103" i="3"/>
  <c r="BE103" i="3"/>
  <c r="BF103" i="3"/>
  <c r="BG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M99" i="3"/>
  <c r="BN99" i="3"/>
  <c r="BO99" i="3"/>
  <c r="BP99" i="3"/>
  <c r="BL99" i="3"/>
  <c r="BK99" i="3"/>
  <c r="BJ99" i="3"/>
  <c r="BI99" i="3"/>
  <c r="BH99" i="3"/>
  <c r="BG99" i="3"/>
  <c r="BF99" i="3"/>
  <c r="BE99" i="3"/>
  <c r="BB99" i="3"/>
  <c r="BC99" i="3"/>
  <c r="BD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M96" i="3"/>
  <c r="BN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B94" i="3"/>
  <c r="BC94" i="3"/>
  <c r="BD94" i="3"/>
  <c r="BE94" i="3"/>
  <c r="BA94" i="3"/>
  <c r="AX94" i="3"/>
  <c r="AW94" i="3"/>
  <c r="AV94" i="3"/>
  <c r="AC94" i="3"/>
  <c r="H94" i="3"/>
  <c r="G94" i="3"/>
  <c r="BT93" i="3"/>
  <c r="BS93" i="3"/>
  <c r="BR93" i="3"/>
  <c r="BQ93" i="3"/>
  <c r="BP93" i="3"/>
  <c r="BO93" i="3"/>
  <c r="BN93" i="3"/>
  <c r="BM93" i="3"/>
  <c r="BL93" i="3"/>
  <c r="BK93" i="3"/>
  <c r="BJ93" i="3"/>
  <c r="BB93" i="3"/>
  <c r="BC93" i="3"/>
  <c r="BD93" i="3"/>
  <c r="BE93" i="3"/>
  <c r="BF93" i="3"/>
  <c r="BG93" i="3"/>
  <c r="BH93" i="3"/>
  <c r="BI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B90" i="3"/>
  <c r="BC90" i="3"/>
  <c r="BD90" i="3"/>
  <c r="BE90" i="3"/>
  <c r="BF90" i="3"/>
  <c r="BG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C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M83" i="3"/>
  <c r="BN83" i="3"/>
  <c r="BO83" i="3"/>
  <c r="BP83" i="3"/>
  <c r="BQ83" i="3"/>
  <c r="BR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M81" i="3"/>
  <c r="BN81" i="3"/>
  <c r="BO81" i="3"/>
  <c r="BP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B80" i="3"/>
  <c r="BC80" i="3"/>
  <c r="BD80" i="3"/>
  <c r="BE80" i="3"/>
  <c r="BF80" i="3"/>
  <c r="BG80" i="3"/>
  <c r="BH80" i="3"/>
  <c r="BI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B78" i="3"/>
  <c r="BC78" i="3"/>
  <c r="BD78" i="3"/>
  <c r="BE78" i="3"/>
  <c r="BF78" i="3"/>
  <c r="BG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B76" i="3"/>
  <c r="BC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M71" i="3"/>
  <c r="BN71" i="3"/>
  <c r="BO71" i="3"/>
  <c r="BP71" i="3"/>
  <c r="BQ71" i="3"/>
  <c r="BR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M69" i="3"/>
  <c r="BN69" i="3"/>
  <c r="BO69" i="3"/>
  <c r="BP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B66" i="3"/>
  <c r="BC66" i="3"/>
  <c r="BD66" i="3"/>
  <c r="BE66" i="3"/>
  <c r="BF66" i="3"/>
  <c r="BG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B64" i="3"/>
  <c r="BC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M59" i="3"/>
  <c r="BN59" i="3"/>
  <c r="BO59" i="3"/>
  <c r="BP59" i="3"/>
  <c r="BQ59" i="3"/>
  <c r="BR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M57" i="3"/>
  <c r="BN57" i="3"/>
  <c r="BO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B54" i="3"/>
  <c r="BC54" i="3"/>
  <c r="BD54" i="3"/>
  <c r="BE54" i="3"/>
  <c r="BF54" i="3"/>
  <c r="BG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B52" i="3"/>
  <c r="BC52" i="3"/>
  <c r="BD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M47" i="3"/>
  <c r="BN47" i="3"/>
  <c r="BO47" i="3"/>
  <c r="BP47" i="3"/>
  <c r="BQ47" i="3"/>
  <c r="BR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M45" i="3"/>
  <c r="BN45" i="3"/>
  <c r="BO45" i="3"/>
  <c r="BP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B42" i="3"/>
  <c r="BC42" i="3"/>
  <c r="BD42" i="3"/>
  <c r="BE42" i="3"/>
  <c r="BF42" i="3"/>
  <c r="BG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B40" i="3"/>
  <c r="BC40" i="3"/>
  <c r="BD40" i="3"/>
  <c r="BA40" i="3"/>
  <c r="AZ40" i="3"/>
  <c r="AX40" i="3"/>
  <c r="AW40" i="3"/>
  <c r="AV40" i="3"/>
  <c r="AC40" i="3"/>
  <c r="H40" i="3"/>
  <c r="G40" i="3"/>
  <c r="BT39" i="3"/>
  <c r="BS39" i="3"/>
  <c r="BR39" i="3"/>
  <c r="BQ39" i="3"/>
  <c r="BP39" i="3"/>
  <c r="BO39" i="3"/>
  <c r="BN39" i="3"/>
  <c r="BM39" i="3"/>
  <c r="BL39" i="3"/>
  <c r="BK39" i="3"/>
  <c r="BB39" i="3"/>
  <c r="BC39" i="3"/>
  <c r="BD39" i="3"/>
  <c r="BE39" i="3"/>
  <c r="BF39" i="3"/>
  <c r="BG39" i="3"/>
  <c r="BH39" i="3"/>
  <c r="BI39" i="3"/>
  <c r="BJ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M35" i="3"/>
  <c r="BN35" i="3"/>
  <c r="BO35" i="3"/>
  <c r="BP35" i="3"/>
  <c r="BQ35" i="3"/>
  <c r="BR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M33" i="3"/>
  <c r="BN33" i="3"/>
  <c r="BO33" i="3"/>
  <c r="BP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B30" i="3"/>
  <c r="BC30" i="3"/>
  <c r="BD30" i="3"/>
  <c r="BE30" i="3"/>
  <c r="BF30" i="3"/>
  <c r="BG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X28" i="3"/>
  <c r="AW28" i="3"/>
  <c r="AV28" i="3"/>
  <c r="AC28" i="3"/>
  <c r="H28" i="3"/>
  <c r="G28" i="3"/>
  <c r="BT27" i="3"/>
  <c r="BS27" i="3"/>
  <c r="BR27" i="3"/>
  <c r="BQ27" i="3"/>
  <c r="BP27" i="3"/>
  <c r="BO27" i="3"/>
  <c r="BN27" i="3"/>
  <c r="BM27" i="3"/>
  <c r="BL27" i="3"/>
  <c r="BK27" i="3"/>
  <c r="BB27" i="3"/>
  <c r="BC27" i="3"/>
  <c r="BD27" i="3"/>
  <c r="BE27" i="3"/>
  <c r="BF27" i="3"/>
  <c r="BG27" i="3"/>
  <c r="BH27" i="3"/>
  <c r="BI27" i="3"/>
  <c r="BJ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M23" i="3"/>
  <c r="BN23" i="3"/>
  <c r="BO23" i="3"/>
  <c r="BP23" i="3"/>
  <c r="BQ23" i="3"/>
  <c r="BR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N13" i="3"/>
  <c r="BN14" i="3"/>
  <c r="BN15" i="3"/>
  <c r="BN16" i="3"/>
  <c r="BN17" i="3"/>
  <c r="BN18" i="3"/>
  <c r="BN19" i="3"/>
  <c r="BN20" i="3"/>
  <c r="BN21" i="3"/>
  <c r="BN5" i="3"/>
  <c r="BP13" i="3"/>
  <c r="BP14" i="3"/>
  <c r="BP15" i="3"/>
  <c r="BP16" i="3"/>
  <c r="BP17" i="3"/>
  <c r="BP18" i="3"/>
  <c r="BP19" i="3"/>
  <c r="BP20" i="3"/>
  <c r="BP21" i="3"/>
  <c r="BP5" i="3"/>
  <c r="G29" i="6"/>
  <c r="BM22" i="3"/>
  <c r="BL22" i="3"/>
  <c r="BK22" i="3"/>
  <c r="BJ22" i="3"/>
  <c r="BI22" i="3"/>
  <c r="BH22" i="3"/>
  <c r="BG22" i="3"/>
  <c r="BF22" i="3"/>
  <c r="BE22" i="3"/>
  <c r="BD22" i="3"/>
  <c r="BC22" i="3"/>
  <c r="BB22" i="3"/>
  <c r="BB13" i="3"/>
  <c r="BB14" i="3"/>
  <c r="BB15" i="3"/>
  <c r="BB16" i="3"/>
  <c r="BB17" i="3"/>
  <c r="BB18" i="3"/>
  <c r="BB19" i="3"/>
  <c r="BB20" i="3"/>
  <c r="BB21" i="3"/>
  <c r="BB5" i="3"/>
  <c r="AX22" i="3"/>
  <c r="AW22" i="3"/>
  <c r="AV22" i="3"/>
  <c r="AC22" i="3"/>
  <c r="H22" i="3"/>
  <c r="G22" i="3"/>
  <c r="BT21" i="3"/>
  <c r="BS21" i="3"/>
  <c r="BR21" i="3"/>
  <c r="BQ21" i="3"/>
  <c r="BM21" i="3"/>
  <c r="BO21" i="3"/>
  <c r="BL21" i="3"/>
  <c r="BK21" i="3"/>
  <c r="BJ21" i="3"/>
  <c r="BI21" i="3"/>
  <c r="BH21" i="3"/>
  <c r="BG21" i="3"/>
  <c r="BF21" i="3"/>
  <c r="BE21" i="3"/>
  <c r="BD21" i="3"/>
  <c r="BC21" i="3"/>
  <c r="BA21" i="3"/>
  <c r="AZ21" i="3"/>
  <c r="AX21" i="3"/>
  <c r="AW21" i="3"/>
  <c r="AV21" i="3"/>
  <c r="AC21" i="3"/>
  <c r="H21" i="3"/>
  <c r="G21" i="3"/>
  <c r="BT20" i="3"/>
  <c r="BS20" i="3"/>
  <c r="BR20" i="3"/>
  <c r="BQ20" i="3"/>
  <c r="BO20" i="3"/>
  <c r="BM20" i="3"/>
  <c r="BL20" i="3"/>
  <c r="BK20" i="3"/>
  <c r="BJ20" i="3"/>
  <c r="BI20" i="3"/>
  <c r="BH20" i="3"/>
  <c r="BG20" i="3"/>
  <c r="BF20" i="3"/>
  <c r="BE20" i="3"/>
  <c r="BD20" i="3"/>
  <c r="BC20" i="3"/>
  <c r="BA20" i="3"/>
  <c r="AZ20" i="3"/>
  <c r="AX20" i="3"/>
  <c r="AW20" i="3"/>
  <c r="AV20" i="3"/>
  <c r="AC20" i="3"/>
  <c r="H20" i="3"/>
  <c r="G20" i="3"/>
  <c r="BT19" i="3"/>
  <c r="BS19" i="3"/>
  <c r="BR19" i="3"/>
  <c r="BQ19" i="3"/>
  <c r="BO19" i="3"/>
  <c r="BM19" i="3"/>
  <c r="BL19" i="3"/>
  <c r="BK19" i="3"/>
  <c r="BJ19" i="3"/>
  <c r="BI19" i="3"/>
  <c r="BH19" i="3"/>
  <c r="BG19" i="3"/>
  <c r="BF19" i="3"/>
  <c r="BE19" i="3"/>
  <c r="BD19" i="3"/>
  <c r="BC19" i="3"/>
  <c r="BA19" i="3"/>
  <c r="AZ19" i="3"/>
  <c r="AX19" i="3"/>
  <c r="AW19" i="3"/>
  <c r="AV19" i="3"/>
  <c r="AC19" i="3"/>
  <c r="H19" i="3"/>
  <c r="G19" i="3"/>
  <c r="BT18" i="3"/>
  <c r="BS18" i="3"/>
  <c r="BR18" i="3"/>
  <c r="BQ18" i="3"/>
  <c r="BO18" i="3"/>
  <c r="BM18" i="3"/>
  <c r="BL18" i="3"/>
  <c r="BK18" i="3"/>
  <c r="BJ18" i="3"/>
  <c r="BJ13" i="3"/>
  <c r="BJ14" i="3"/>
  <c r="BJ15" i="3"/>
  <c r="BJ16" i="3"/>
  <c r="BJ17" i="3"/>
  <c r="BJ5" i="3"/>
  <c r="BI18" i="3"/>
  <c r="BH18" i="3"/>
  <c r="BC18" i="3"/>
  <c r="BD18" i="3"/>
  <c r="BE18" i="3"/>
  <c r="BF18" i="3"/>
  <c r="BG18" i="3"/>
  <c r="BA18" i="3"/>
  <c r="AZ18" i="3"/>
  <c r="AX18" i="3"/>
  <c r="AW18" i="3"/>
  <c r="AV18" i="3"/>
  <c r="AC18" i="3"/>
  <c r="H18" i="3"/>
  <c r="G18" i="3"/>
  <c r="BT17" i="3"/>
  <c r="BS17" i="3"/>
  <c r="BR17" i="3"/>
  <c r="BQ17" i="3"/>
  <c r="BO17" i="3"/>
  <c r="BO13" i="3"/>
  <c r="BO14" i="3"/>
  <c r="BO15" i="3"/>
  <c r="BO16" i="3"/>
  <c r="BO5" i="3"/>
  <c r="BM17" i="3"/>
  <c r="BL17" i="3"/>
  <c r="BK17" i="3"/>
  <c r="BI17" i="3"/>
  <c r="BH17" i="3"/>
  <c r="BG17" i="3"/>
  <c r="BF17" i="3"/>
  <c r="BE17" i="3"/>
  <c r="BD17" i="3"/>
  <c r="BC17" i="3"/>
  <c r="BC13" i="3"/>
  <c r="BC14" i="3"/>
  <c r="BC15" i="3"/>
  <c r="BC16" i="3"/>
  <c r="BC5" i="3"/>
  <c r="BA17" i="3"/>
  <c r="AZ17" i="3"/>
  <c r="AX17" i="3"/>
  <c r="AW17" i="3"/>
  <c r="AV17" i="3"/>
  <c r="AC17" i="3"/>
  <c r="H17" i="3"/>
  <c r="G17" i="3"/>
  <c r="BT16" i="3"/>
  <c r="BT13" i="3"/>
  <c r="BT14" i="3"/>
  <c r="BT15" i="3"/>
  <c r="BT5" i="3"/>
  <c r="BS16" i="3"/>
  <c r="BS13" i="3"/>
  <c r="BS14" i="3"/>
  <c r="BS15" i="3"/>
  <c r="BS5" i="3"/>
  <c r="BR16" i="3"/>
  <c r="BQ16" i="3"/>
  <c r="BM16" i="3"/>
  <c r="BL16" i="3"/>
  <c r="BK16" i="3"/>
  <c r="BI16" i="3"/>
  <c r="BH16" i="3"/>
  <c r="BH13" i="3"/>
  <c r="BH14" i="3"/>
  <c r="BH15" i="3"/>
  <c r="BH5" i="3"/>
  <c r="BG16" i="3"/>
  <c r="BG13" i="3"/>
  <c r="BG14" i="3"/>
  <c r="BG15" i="3"/>
  <c r="BG5" i="3"/>
  <c r="BF16" i="3"/>
  <c r="BE16" i="3"/>
  <c r="BD16" i="3"/>
  <c r="BA16" i="3"/>
  <c r="AZ16" i="3"/>
  <c r="AX16" i="3"/>
  <c r="AW16" i="3"/>
  <c r="AV16" i="3"/>
  <c r="AC16" i="3"/>
  <c r="H16" i="3"/>
  <c r="G16" i="3"/>
  <c r="BR15" i="3"/>
  <c r="BQ15" i="3"/>
  <c r="BM15" i="3"/>
  <c r="BM13" i="3"/>
  <c r="BM14" i="3"/>
  <c r="BM5" i="3"/>
  <c r="BK15" i="3"/>
  <c r="BD15" i="3"/>
  <c r="BE15" i="3"/>
  <c r="BF15" i="3"/>
  <c r="BI15" i="3"/>
  <c r="BA15" i="3"/>
  <c r="AX15" i="3"/>
  <c r="AW15" i="3"/>
  <c r="AV15" i="3"/>
  <c r="AC15" i="3"/>
  <c r="H15" i="3"/>
  <c r="G15" i="3"/>
  <c r="BR14" i="3"/>
  <c r="BR13" i="3"/>
  <c r="BR5" i="3"/>
  <c r="G28" i="6"/>
  <c r="G30" i="6"/>
  <c r="G31" i="6"/>
  <c r="BQ14" i="3"/>
  <c r="BQ13" i="3"/>
  <c r="BQ5" i="3"/>
  <c r="F28" i="6"/>
  <c r="BL14" i="3"/>
  <c r="BK14" i="3"/>
  <c r="BI14" i="3"/>
  <c r="BF14" i="3"/>
  <c r="BF13" i="3"/>
  <c r="BF5" i="3"/>
  <c r="BE14" i="3"/>
  <c r="BE13" i="3"/>
  <c r="BE5" i="3"/>
  <c r="BD14" i="3"/>
  <c r="BD13" i="3"/>
  <c r="BD5" i="3"/>
  <c r="BA14" i="3"/>
  <c r="AX14" i="3"/>
  <c r="AW14" i="3"/>
  <c r="AV14" i="3"/>
  <c r="AC14" i="3"/>
  <c r="H14" i="3"/>
  <c r="G14" i="3"/>
  <c r="BL13" i="3"/>
  <c r="BK13" i="3"/>
  <c r="BK5" i="3"/>
  <c r="BI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F19" i="4"/>
  <c r="I15" i="4"/>
  <c r="H15" i="4"/>
  <c r="G15" i="4"/>
  <c r="F15" i="4"/>
  <c r="E15" i="4"/>
  <c r="C24" i="43"/>
  <c r="D15" i="4"/>
  <c r="K6" i="4"/>
  <c r="I4" i="4"/>
  <c r="G4" i="4"/>
  <c r="E4" i="4"/>
  <c r="B5" i="62"/>
  <c r="B73" i="72"/>
  <c r="C4" i="4"/>
  <c r="K4" i="4"/>
  <c r="B46" i="48"/>
  <c r="B4" i="72"/>
  <c r="S2" i="4"/>
  <c r="A118" i="9"/>
  <c r="S1" i="4"/>
  <c r="B1" i="4"/>
  <c r="B37" i="48"/>
  <c r="B2" i="72"/>
  <c r="C53" i="10"/>
  <c r="B51" i="10"/>
  <c r="H16" i="49"/>
  <c r="D16" i="49"/>
  <c r="D15" i="49"/>
  <c r="B2" i="49"/>
  <c r="F15" i="49"/>
  <c r="H15" i="49"/>
  <c r="A21" i="62"/>
  <c r="A20" i="62"/>
  <c r="B66" i="72"/>
  <c r="A19" i="62"/>
  <c r="A18" i="62"/>
  <c r="B64" i="72"/>
  <c r="A15" i="62"/>
  <c r="A14" i="62"/>
  <c r="A13" i="62"/>
  <c r="A12" i="62"/>
  <c r="A5" i="62"/>
  <c r="A4" i="62"/>
  <c r="A12" i="52"/>
  <c r="A10" i="52"/>
  <c r="A8" i="52"/>
  <c r="B54" i="72"/>
  <c r="D6" i="52"/>
  <c r="A6" i="52"/>
  <c r="H2" i="52"/>
  <c r="F2" i="52"/>
  <c r="D2" i="52"/>
  <c r="B46" i="72"/>
  <c r="A1" i="52"/>
  <c r="D21" i="53"/>
  <c r="B39" i="72"/>
  <c r="D19" i="53"/>
  <c r="B38" i="72"/>
  <c r="B19" i="53"/>
  <c r="D16" i="53"/>
  <c r="D17" i="53"/>
  <c r="B36" i="72"/>
  <c r="B16" i="53"/>
  <c r="B13" i="53"/>
  <c r="D12" i="53"/>
  <c r="B28" i="72"/>
  <c r="D11" i="53"/>
  <c r="B27" i="72"/>
  <c r="D10" i="53"/>
  <c r="B26" i="72"/>
  <c r="D8" i="53"/>
  <c r="D9" i="53"/>
  <c r="B25" i="72"/>
  <c r="B8" i="53"/>
  <c r="B23" i="72"/>
  <c r="A3" i="53"/>
  <c r="A2" i="53"/>
  <c r="A24" i="51"/>
  <c r="A22" i="51"/>
  <c r="A21" i="51"/>
  <c r="A20" i="51"/>
  <c r="A18" i="51"/>
  <c r="B13" i="72"/>
  <c r="A15" i="51"/>
  <c r="B12" i="72"/>
  <c r="A13" i="51"/>
  <c r="B11" i="72"/>
  <c r="A4" i="51"/>
  <c r="B6" i="72"/>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C19" i="9"/>
  <c r="AO13" i="1"/>
  <c r="D20" i="9"/>
  <c r="D2" i="33"/>
  <c r="B7" i="76"/>
  <c r="F4" i="73"/>
  <c r="B11" i="76"/>
  <c r="B8" i="76"/>
  <c r="B9" i="76"/>
  <c r="E10" i="76"/>
  <c r="AO8" i="1"/>
  <c r="E8" i="76"/>
  <c r="C20" i="9"/>
  <c r="E13" i="76"/>
  <c r="D2" i="21"/>
  <c r="D35" i="9"/>
  <c r="AO11" i="1"/>
  <c r="F5" i="73"/>
  <c r="D2" i="37"/>
  <c r="AO12" i="1"/>
  <c r="D2" i="34"/>
  <c r="F7" i="73"/>
  <c r="F20" i="31"/>
  <c r="F3" i="73"/>
  <c r="D34" i="9"/>
  <c r="E7" i="76"/>
  <c r="AO10" i="1"/>
  <c r="E2" i="69"/>
  <c r="E9" i="76"/>
  <c r="F6" i="73"/>
  <c r="B10" i="76"/>
  <c r="B13" i="76"/>
  <c r="E2" i="68"/>
  <c r="AO7" i="1"/>
  <c r="AO6" i="1"/>
  <c r="D19" i="9"/>
  <c r="E11" i="76"/>
  <c r="AO9" i="1"/>
  <c r="B12" i="76"/>
  <c r="E12" i="76"/>
  <c r="D2" i="36"/>
  <c r="D2" i="35"/>
  <c r="N1" i="43"/>
  <c r="F29" i="6"/>
  <c r="E29" i="6"/>
  <c r="K15" i="1"/>
  <c r="AZ78" i="3"/>
  <c r="AZ41" i="3"/>
  <c r="AZ46" i="3"/>
  <c r="AZ54" i="3"/>
  <c r="AZ14" i="3"/>
  <c r="AZ45" i="3"/>
  <c r="AZ67" i="3"/>
  <c r="AZ69" i="3"/>
  <c r="T35" i="4"/>
  <c r="A19" i="51"/>
  <c r="B14" i="72"/>
  <c r="AZ13" i="3"/>
  <c r="AZ65" i="3"/>
  <c r="AZ91" i="3"/>
  <c r="E28" i="6"/>
  <c r="AZ38" i="3"/>
  <c r="AZ62" i="3"/>
  <c r="AZ87" i="3"/>
  <c r="AZ89" i="3"/>
  <c r="BL94" i="3"/>
  <c r="AZ94" i="3"/>
  <c r="AZ29" i="3"/>
  <c r="AZ31" i="3"/>
  <c r="AZ36" i="3"/>
  <c r="AZ59" i="3"/>
  <c r="AZ84" i="3"/>
  <c r="AZ35" i="3"/>
  <c r="AZ42" i="3"/>
  <c r="AZ55" i="3"/>
  <c r="AZ58" i="3"/>
  <c r="AZ66" i="3"/>
  <c r="AZ82" i="3"/>
  <c r="AZ79" i="3"/>
  <c r="AZ90" i="3"/>
  <c r="BL111" i="3"/>
  <c r="AZ111" i="3"/>
  <c r="AZ26" i="3"/>
  <c r="AZ51" i="3"/>
  <c r="AZ53" i="3"/>
  <c r="AZ75" i="3"/>
  <c r="AZ77" i="3"/>
  <c r="AZ100" i="3"/>
  <c r="AZ28" i="3"/>
  <c r="AZ93" i="3"/>
  <c r="BA96" i="3"/>
  <c r="AZ96" i="3"/>
  <c r="BL113" i="3"/>
  <c r="AZ113" i="3"/>
  <c r="BA151" i="3"/>
  <c r="AZ151" i="3"/>
  <c r="BL162" i="3"/>
  <c r="AZ162" i="3"/>
  <c r="BA187" i="3"/>
  <c r="AZ187" i="3"/>
  <c r="D20" i="53"/>
  <c r="B40" i="72"/>
  <c r="E10" i="6"/>
  <c r="E8" i="6"/>
  <c r="E14" i="6"/>
  <c r="E13" i="6"/>
  <c r="E15" i="6"/>
  <c r="E12" i="6"/>
  <c r="E11" i="6"/>
  <c r="BL15" i="3"/>
  <c r="AZ15" i="3"/>
  <c r="BA22" i="3"/>
  <c r="AZ22" i="3"/>
  <c r="BL101" i="3"/>
  <c r="AZ101" i="3"/>
  <c r="BL102" i="3"/>
  <c r="G118" i="3"/>
  <c r="G154" i="3"/>
  <c r="BA169" i="3"/>
  <c r="BL169" i="3"/>
  <c r="AZ169" i="3"/>
  <c r="BA170" i="3"/>
  <c r="AZ170" i="3"/>
  <c r="AZ209" i="3"/>
  <c r="BA211" i="3"/>
  <c r="AZ211" i="3"/>
  <c r="BA212" i="3"/>
  <c r="AZ242" i="3"/>
  <c r="BA92" i="3"/>
  <c r="AZ92" i="3"/>
  <c r="BA97" i="3"/>
  <c r="AZ97" i="3"/>
  <c r="BA108" i="3"/>
  <c r="AZ108" i="3"/>
  <c r="BL157" i="3"/>
  <c r="AZ157" i="3"/>
  <c r="AZ160" i="3"/>
  <c r="AZ161" i="3"/>
  <c r="BL191" i="3"/>
  <c r="BA210" i="3"/>
  <c r="BL210" i="3"/>
  <c r="AZ210" i="3"/>
  <c r="BA214" i="3"/>
  <c r="AZ214" i="3"/>
  <c r="AZ237" i="3"/>
  <c r="AZ294" i="3"/>
  <c r="K5" i="4"/>
  <c r="B47" i="48"/>
  <c r="BA116" i="3"/>
  <c r="AZ116" i="3"/>
  <c r="BL118" i="3"/>
  <c r="AZ118" i="3"/>
  <c r="BL126" i="3"/>
  <c r="G137" i="3"/>
  <c r="BL150" i="3"/>
  <c r="BL154" i="3"/>
  <c r="BL155" i="3"/>
  <c r="BA175" i="3"/>
  <c r="AZ175" i="3"/>
  <c r="AZ196" i="3"/>
  <c r="BL201" i="3"/>
  <c r="BA204" i="3"/>
  <c r="AZ204" i="3"/>
  <c r="BA98" i="3"/>
  <c r="AZ98" i="3"/>
  <c r="AZ115" i="3"/>
  <c r="BA158" i="3"/>
  <c r="AZ158" i="3"/>
  <c r="AZ191" i="3"/>
  <c r="AZ201" i="3"/>
  <c r="AZ202" i="3"/>
  <c r="BL258" i="3"/>
  <c r="AZ258" i="3"/>
  <c r="N56" i="9"/>
  <c r="M56" i="9"/>
  <c r="K56" i="9"/>
  <c r="J56" i="9"/>
  <c r="G96" i="3"/>
  <c r="BA109" i="3"/>
  <c r="AZ109" i="3"/>
  <c r="AZ119" i="3"/>
  <c r="BA120" i="3"/>
  <c r="AZ120" i="3"/>
  <c r="AZ121" i="3"/>
  <c r="BA122" i="3"/>
  <c r="AZ122" i="3"/>
  <c r="BL125" i="3"/>
  <c r="AZ126" i="3"/>
  <c r="BL130" i="3"/>
  <c r="BL147" i="3"/>
  <c r="BL149" i="3"/>
  <c r="AZ149" i="3"/>
  <c r="BA150" i="3"/>
  <c r="BA154" i="3"/>
  <c r="AZ154" i="3"/>
  <c r="AZ155" i="3"/>
  <c r="BA156" i="3"/>
  <c r="AZ156" i="3"/>
  <c r="AZ159" i="3"/>
  <c r="BL183" i="3"/>
  <c r="BL185" i="3"/>
  <c r="AZ185" i="3"/>
  <c r="BL188" i="3"/>
  <c r="AZ188" i="3"/>
  <c r="BA190" i="3"/>
  <c r="AZ190" i="3"/>
  <c r="AZ192" i="3"/>
  <c r="BA195" i="3"/>
  <c r="AZ195" i="3"/>
  <c r="AZ225" i="3"/>
  <c r="BL375" i="3"/>
  <c r="AZ375" i="3"/>
  <c r="AZ394" i="3"/>
  <c r="AZ102" i="3"/>
  <c r="B4" i="62"/>
  <c r="B71" i="72"/>
  <c r="BA110" i="3"/>
  <c r="AZ110" i="3"/>
  <c r="BA125" i="3"/>
  <c r="BL145" i="3"/>
  <c r="B24" i="72"/>
  <c r="E5" i="6"/>
  <c r="G13" i="3"/>
  <c r="BA123" i="3"/>
  <c r="AZ123" i="3"/>
  <c r="BA130" i="3"/>
  <c r="AZ131" i="3"/>
  <c r="BA132" i="3"/>
  <c r="AZ132" i="3"/>
  <c r="BA133" i="3"/>
  <c r="AZ133" i="3"/>
  <c r="BA134" i="3"/>
  <c r="AZ134" i="3"/>
  <c r="BL137" i="3"/>
  <c r="AZ138" i="3"/>
  <c r="BL142" i="3"/>
  <c r="AZ142" i="3"/>
  <c r="BA163" i="3"/>
  <c r="AZ163" i="3"/>
  <c r="BL174" i="3"/>
  <c r="BL178" i="3"/>
  <c r="AZ233" i="3"/>
  <c r="AZ249" i="3"/>
  <c r="A4" i="52"/>
  <c r="B41" i="72"/>
  <c r="C51" i="10"/>
  <c r="BL106" i="3"/>
  <c r="G108" i="3"/>
  <c r="BA127" i="3"/>
  <c r="AZ127" i="3"/>
  <c r="BA129" i="3"/>
  <c r="AZ129" i="3"/>
  <c r="BA137" i="3"/>
  <c r="AZ137" i="3"/>
  <c r="BA140" i="3"/>
  <c r="BL140" i="3"/>
  <c r="BA145" i="3"/>
  <c r="BA146" i="3"/>
  <c r="AZ146" i="3"/>
  <c r="BA181" i="3"/>
  <c r="AZ181" i="3"/>
  <c r="BA182" i="3"/>
  <c r="AZ182" i="3"/>
  <c r="BL216" i="3"/>
  <c r="AZ216" i="3"/>
  <c r="BL218" i="3"/>
  <c r="AZ275" i="3"/>
  <c r="AZ371" i="3"/>
  <c r="J50" i="40"/>
  <c r="J55" i="39"/>
  <c r="I4" i="6"/>
  <c r="BA135" i="3"/>
  <c r="AZ135" i="3"/>
  <c r="BA147" i="3"/>
  <c r="AZ147" i="3"/>
  <c r="BL176" i="3"/>
  <c r="AZ176" i="3"/>
  <c r="BA178" i="3"/>
  <c r="AZ178" i="3"/>
  <c r="BA183" i="3"/>
  <c r="H5" i="3"/>
  <c r="BA106" i="3"/>
  <c r="BL114" i="3"/>
  <c r="AZ114" i="3"/>
  <c r="BA117" i="3"/>
  <c r="AZ117" i="3"/>
  <c r="AZ139" i="3"/>
  <c r="BA141" i="3"/>
  <c r="AZ141" i="3"/>
  <c r="BA173" i="3"/>
  <c r="AZ173" i="3"/>
  <c r="AZ174" i="3"/>
  <c r="AZ218" i="3"/>
  <c r="AZ221" i="3"/>
  <c r="BL220" i="3"/>
  <c r="AZ220" i="3"/>
  <c r="BA238" i="3"/>
  <c r="AZ238" i="3"/>
  <c r="BA248" i="3"/>
  <c r="BA272" i="3"/>
  <c r="BL277" i="3"/>
  <c r="AZ277" i="3"/>
  <c r="BL279" i="3"/>
  <c r="BL282" i="3"/>
  <c r="AZ282" i="3"/>
  <c r="BL334" i="3"/>
  <c r="BA346" i="3"/>
  <c r="AZ346" i="3"/>
  <c r="BL351" i="3"/>
  <c r="BA361" i="3"/>
  <c r="BL361" i="3"/>
  <c r="AZ361" i="3"/>
  <c r="BA363" i="3"/>
  <c r="AZ363" i="3"/>
  <c r="BA368" i="3"/>
  <c r="BL373" i="3"/>
  <c r="AZ373" i="3"/>
  <c r="BL378" i="3"/>
  <c r="BA383" i="3"/>
  <c r="BL397" i="3"/>
  <c r="AZ397" i="3"/>
  <c r="AB8" i="33"/>
  <c r="U8" i="33"/>
  <c r="BL224" i="3"/>
  <c r="AZ224" i="3"/>
  <c r="G231" i="3"/>
  <c r="BA239" i="3"/>
  <c r="AZ239" i="3"/>
  <c r="AZ279" i="3"/>
  <c r="BL329" i="3"/>
  <c r="AZ329" i="3"/>
  <c r="AZ358" i="3"/>
  <c r="AZ378" i="3"/>
  <c r="AZ380" i="3"/>
  <c r="BL410" i="3"/>
  <c r="AZ535" i="3"/>
  <c r="BA203" i="3"/>
  <c r="AZ203" i="3"/>
  <c r="BL236" i="3"/>
  <c r="BA241" i="3"/>
  <c r="AZ241" i="3"/>
  <c r="BA250" i="3"/>
  <c r="AZ250" i="3"/>
  <c r="BA251" i="3"/>
  <c r="AZ251" i="3"/>
  <c r="BA252" i="3"/>
  <c r="AZ252" i="3"/>
  <c r="BA253" i="3"/>
  <c r="AZ253" i="3"/>
  <c r="BA269" i="3"/>
  <c r="BL274" i="3"/>
  <c r="AZ274" i="3"/>
  <c r="BA278" i="3"/>
  <c r="AZ278" i="3"/>
  <c r="BA288" i="3"/>
  <c r="AZ288" i="3"/>
  <c r="BA289" i="3"/>
  <c r="AZ289" i="3"/>
  <c r="BA291" i="3"/>
  <c r="AZ291" i="3"/>
  <c r="BA295" i="3"/>
  <c r="BL295" i="3"/>
  <c r="AZ295" i="3"/>
  <c r="BL305" i="3"/>
  <c r="BL308" i="3"/>
  <c r="BA353" i="3"/>
  <c r="BL370" i="3"/>
  <c r="BA393" i="3"/>
  <c r="AZ393" i="3"/>
  <c r="BA405" i="3"/>
  <c r="BA433" i="3"/>
  <c r="AZ433" i="3"/>
  <c r="BL473" i="3"/>
  <c r="BA509" i="3"/>
  <c r="BL509" i="3"/>
  <c r="AZ509" i="3"/>
  <c r="BA217" i="3"/>
  <c r="AZ217" i="3"/>
  <c r="BA235" i="3"/>
  <c r="AZ235" i="3"/>
  <c r="BL255" i="3"/>
  <c r="BL256" i="3"/>
  <c r="AZ256" i="3"/>
  <c r="BL257" i="3"/>
  <c r="AZ257" i="3"/>
  <c r="BL260" i="3"/>
  <c r="G263" i="3"/>
  <c r="BA286" i="3"/>
  <c r="AZ286" i="3"/>
  <c r="BA296" i="3"/>
  <c r="AZ296" i="3"/>
  <c r="BA297" i="3"/>
  <c r="AZ297" i="3"/>
  <c r="BL300" i="3"/>
  <c r="BL301" i="3"/>
  <c r="BL303" i="3"/>
  <c r="BL306" i="3"/>
  <c r="AZ306" i="3"/>
  <c r="BA365" i="3"/>
  <c r="BL365" i="3"/>
  <c r="AZ365" i="3"/>
  <c r="BA370" i="3"/>
  <c r="BA385" i="3"/>
  <c r="BA255" i="3"/>
  <c r="AZ255" i="3"/>
  <c r="BA290" i="3"/>
  <c r="AZ290" i="3"/>
  <c r="BA300" i="3"/>
  <c r="AZ300" i="3"/>
  <c r="AZ301" i="3"/>
  <c r="AZ303" i="3"/>
  <c r="BA307" i="3"/>
  <c r="AZ307" i="3"/>
  <c r="BL317" i="3"/>
  <c r="BL551" i="3"/>
  <c r="AZ551" i="3"/>
  <c r="BL198" i="3"/>
  <c r="AZ198" i="3"/>
  <c r="BA207" i="3"/>
  <c r="AZ207" i="3"/>
  <c r="BL231" i="3"/>
  <c r="BA236" i="3"/>
  <c r="AZ236" i="3"/>
  <c r="BA254" i="3"/>
  <c r="AZ254" i="3"/>
  <c r="BA259" i="3"/>
  <c r="AZ259" i="3"/>
  <c r="BA298" i="3"/>
  <c r="AZ298" i="3"/>
  <c r="BA308" i="3"/>
  <c r="AZ308" i="3"/>
  <c r="BA309" i="3"/>
  <c r="AZ309" i="3"/>
  <c r="BL313" i="3"/>
  <c r="BL315" i="3"/>
  <c r="AZ315" i="3"/>
  <c r="BL318" i="3"/>
  <c r="AZ318" i="3"/>
  <c r="BL332" i="3"/>
  <c r="AZ332" i="3"/>
  <c r="BA377" i="3"/>
  <c r="AZ377" i="3"/>
  <c r="BL222" i="3"/>
  <c r="AZ222" i="3"/>
  <c r="BA226" i="3"/>
  <c r="AZ226" i="3"/>
  <c r="BA231" i="3"/>
  <c r="AZ231" i="3"/>
  <c r="G239" i="3"/>
  <c r="BL243" i="3"/>
  <c r="BL244" i="3"/>
  <c r="AZ244" i="3"/>
  <c r="BL245" i="3"/>
  <c r="AZ245" i="3"/>
  <c r="BA260" i="3"/>
  <c r="AZ293" i="3"/>
  <c r="BA302" i="3"/>
  <c r="AZ302" i="3"/>
  <c r="BA312" i="3"/>
  <c r="AZ312" i="3"/>
  <c r="AZ313" i="3"/>
  <c r="BA319" i="3"/>
  <c r="BL319" i="3"/>
  <c r="BL208" i="3"/>
  <c r="AZ208" i="3"/>
  <c r="BL232" i="3"/>
  <c r="AZ232" i="3"/>
  <c r="BA243" i="3"/>
  <c r="AZ243" i="3"/>
  <c r="BL246" i="3"/>
  <c r="AZ246" i="3"/>
  <c r="BA310" i="3"/>
  <c r="AZ310" i="3"/>
  <c r="BL324" i="3"/>
  <c r="BL331" i="3"/>
  <c r="BL341" i="3"/>
  <c r="AZ341" i="3"/>
  <c r="BL356" i="3"/>
  <c r="AZ430" i="3"/>
  <c r="BL461" i="3"/>
  <c r="AZ461" i="3"/>
  <c r="BA193" i="3"/>
  <c r="AZ193" i="3"/>
  <c r="BL212" i="3"/>
  <c r="BA215" i="3"/>
  <c r="AZ215" i="3"/>
  <c r="BA227" i="3"/>
  <c r="AZ227" i="3"/>
  <c r="BL248" i="3"/>
  <c r="BL264" i="3"/>
  <c r="BL266" i="3"/>
  <c r="AZ266" i="3"/>
  <c r="BL269" i="3"/>
  <c r="BL272" i="3"/>
  <c r="AZ305" i="3"/>
  <c r="BA314" i="3"/>
  <c r="AZ314" i="3"/>
  <c r="BA324" i="3"/>
  <c r="AZ324" i="3"/>
  <c r="AZ325" i="3"/>
  <c r="AZ326" i="3"/>
  <c r="BA327" i="3"/>
  <c r="BA331" i="3"/>
  <c r="AZ331" i="3"/>
  <c r="BL336" i="3"/>
  <c r="AZ342" i="3"/>
  <c r="BL343" i="3"/>
  <c r="AZ343" i="3"/>
  <c r="BL353" i="3"/>
  <c r="BL368" i="3"/>
  <c r="BL390" i="3"/>
  <c r="BL416" i="3"/>
  <c r="AZ416" i="3"/>
  <c r="BA205" i="3"/>
  <c r="AZ205" i="3"/>
  <c r="BL219" i="3"/>
  <c r="BA247" i="3"/>
  <c r="AZ247" i="3"/>
  <c r="BA262" i="3"/>
  <c r="AZ262" i="3"/>
  <c r="BA263" i="3"/>
  <c r="AZ263" i="3"/>
  <c r="BA264" i="3"/>
  <c r="AZ264" i="3"/>
  <c r="BA265" i="3"/>
  <c r="AZ265" i="3"/>
  <c r="BL267" i="3"/>
  <c r="BL270" i="3"/>
  <c r="AZ270" i="3"/>
  <c r="BA322" i="3"/>
  <c r="BL322" i="3"/>
  <c r="AZ322" i="3"/>
  <c r="BL327" i="3"/>
  <c r="BA336" i="3"/>
  <c r="BA337" i="3"/>
  <c r="AZ337" i="3"/>
  <c r="BA338" i="3"/>
  <c r="AZ338" i="3"/>
  <c r="BA339" i="3"/>
  <c r="BA344" i="3"/>
  <c r="AZ344" i="3"/>
  <c r="BA345" i="3"/>
  <c r="AZ345" i="3"/>
  <c r="BL349" i="3"/>
  <c r="BL366" i="3"/>
  <c r="AZ366" i="3"/>
  <c r="BL385" i="3"/>
  <c r="BL386" i="3"/>
  <c r="AZ386" i="3"/>
  <c r="BA388" i="3"/>
  <c r="AZ388" i="3"/>
  <c r="BA390" i="3"/>
  <c r="AZ390" i="3"/>
  <c r="BL391" i="3"/>
  <c r="G207" i="3"/>
  <c r="BA219" i="3"/>
  <c r="BA267" i="3"/>
  <c r="AZ267" i="3"/>
  <c r="BA271" i="3"/>
  <c r="AZ271" i="3"/>
  <c r="BL281" i="3"/>
  <c r="AZ281" i="3"/>
  <c r="BL284" i="3"/>
  <c r="AZ284" i="3"/>
  <c r="BA317" i="3"/>
  <c r="AZ317" i="3"/>
  <c r="BA334" i="3"/>
  <c r="AZ334" i="3"/>
  <c r="BL339" i="3"/>
  <c r="BA348" i="3"/>
  <c r="AZ348" i="3"/>
  <c r="BA349" i="3"/>
  <c r="AZ349" i="3"/>
  <c r="BA350" i="3"/>
  <c r="AZ350" i="3"/>
  <c r="BA351" i="3"/>
  <c r="AZ351" i="3"/>
  <c r="BA355" i="3"/>
  <c r="AZ355" i="3"/>
  <c r="BA356" i="3"/>
  <c r="BA357" i="3"/>
  <c r="AZ357" i="3"/>
  <c r="BL382" i="3"/>
  <c r="AZ382" i="3"/>
  <c r="BL383" i="3"/>
  <c r="BA392" i="3"/>
  <c r="AZ392" i="3"/>
  <c r="BL406" i="3"/>
  <c r="AZ406" i="3"/>
  <c r="BL415" i="3"/>
  <c r="AZ415" i="3"/>
  <c r="BA537" i="3"/>
  <c r="BA410" i="3"/>
  <c r="AZ410" i="3"/>
  <c r="BL417" i="3"/>
  <c r="AZ417" i="3"/>
  <c r="BL432" i="3"/>
  <c r="BA453" i="3"/>
  <c r="BL458" i="3"/>
  <c r="AZ458" i="3"/>
  <c r="BA463" i="3"/>
  <c r="BL463" i="3"/>
  <c r="BL466" i="3"/>
  <c r="AZ466" i="3"/>
  <c r="BL471" i="3"/>
  <c r="AZ471" i="3"/>
  <c r="BA501" i="3"/>
  <c r="BL506" i="3"/>
  <c r="AZ506" i="3"/>
  <c r="BA520" i="3"/>
  <c r="BA523" i="3"/>
  <c r="AZ523" i="3"/>
  <c r="BL526" i="3"/>
  <c r="BA527" i="3"/>
  <c r="BA539" i="3"/>
  <c r="AZ539" i="3"/>
  <c r="AZ547" i="3"/>
  <c r="BA555" i="3"/>
  <c r="G400" i="3"/>
  <c r="BA407" i="3"/>
  <c r="AZ407" i="3"/>
  <c r="BL408" i="3"/>
  <c r="BL423" i="3"/>
  <c r="AZ423" i="3"/>
  <c r="BL424" i="3"/>
  <c r="BA429" i="3"/>
  <c r="BL429" i="3"/>
  <c r="AZ429" i="3"/>
  <c r="BA431" i="3"/>
  <c r="AZ431" i="3"/>
  <c r="BA432" i="3"/>
  <c r="AZ432" i="3"/>
  <c r="BL437" i="3"/>
  <c r="AZ469" i="3"/>
  <c r="BA473" i="3"/>
  <c r="AZ473" i="3"/>
  <c r="BL480" i="3"/>
  <c r="BL485" i="3"/>
  <c r="AZ485" i="3"/>
  <c r="BA511" i="3"/>
  <c r="BL511" i="3"/>
  <c r="AZ511" i="3"/>
  <c r="BA519" i="3"/>
  <c r="BL533" i="3"/>
  <c r="G383" i="3"/>
  <c r="BA412" i="3"/>
  <c r="AZ412" i="3"/>
  <c r="BL413" i="3"/>
  <c r="AZ413" i="3"/>
  <c r="BA422" i="3"/>
  <c r="AZ422" i="3"/>
  <c r="BL435" i="3"/>
  <c r="AZ435" i="3"/>
  <c r="BA475" i="3"/>
  <c r="AZ475" i="3"/>
  <c r="AZ533" i="3"/>
  <c r="BA568" i="3"/>
  <c r="AZ568" i="3"/>
  <c r="BA580" i="3"/>
  <c r="AZ580" i="3"/>
  <c r="O9" i="1"/>
  <c r="P9" i="1"/>
  <c r="B74" i="43"/>
  <c r="B95" i="43"/>
  <c r="B63" i="43"/>
  <c r="B52" i="43"/>
  <c r="C21" i="39"/>
  <c r="AB10" i="21"/>
  <c r="U10" i="21"/>
  <c r="H27" i="21"/>
  <c r="F27" i="21"/>
  <c r="J27" i="21"/>
  <c r="BA379" i="3"/>
  <c r="AZ379" i="3"/>
  <c r="BA395" i="3"/>
  <c r="AZ395" i="3"/>
  <c r="BA408" i="3"/>
  <c r="BA418" i="3"/>
  <c r="AZ418" i="3"/>
  <c r="BA424" i="3"/>
  <c r="BL425" i="3"/>
  <c r="AZ425" i="3"/>
  <c r="AZ436" i="3"/>
  <c r="BA470" i="3"/>
  <c r="AZ470" i="3"/>
  <c r="BA478" i="3"/>
  <c r="AZ478" i="3"/>
  <c r="BA479" i="3"/>
  <c r="AZ479" i="3"/>
  <c r="BA480" i="3"/>
  <c r="AZ480" i="3"/>
  <c r="S15" i="33"/>
  <c r="AA15" i="33"/>
  <c r="BL396" i="3"/>
  <c r="BA398" i="3"/>
  <c r="AZ398" i="3"/>
  <c r="BA403" i="3"/>
  <c r="BL403" i="3"/>
  <c r="AZ403" i="3"/>
  <c r="AZ437" i="3"/>
  <c r="BA559" i="3"/>
  <c r="AZ559" i="3"/>
  <c r="K8" i="1"/>
  <c r="M8" i="1"/>
  <c r="B8" i="1"/>
  <c r="E8" i="1"/>
  <c r="S8" i="1"/>
  <c r="S10" i="1"/>
  <c r="S16" i="1"/>
  <c r="R8" i="1"/>
  <c r="C23" i="40"/>
  <c r="B88" i="43"/>
  <c r="AA33" i="33"/>
  <c r="S33" i="33"/>
  <c r="BL400" i="3"/>
  <c r="BA419" i="3"/>
  <c r="AZ419" i="3"/>
  <c r="BL420" i="3"/>
  <c r="BA439" i="3"/>
  <c r="AZ439" i="3"/>
  <c r="AZ477" i="3"/>
  <c r="BA487" i="3"/>
  <c r="AZ487" i="3"/>
  <c r="T7" i="1"/>
  <c r="AR7" i="1"/>
  <c r="AC43" i="21"/>
  <c r="W43" i="21"/>
  <c r="BA396" i="3"/>
  <c r="AZ396" i="3"/>
  <c r="BL405" i="3"/>
  <c r="BA438" i="3"/>
  <c r="AZ438" i="3"/>
  <c r="AZ442" i="3"/>
  <c r="BA443" i="3"/>
  <c r="AZ443" i="3"/>
  <c r="BA444" i="3"/>
  <c r="AZ444" i="3"/>
  <c r="AZ447" i="3"/>
  <c r="BA448" i="3"/>
  <c r="AZ448" i="3"/>
  <c r="BL453" i="3"/>
  <c r="BA482" i="3"/>
  <c r="AZ482" i="3"/>
  <c r="BA486" i="3"/>
  <c r="AZ486" i="3"/>
  <c r="AZ490" i="3"/>
  <c r="BA491" i="3"/>
  <c r="AZ491" i="3"/>
  <c r="BA492" i="3"/>
  <c r="AZ492" i="3"/>
  <c r="AZ495" i="3"/>
  <c r="BA496" i="3"/>
  <c r="AZ496" i="3"/>
  <c r="BL501" i="3"/>
  <c r="AZ563" i="3"/>
  <c r="BA400" i="3"/>
  <c r="AZ400" i="3"/>
  <c r="BL401" i="3"/>
  <c r="AZ401" i="3"/>
  <c r="BA420" i="3"/>
  <c r="AZ420" i="3"/>
  <c r="G431" i="3"/>
  <c r="AZ449" i="3"/>
  <c r="BL456" i="3"/>
  <c r="BL460" i="3"/>
  <c r="BA497" i="3"/>
  <c r="AZ497" i="3"/>
  <c r="BL504" i="3"/>
  <c r="BL508" i="3"/>
  <c r="BL516" i="3"/>
  <c r="AZ516" i="3"/>
  <c r="BL544" i="3"/>
  <c r="AZ544" i="3"/>
  <c r="BL558" i="3"/>
  <c r="AZ558" i="3"/>
  <c r="AZ562" i="3"/>
  <c r="BL572" i="3"/>
  <c r="BA427" i="3"/>
  <c r="BL427" i="3"/>
  <c r="BA441" i="3"/>
  <c r="AZ441" i="3"/>
  <c r="BL446" i="3"/>
  <c r="BA451" i="3"/>
  <c r="BL451" i="3"/>
  <c r="AZ451" i="3"/>
  <c r="BL454" i="3"/>
  <c r="BL459" i="3"/>
  <c r="AZ459" i="3"/>
  <c r="BA489" i="3"/>
  <c r="AZ489" i="3"/>
  <c r="BL494" i="3"/>
  <c r="BA499" i="3"/>
  <c r="BL499" i="3"/>
  <c r="AZ499" i="3"/>
  <c r="BL502" i="3"/>
  <c r="BL507" i="3"/>
  <c r="AZ507" i="3"/>
  <c r="BL512" i="3"/>
  <c r="BL520" i="3"/>
  <c r="BL527" i="3"/>
  <c r="BL537" i="3"/>
  <c r="AZ553" i="3"/>
  <c r="O12" i="1"/>
  <c r="P12" i="1"/>
  <c r="K145" i="21"/>
  <c r="K143" i="21"/>
  <c r="K141" i="21"/>
  <c r="BA391" i="3"/>
  <c r="AZ391" i="3"/>
  <c r="BA426" i="3"/>
  <c r="AZ426" i="3"/>
  <c r="BA446" i="3"/>
  <c r="AZ446" i="3"/>
  <c r="BA450" i="3"/>
  <c r="AZ450" i="3"/>
  <c r="BA454" i="3"/>
  <c r="BA455" i="3"/>
  <c r="AZ455" i="3"/>
  <c r="BA456" i="3"/>
  <c r="BA460" i="3"/>
  <c r="BL465" i="3"/>
  <c r="AZ465" i="3"/>
  <c r="BA494" i="3"/>
  <c r="AZ494" i="3"/>
  <c r="BA498" i="3"/>
  <c r="AZ498" i="3"/>
  <c r="BA502" i="3"/>
  <c r="BA503" i="3"/>
  <c r="AZ503" i="3"/>
  <c r="BA504" i="3"/>
  <c r="AZ504" i="3"/>
  <c r="BA508" i="3"/>
  <c r="BA512" i="3"/>
  <c r="BA513" i="3"/>
  <c r="AZ513" i="3"/>
  <c r="BL514" i="3"/>
  <c r="BL517" i="3"/>
  <c r="BL524" i="3"/>
  <c r="BL540" i="3"/>
  <c r="AZ540" i="3"/>
  <c r="BA541" i="3"/>
  <c r="BL541" i="3"/>
  <c r="AZ541" i="3"/>
  <c r="AZ542" i="3"/>
  <c r="BL548" i="3"/>
  <c r="AZ556" i="3"/>
  <c r="AZ561" i="3"/>
  <c r="BL584" i="3"/>
  <c r="R10" i="1"/>
  <c r="K10" i="1"/>
  <c r="M10" i="1"/>
  <c r="B10" i="1"/>
  <c r="E10" i="1"/>
  <c r="BA538" i="3"/>
  <c r="AZ538" i="3"/>
  <c r="G540" i="3"/>
  <c r="AZ567" i="3"/>
  <c r="G576" i="3"/>
  <c r="AZ579" i="3"/>
  <c r="C36" i="69"/>
  <c r="G22" i="11"/>
  <c r="E1" i="73"/>
  <c r="G41" i="11"/>
  <c r="G41" i="69"/>
  <c r="G22" i="68"/>
  <c r="G41" i="68"/>
  <c r="B91" i="43"/>
  <c r="C21" i="40"/>
  <c r="AA35" i="21"/>
  <c r="S35" i="21"/>
  <c r="S13" i="37"/>
  <c r="AA13" i="37"/>
  <c r="BL522" i="3"/>
  <c r="AZ522" i="3"/>
  <c r="BL546" i="3"/>
  <c r="AZ546" i="3"/>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c r="BL569" i="3"/>
  <c r="BL581" i="3"/>
  <c r="AR13" i="1"/>
  <c r="AQ13" i="1"/>
  <c r="E19" i="11"/>
  <c r="E19" i="69"/>
  <c r="E19" i="68"/>
  <c r="P74" i="15"/>
  <c r="P61" i="15"/>
  <c r="S19" i="21"/>
  <c r="AA19" i="21"/>
  <c r="AB42" i="21"/>
  <c r="U42" i="21"/>
  <c r="J29" i="21"/>
  <c r="H29" i="21"/>
  <c r="BL519" i="3"/>
  <c r="BL529" i="3"/>
  <c r="BA536" i="3"/>
  <c r="AZ536" i="3"/>
  <c r="BL543" i="3"/>
  <c r="AZ543" i="3"/>
  <c r="BA550" i="3"/>
  <c r="AZ550" i="3"/>
  <c r="G552" i="3"/>
  <c r="BA564" i="3"/>
  <c r="AZ564" i="3"/>
  <c r="BL570" i="3"/>
  <c r="AZ570" i="3"/>
  <c r="BL582" i="3"/>
  <c r="AZ582" i="3"/>
  <c r="T13" i="1"/>
  <c r="J57" i="9"/>
  <c r="J59" i="9"/>
  <c r="J61" i="9"/>
  <c r="AB19" i="21"/>
  <c r="U19" i="21"/>
  <c r="S29" i="36"/>
  <c r="AA29" i="36"/>
  <c r="BA529" i="3"/>
  <c r="AZ529" i="3"/>
  <c r="BL555" i="3"/>
  <c r="BA560" i="3"/>
  <c r="AZ560" i="3"/>
  <c r="BL565" i="3"/>
  <c r="BL583" i="3"/>
  <c r="G7" i="1"/>
  <c r="R14" i="77"/>
  <c r="W19" i="21"/>
  <c r="AC19" i="21"/>
  <c r="AA39" i="21"/>
  <c r="S39" i="21"/>
  <c r="AC13" i="34"/>
  <c r="W13" i="34"/>
  <c r="AA34" i="34"/>
  <c r="S34" i="34"/>
  <c r="BA526" i="3"/>
  <c r="AZ526" i="3"/>
  <c r="BA569" i="3"/>
  <c r="BL571" i="3"/>
  <c r="AZ571" i="3"/>
  <c r="BA576" i="3"/>
  <c r="AZ576" i="3"/>
  <c r="BA581" i="3"/>
  <c r="AZ581" i="3"/>
  <c r="O7" i="1"/>
  <c r="P7" i="1"/>
  <c r="F11" i="12"/>
  <c r="C23" i="12"/>
  <c r="G25" i="12"/>
  <c r="AA29" i="21"/>
  <c r="S29" i="21"/>
  <c r="AB39" i="21"/>
  <c r="U39" i="21"/>
  <c r="J44" i="21"/>
  <c r="F44" i="21"/>
  <c r="H44" i="21"/>
  <c r="AA29" i="33"/>
  <c r="S29" i="33"/>
  <c r="U23" i="36"/>
  <c r="AB23" i="36"/>
  <c r="AA25" i="36"/>
  <c r="S25" i="36"/>
  <c r="W29" i="36"/>
  <c r="AC29" i="36"/>
  <c r="BA565" i="3"/>
  <c r="AZ565" i="3"/>
  <c r="BL577" i="3"/>
  <c r="F34" i="68"/>
  <c r="G26" i="12"/>
  <c r="AA26" i="21"/>
  <c r="S26" i="21"/>
  <c r="AC39" i="21"/>
  <c r="W39" i="21"/>
  <c r="J45" i="21"/>
  <c r="F45" i="21"/>
  <c r="H45" i="21"/>
  <c r="AB29" i="33"/>
  <c r="U29" i="33"/>
  <c r="BA514" i="3"/>
  <c r="BL534" i="3"/>
  <c r="AZ534" i="3"/>
  <c r="D121" i="9"/>
  <c r="D7" i="52"/>
  <c r="K120" i="9"/>
  <c r="G27" i="12"/>
  <c r="W27" i="33"/>
  <c r="AC27" i="33"/>
  <c r="S38" i="33"/>
  <c r="AA38" i="33"/>
  <c r="U27" i="33"/>
  <c r="AB27" i="33"/>
  <c r="BA566" i="3"/>
  <c r="AZ566" i="3"/>
  <c r="BA577" i="3"/>
  <c r="BA584" i="3"/>
  <c r="AZ584" i="3"/>
  <c r="AR6" i="1"/>
  <c r="AQ6" i="1"/>
  <c r="T6" i="1"/>
  <c r="E2" i="70"/>
  <c r="AA9" i="21"/>
  <c r="S9" i="21"/>
  <c r="S17" i="21"/>
  <c r="AA17" i="21"/>
  <c r="AC30" i="21"/>
  <c r="W30" i="21"/>
  <c r="U38" i="33"/>
  <c r="AB38" i="33"/>
  <c r="AB40" i="33"/>
  <c r="U40" i="33"/>
  <c r="BA517" i="3"/>
  <c r="AZ517" i="3"/>
  <c r="BA524" i="3"/>
  <c r="AZ524" i="3"/>
  <c r="BL531" i="3"/>
  <c r="AZ531" i="3"/>
  <c r="BA548" i="3"/>
  <c r="AZ548" i="3"/>
  <c r="BA552" i="3"/>
  <c r="AZ552" i="3"/>
  <c r="BL557" i="3"/>
  <c r="AZ557" i="3"/>
  <c r="G564" i="3"/>
  <c r="BA572" i="3"/>
  <c r="AZ572" i="3"/>
  <c r="BA578" i="3"/>
  <c r="AZ578" i="3"/>
  <c r="BA583" i="3"/>
  <c r="R35" i="77"/>
  <c r="U34" i="77"/>
  <c r="AC11" i="21"/>
  <c r="W11" i="21"/>
  <c r="W21" i="21"/>
  <c r="AC21" i="21"/>
  <c r="H9" i="21"/>
  <c r="J9" i="21"/>
  <c r="AC11" i="33"/>
  <c r="W11" i="33"/>
  <c r="U17" i="37"/>
  <c r="AB17" i="37"/>
  <c r="AA15" i="34"/>
  <c r="S15" i="34"/>
  <c r="S21" i="34"/>
  <c r="AA21" i="34"/>
  <c r="AA37" i="34"/>
  <c r="S37" i="34"/>
  <c r="AA27" i="36"/>
  <c r="S27" i="36"/>
  <c r="B41" i="1"/>
  <c r="D23" i="67"/>
  <c r="D11" i="77"/>
  <c r="E11" i="77"/>
  <c r="E7" i="77"/>
  <c r="C27" i="77"/>
  <c r="S11" i="21"/>
  <c r="U30" i="21"/>
  <c r="S43" i="21"/>
  <c r="AA8" i="33"/>
  <c r="S11" i="33"/>
  <c r="AC29" i="33"/>
  <c r="W29" i="33"/>
  <c r="U34" i="33"/>
  <c r="S10" i="34"/>
  <c r="AA10" i="34"/>
  <c r="J31" i="34"/>
  <c r="H31" i="34"/>
  <c r="F31" i="34"/>
  <c r="AB36" i="35"/>
  <c r="U36" i="35"/>
  <c r="F3" i="35"/>
  <c r="G10" i="1"/>
  <c r="T11" i="1"/>
  <c r="B68" i="43"/>
  <c r="B100" i="43"/>
  <c r="B77" i="43"/>
  <c r="B57" i="43"/>
  <c r="C27" i="39"/>
  <c r="AA21" i="21"/>
  <c r="AA36" i="21"/>
  <c r="AA38" i="21"/>
  <c r="S38" i="21"/>
  <c r="AC21" i="33"/>
  <c r="W21" i="33"/>
  <c r="AB42" i="33"/>
  <c r="U42" i="33"/>
  <c r="AA36" i="37"/>
  <c r="S36" i="37"/>
  <c r="W39" i="37"/>
  <c r="AC39" i="37"/>
  <c r="B6" i="1"/>
  <c r="E6" i="1"/>
  <c r="F34" i="15"/>
  <c r="F62" i="15"/>
  <c r="M20" i="67"/>
  <c r="B78" i="43"/>
  <c r="B101" i="43"/>
  <c r="B58" i="43"/>
  <c r="B69" i="43"/>
  <c r="C29" i="39"/>
  <c r="G1" i="15"/>
  <c r="D24" i="67"/>
  <c r="E26" i="77"/>
  <c r="E32" i="77"/>
  <c r="AA12" i="21"/>
  <c r="W28" i="37"/>
  <c r="AC28" i="37"/>
  <c r="G8" i="1"/>
  <c r="G11" i="1"/>
  <c r="G13" i="1"/>
  <c r="K6" i="1"/>
  <c r="G16" i="1"/>
  <c r="T9" i="1"/>
  <c r="B11" i="1"/>
  <c r="E11" i="1"/>
  <c r="B73" i="43"/>
  <c r="C15" i="39"/>
  <c r="B98" i="43"/>
  <c r="B66" i="43"/>
  <c r="B76" i="43"/>
  <c r="B55" i="43"/>
  <c r="U17" i="21"/>
  <c r="F30" i="33"/>
  <c r="J12" i="33"/>
  <c r="F12" i="33"/>
  <c r="U8" i="34"/>
  <c r="AB8" i="34"/>
  <c r="AB10" i="37"/>
  <c r="U10" i="37"/>
  <c r="C25" i="40"/>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B85" i="43"/>
  <c r="C17" i="40"/>
  <c r="C21" i="69"/>
  <c r="F34" i="67"/>
  <c r="F62" i="67"/>
  <c r="D38" i="77"/>
  <c r="D39" i="77"/>
  <c r="D29" i="77"/>
  <c r="D32" i="77"/>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c r="B67" i="71"/>
  <c r="O68" i="71"/>
  <c r="AB25" i="40"/>
  <c r="U25" i="40"/>
  <c r="U19" i="37"/>
  <c r="AB19" i="37"/>
  <c r="U25" i="37"/>
  <c r="AB25" i="37"/>
  <c r="S14" i="37"/>
  <c r="AA14" i="37"/>
  <c r="J26" i="37"/>
  <c r="H26" i="37"/>
  <c r="H11" i="35"/>
  <c r="J11" i="35"/>
  <c r="U15" i="40"/>
  <c r="AB15" i="40"/>
  <c r="J54" i="43"/>
  <c r="D54" i="43"/>
  <c r="B24" i="71"/>
  <c r="B23" i="71"/>
  <c r="B22" i="71"/>
  <c r="B21" i="71"/>
  <c r="T25" i="71"/>
  <c r="G32" i="71"/>
  <c r="G33" i="71"/>
  <c r="W33" i="7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N55" i="43"/>
  <c r="D55" i="43"/>
  <c r="G19" i="71"/>
  <c r="G18" i="71"/>
  <c r="G17" i="71"/>
  <c r="G16" i="71"/>
  <c r="G15" i="71"/>
  <c r="G14" i="71"/>
  <c r="G13" i="71"/>
  <c r="G12" i="71"/>
  <c r="G11" i="71"/>
  <c r="G10" i="71"/>
  <c r="G9" i="71"/>
  <c r="G8" i="71"/>
  <c r="G7" i="71"/>
  <c r="G6" i="71"/>
  <c r="G5" i="71"/>
  <c r="W10" i="34"/>
  <c r="H27" i="34"/>
  <c r="J27" i="34"/>
  <c r="AB13" i="37"/>
  <c r="S30" i="35"/>
  <c r="AA30" i="35"/>
  <c r="U30" i="40"/>
  <c r="AB30" i="40"/>
  <c r="Y8" i="71"/>
  <c r="AB8" i="7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c r="W41" i="71"/>
  <c r="U31" i="37"/>
  <c r="AA36" i="35"/>
  <c r="U28" i="36"/>
  <c r="AC41" i="39"/>
  <c r="W41" i="39"/>
  <c r="H43" i="39"/>
  <c r="J43" i="39"/>
  <c r="AC17" i="40"/>
  <c r="G44" i="71"/>
  <c r="G45" i="71"/>
  <c r="W45" i="7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c r="Z7" i="71"/>
  <c r="AA7" i="71"/>
  <c r="D89" i="71"/>
  <c r="C88" i="71"/>
  <c r="AA19" i="39"/>
  <c r="AC21" i="39"/>
  <c r="D24" i="71"/>
  <c r="C23" i="71"/>
  <c r="U30" i="36"/>
  <c r="U29" i="39"/>
  <c r="W31" i="40"/>
  <c r="AC31" i="40"/>
  <c r="F23" i="36"/>
  <c r="AC26" i="36"/>
  <c r="U29" i="36"/>
  <c r="J33" i="36"/>
  <c r="AA15" i="39"/>
  <c r="AC17" i="39"/>
  <c r="W44" i="39"/>
  <c r="AA14" i="40"/>
  <c r="S14" i="40"/>
  <c r="S15" i="40"/>
  <c r="S31" i="40"/>
  <c r="J56" i="43"/>
  <c r="D56" i="43"/>
  <c r="G65" i="71"/>
  <c r="W65" i="71"/>
  <c r="F76" i="71"/>
  <c r="F75" i="71"/>
  <c r="V77" i="71"/>
  <c r="AA14" i="39"/>
  <c r="AC15" i="39"/>
  <c r="U21" i="40"/>
  <c r="W35" i="39"/>
  <c r="AC35" i="39"/>
  <c r="W42" i="39"/>
  <c r="AC42" i="39"/>
  <c r="AB45" i="39"/>
  <c r="U45" i="39"/>
  <c r="AB34" i="40"/>
  <c r="U34" i="40"/>
  <c r="P25" i="43"/>
  <c r="F64" i="71"/>
  <c r="F65" i="71"/>
  <c r="V65" i="71"/>
  <c r="F68" i="71"/>
  <c r="Q69" i="71"/>
  <c r="V69" i="71"/>
  <c r="Z5" i="71"/>
  <c r="AA5" i="71"/>
  <c r="AB5" i="71"/>
  <c r="Z3" i="71"/>
  <c r="AA3" i="71"/>
  <c r="AB3" i="71"/>
  <c r="Y6" i="71"/>
  <c r="AB6" i="71"/>
  <c r="AD3" i="71"/>
  <c r="B49" i="71"/>
  <c r="T49" i="71"/>
  <c r="C60" i="71"/>
  <c r="D59" i="71"/>
  <c r="C64" i="71"/>
  <c r="D63" i="71"/>
  <c r="C76" i="71"/>
  <c r="D77" i="71"/>
  <c r="U28" i="40"/>
  <c r="E17" i="43"/>
  <c r="E94" i="43"/>
  <c r="B92" i="43"/>
  <c r="AC9" i="71"/>
  <c r="AC5" i="71"/>
  <c r="C52" i="71"/>
  <c r="D51" i="71"/>
  <c r="S25" i="40"/>
  <c r="J57" i="43"/>
  <c r="D57" i="43"/>
  <c r="AD10" i="71"/>
  <c r="F56" i="71"/>
  <c r="F57" i="71"/>
  <c r="V57" i="71"/>
  <c r="S17" i="40"/>
  <c r="J39" i="40"/>
  <c r="H39" i="40"/>
  <c r="B41" i="71"/>
  <c r="T41" i="71"/>
  <c r="U77" i="71"/>
  <c r="U29" i="71"/>
  <c r="C80" i="71"/>
  <c r="D81" i="71"/>
  <c r="L20" i="78"/>
  <c r="S25" i="78"/>
  <c r="S23" i="78"/>
  <c r="S22" i="78"/>
  <c r="S9" i="78"/>
  <c r="L3" i="78"/>
  <c r="F52" i="71"/>
  <c r="F53" i="71"/>
  <c r="V53" i="71"/>
  <c r="B28" i="71"/>
  <c r="B27" i="71"/>
  <c r="P69" i="71"/>
  <c r="C68" i="71"/>
  <c r="D69" i="71"/>
  <c r="S24" i="78"/>
  <c r="M20" i="78"/>
  <c r="P20" i="78"/>
  <c r="T24" i="78"/>
  <c r="W24" i="78"/>
  <c r="P24" i="78"/>
  <c r="T22" i="78"/>
  <c r="W22" i="78"/>
  <c r="T20" i="78"/>
  <c r="W20" i="78"/>
  <c r="U81" i="71"/>
  <c r="Y7" i="71"/>
  <c r="AB7" i="71"/>
  <c r="C72" i="71"/>
  <c r="D73" i="71"/>
  <c r="N3" i="78"/>
  <c r="V12" i="78"/>
  <c r="V5" i="78"/>
  <c r="O3" i="78"/>
  <c r="T23" i="78"/>
  <c r="W23" i="78"/>
  <c r="S20" i="78"/>
  <c r="U23" i="78"/>
  <c r="U20" i="78"/>
  <c r="N20" i="78"/>
  <c r="AD25" i="78"/>
  <c r="Y5" i="71"/>
  <c r="AC7" i="71"/>
  <c r="T6" i="78"/>
  <c r="W6" i="78"/>
  <c r="U6" i="78"/>
  <c r="S8" i="78"/>
  <c r="P10" i="78"/>
  <c r="V11" i="78"/>
  <c r="M3" i="78"/>
  <c r="P3" i="78"/>
  <c r="S5" i="78"/>
  <c r="T5" i="78"/>
  <c r="W5" i="78"/>
  <c r="R7" i="78"/>
  <c r="U10" i="78"/>
  <c r="S12" i="78"/>
  <c r="P25" i="78"/>
  <c r="AC3" i="71"/>
  <c r="U5" i="78"/>
  <c r="S7" i="78"/>
  <c r="V10" i="78"/>
  <c r="P26" i="78"/>
  <c r="D53" i="43"/>
  <c r="A2" i="9"/>
  <c r="M1" i="43"/>
  <c r="M2" i="43"/>
  <c r="M3" i="43"/>
  <c r="N4" i="43"/>
  <c r="M5" i="43"/>
  <c r="N6" i="43"/>
  <c r="N7" i="43"/>
  <c r="M8" i="43"/>
  <c r="M9" i="43"/>
  <c r="N10" i="43"/>
  <c r="N11" i="43"/>
  <c r="N12" i="43"/>
  <c r="H94" i="43"/>
  <c r="H102" i="43"/>
  <c r="N2" i="43"/>
  <c r="N3" i="43"/>
  <c r="M4" i="43"/>
  <c r="N5" i="43"/>
  <c r="M6" i="43"/>
  <c r="C6" i="43"/>
  <c r="M7" i="43"/>
  <c r="N8" i="43"/>
  <c r="N9" i="43"/>
  <c r="M10" i="43"/>
  <c r="M11" i="43"/>
  <c r="H96" i="43"/>
  <c r="H97" i="43"/>
  <c r="H100" i="43"/>
  <c r="S3" i="43"/>
  <c r="S4" i="43"/>
  <c r="S5" i="43"/>
  <c r="X7" i="43"/>
  <c r="D21" i="43"/>
  <c r="I21" i="43"/>
  <c r="K21" i="43"/>
  <c r="M21" i="43"/>
  <c r="O21" i="43"/>
  <c r="F37" i="43"/>
  <c r="F38" i="43"/>
  <c r="H62" i="43"/>
  <c r="H64" i="43"/>
  <c r="H65" i="43"/>
  <c r="H68" i="43"/>
  <c r="H70"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63" i="43"/>
  <c r="H66" i="43"/>
  <c r="H67" i="43"/>
  <c r="H74" i="43"/>
  <c r="H76" i="43"/>
  <c r="H78" i="43"/>
  <c r="H85" i="43"/>
  <c r="H87" i="43"/>
  <c r="H89" i="43"/>
  <c r="C7" i="40"/>
  <c r="C63" i="40"/>
  <c r="C7" i="34"/>
  <c r="C59" i="34"/>
  <c r="M47" i="9"/>
  <c r="C7" i="39"/>
  <c r="C68" i="39"/>
  <c r="C42" i="1"/>
  <c r="C7" i="21"/>
  <c r="C58" i="21"/>
  <c r="C7" i="33"/>
  <c r="C58" i="33"/>
  <c r="C7" i="37"/>
  <c r="C52" i="37"/>
  <c r="C7" i="35"/>
  <c r="C48" i="35"/>
  <c r="C7" i="36"/>
  <c r="C46" i="36"/>
  <c r="A1" i="78"/>
  <c r="P28" i="43"/>
  <c r="B66" i="40"/>
  <c r="P27" i="43"/>
  <c r="B71" i="39"/>
  <c r="P26" i="43"/>
  <c r="O23" i="43"/>
  <c r="L17" i="43"/>
  <c r="P29" i="43"/>
  <c r="J1" i="73"/>
  <c r="Z7" i="43"/>
  <c r="F26" i="43"/>
  <c r="H26" i="43"/>
  <c r="B117" i="43"/>
  <c r="N370" i="46"/>
  <c r="E26" i="43"/>
  <c r="G26" i="43"/>
  <c r="J26" i="43"/>
  <c r="B6" i="70"/>
  <c r="B8" i="70"/>
  <c r="B10" i="70"/>
  <c r="B12" i="70"/>
  <c r="C102" i="9"/>
  <c r="D22" i="9"/>
  <c r="G19" i="9"/>
  <c r="D103" i="9"/>
  <c r="B7" i="70"/>
  <c r="B9" i="70"/>
  <c r="B11" i="70"/>
  <c r="B13" i="70"/>
  <c r="D102" i="9"/>
  <c r="G20" i="9"/>
  <c r="C32" i="9"/>
  <c r="C103" i="9"/>
  <c r="C34" i="67"/>
  <c r="C34" i="15"/>
  <c r="B20" i="31"/>
  <c r="B21" i="31"/>
  <c r="I1" i="73"/>
  <c r="B39" i="1"/>
  <c r="D125" i="9"/>
  <c r="D11" i="52"/>
  <c r="H14" i="74"/>
  <c r="B7" i="74"/>
  <c r="D10" i="52"/>
  <c r="D127" i="9"/>
  <c r="D13" i="52"/>
  <c r="I14" i="74"/>
  <c r="B8" i="74"/>
  <c r="D12" i="52"/>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L63" i="9"/>
  <c r="M63" i="9"/>
  <c r="M69" i="9"/>
  <c r="N69" i="9"/>
  <c r="L67" i="9"/>
  <c r="M67" i="9"/>
  <c r="L68" i="9"/>
  <c r="M68" i="9"/>
  <c r="C94" i="9"/>
  <c r="L64" i="9"/>
  <c r="M64" i="9"/>
  <c r="L65" i="9"/>
  <c r="M65" i="9"/>
  <c r="H110" i="9"/>
  <c r="D18" i="53"/>
  <c r="B35" i="72"/>
  <c r="D6" i="73"/>
  <c r="D5" i="73"/>
  <c r="D3" i="73"/>
  <c r="D4" i="73"/>
  <c r="D7" i="73"/>
  <c r="F51" i="43"/>
  <c r="H56" i="43"/>
  <c r="C36" i="68"/>
  <c r="E51" i="43"/>
  <c r="B49" i="43"/>
  <c r="C28" i="43"/>
  <c r="R16" i="1"/>
  <c r="U39" i="40"/>
  <c r="AB39" i="40"/>
  <c r="S30" i="40"/>
  <c r="AA30" i="40"/>
  <c r="AA32" i="36"/>
  <c r="S32" i="36"/>
  <c r="AC40" i="40"/>
  <c r="W40" i="40"/>
  <c r="U27" i="34"/>
  <c r="AB27" i="34"/>
  <c r="AC13" i="35"/>
  <c r="W13" i="35"/>
  <c r="T21" i="71"/>
  <c r="B20" i="71"/>
  <c r="B19" i="71"/>
  <c r="B18" i="71"/>
  <c r="B17" i="71"/>
  <c r="M6" i="1"/>
  <c r="Q16" i="1"/>
  <c r="H16" i="1"/>
  <c r="AA44" i="21"/>
  <c r="S44" i="21"/>
  <c r="W14" i="21"/>
  <c r="AC14" i="21"/>
  <c r="O10" i="1"/>
  <c r="P10" i="1"/>
  <c r="O8" i="1"/>
  <c r="P8" i="1"/>
  <c r="AZ527" i="3"/>
  <c r="W39" i="40"/>
  <c r="AC39" i="40"/>
  <c r="AA33" i="40"/>
  <c r="S33" i="40"/>
  <c r="W32" i="36"/>
  <c r="AC32" i="36"/>
  <c r="S40" i="40"/>
  <c r="AA40" i="40"/>
  <c r="C57" i="71"/>
  <c r="D56" i="71"/>
  <c r="AB13" i="35"/>
  <c r="U13" i="35"/>
  <c r="U13" i="39"/>
  <c r="AB13" i="39"/>
  <c r="AC44" i="21"/>
  <c r="W44" i="21"/>
  <c r="R25" i="77"/>
  <c r="R5" i="77"/>
  <c r="U5" i="77"/>
  <c r="AZ453" i="3"/>
  <c r="AZ405" i="3"/>
  <c r="G5" i="3"/>
  <c r="B3" i="3"/>
  <c r="E13" i="3"/>
  <c r="W33" i="40"/>
  <c r="AC33" i="40"/>
  <c r="U37" i="71"/>
  <c r="D37" i="71"/>
  <c r="S46" i="33"/>
  <c r="AA46" i="33"/>
  <c r="AC40" i="37"/>
  <c r="W40" i="37"/>
  <c r="S13" i="39"/>
  <c r="AA13" i="39"/>
  <c r="U45" i="21"/>
  <c r="AB45" i="21"/>
  <c r="AR10" i="1"/>
  <c r="AQ10" i="1"/>
  <c r="T10" i="1"/>
  <c r="D9" i="11"/>
  <c r="C9" i="11"/>
  <c r="D9" i="68"/>
  <c r="D19" i="12"/>
  <c r="C19" i="12"/>
  <c r="D9" i="69"/>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c r="F67" i="71"/>
  <c r="Q68" i="71"/>
  <c r="U45" i="71"/>
  <c r="D45" i="71"/>
  <c r="C83" i="71"/>
  <c r="D83" i="71"/>
  <c r="D84" i="71"/>
  <c r="D28" i="71"/>
  <c r="C27" i="71"/>
  <c r="D27" i="7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c r="C32" i="77"/>
  <c r="C38" i="77"/>
  <c r="C39" i="77"/>
  <c r="C40" i="77"/>
  <c r="AB29" i="21"/>
  <c r="U29" i="21"/>
  <c r="E576" i="3"/>
  <c r="AZ454" i="3"/>
  <c r="E383" i="3"/>
  <c r="E400" i="3"/>
  <c r="AZ537" i="3"/>
  <c r="E62" i="39"/>
  <c r="E57" i="40"/>
  <c r="C71" i="71"/>
  <c r="D71" i="71"/>
  <c r="D72" i="71"/>
  <c r="AC33" i="36"/>
  <c r="W33" i="36"/>
  <c r="D88" i="71"/>
  <c r="C87" i="71"/>
  <c r="D87" i="71"/>
  <c r="U26" i="35"/>
  <c r="AB26" i="35"/>
  <c r="W12" i="40"/>
  <c r="AC12" i="40"/>
  <c r="W38" i="40"/>
  <c r="AC38" i="40"/>
  <c r="AB26" i="37"/>
  <c r="U26" i="37"/>
  <c r="F20" i="71"/>
  <c r="F19" i="71"/>
  <c r="F18" i="71"/>
  <c r="F17" i="7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c r="C61" i="71"/>
  <c r="D60" i="71"/>
  <c r="F26" i="35"/>
  <c r="J26" i="35"/>
  <c r="AC43" i="39"/>
  <c r="W43" i="39"/>
  <c r="AA38" i="40"/>
  <c r="S38" i="40"/>
  <c r="S37" i="39"/>
  <c r="AA37" i="39"/>
  <c r="W26" i="37"/>
  <c r="AC26" i="37"/>
  <c r="AA11" i="36"/>
  <c r="S11" i="36"/>
  <c r="W13" i="33"/>
  <c r="AC13" i="33"/>
  <c r="F30" i="11"/>
  <c r="M18" i="15"/>
  <c r="F30" i="69"/>
  <c r="F48" i="69"/>
  <c r="F32" i="15"/>
  <c r="F60" i="15"/>
  <c r="F54" i="9"/>
  <c r="F32" i="67"/>
  <c r="F60" i="67"/>
  <c r="F28" i="67"/>
  <c r="F28" i="15"/>
  <c r="F53" i="9"/>
  <c r="F31" i="12"/>
  <c r="C31" i="12"/>
  <c r="D68" i="9"/>
  <c r="M18" i="67"/>
  <c r="F52" i="9"/>
  <c r="F30" i="68"/>
  <c r="F48" i="68"/>
  <c r="F48" i="9"/>
  <c r="O52" i="9"/>
  <c r="E564" i="3"/>
  <c r="U28" i="21"/>
  <c r="AB28" i="21"/>
  <c r="AZ502" i="3"/>
  <c r="AC27" i="21"/>
  <c r="W27" i="21"/>
  <c r="AZ519" i="3"/>
  <c r="AZ555" i="3"/>
  <c r="AZ106" i="3"/>
  <c r="AZ130" i="3"/>
  <c r="AZ183" i="3"/>
  <c r="AZ212" i="3"/>
  <c r="AZ269" i="3"/>
  <c r="AZ272" i="3"/>
  <c r="AZ327" i="3"/>
  <c r="AZ336" i="3"/>
  <c r="AZ368" i="3"/>
  <c r="AZ463" i="3"/>
  <c r="AZ514" i="3"/>
  <c r="AZ577" i="3"/>
  <c r="AZ5" i="3"/>
  <c r="E58" i="40"/>
  <c r="E63" i="39"/>
  <c r="C53" i="71"/>
  <c r="D52" i="71"/>
  <c r="U43" i="39"/>
  <c r="AB43" i="39"/>
  <c r="AB38" i="40"/>
  <c r="U38" i="40"/>
  <c r="AC37" i="39"/>
  <c r="W37" i="39"/>
  <c r="AA12" i="37"/>
  <c r="S12" i="37"/>
  <c r="W11" i="36"/>
  <c r="AC11" i="36"/>
  <c r="W9" i="21"/>
  <c r="AC9" i="21"/>
  <c r="AC28" i="21"/>
  <c r="W28" i="21"/>
  <c r="E540" i="3"/>
  <c r="AA27" i="21"/>
  <c r="S27" i="21"/>
  <c r="E263" i="3"/>
  <c r="E137" i="3"/>
  <c r="E59" i="40"/>
  <c r="E64" i="39"/>
  <c r="S23" i="36"/>
  <c r="AA23" i="36"/>
  <c r="AB37" i="39"/>
  <c r="U37" i="39"/>
  <c r="AC23" i="35"/>
  <c r="W23" i="35"/>
  <c r="U11" i="36"/>
  <c r="AB11" i="36"/>
  <c r="AC30" i="33"/>
  <c r="W30" i="33"/>
  <c r="AB9" i="21"/>
  <c r="U9" i="21"/>
  <c r="S14" i="21"/>
  <c r="AA14" i="21"/>
  <c r="AR8" i="1"/>
  <c r="AQ8" i="1"/>
  <c r="T8" i="1"/>
  <c r="AB27" i="21"/>
  <c r="U27" i="21"/>
  <c r="E56" i="39"/>
  <c r="E51" i="40"/>
  <c r="E16" i="6"/>
  <c r="F27" i="6"/>
  <c r="F30" i="6"/>
  <c r="F31" i="6"/>
  <c r="AC30" i="40"/>
  <c r="W30" i="40"/>
  <c r="U32" i="36"/>
  <c r="AB32" i="36"/>
  <c r="AC27" i="34"/>
  <c r="W27" i="34"/>
  <c r="U33" i="71"/>
  <c r="D33" i="71"/>
  <c r="U23" i="35"/>
  <c r="AB23" i="35"/>
  <c r="AB44" i="21"/>
  <c r="U44" i="21"/>
  <c r="E552" i="3"/>
  <c r="U14" i="21"/>
  <c r="AB14" i="21"/>
  <c r="E239" i="3"/>
  <c r="E231" i="3"/>
  <c r="E108" i="3"/>
  <c r="BA5" i="3"/>
  <c r="E27" i="6"/>
  <c r="K22" i="6"/>
  <c r="M22" i="6"/>
  <c r="I22" i="6"/>
  <c r="S22" i="6"/>
  <c r="K14" i="1"/>
  <c r="M14" i="1"/>
  <c r="E30" i="6"/>
  <c r="K25" i="6"/>
  <c r="M25" i="6"/>
  <c r="I25" i="6"/>
  <c r="S25" i="6"/>
  <c r="K19" i="6"/>
  <c r="K20" i="6"/>
  <c r="M20" i="6"/>
  <c r="I20" i="6"/>
  <c r="S20" i="6"/>
  <c r="K26" i="6"/>
  <c r="M26" i="6"/>
  <c r="I26" i="6"/>
  <c r="S26" i="6"/>
  <c r="K21" i="6"/>
  <c r="M21" i="6"/>
  <c r="I21" i="6"/>
  <c r="S21" i="6"/>
  <c r="K23" i="6"/>
  <c r="M23" i="6"/>
  <c r="I23" i="6"/>
  <c r="S23" i="6"/>
  <c r="H58" i="43"/>
  <c r="H57" i="43"/>
  <c r="H54" i="43"/>
  <c r="H51" i="43"/>
  <c r="G21" i="43"/>
  <c r="C20" i="43"/>
  <c r="D5" i="43"/>
  <c r="K1" i="73"/>
  <c r="D48" i="35"/>
  <c r="E48" i="35"/>
  <c r="F48" i="35"/>
  <c r="G48" i="35"/>
  <c r="H48" i="35"/>
  <c r="I48" i="35"/>
  <c r="J48" i="35"/>
  <c r="K48" i="35"/>
  <c r="L48" i="35"/>
  <c r="M48" i="35"/>
  <c r="N48" i="35"/>
  <c r="O48" i="35"/>
  <c r="D58" i="33"/>
  <c r="E58" i="33"/>
  <c r="F58" i="33"/>
  <c r="G58" i="33"/>
  <c r="H58" i="33"/>
  <c r="I58" i="33"/>
  <c r="J58" i="33"/>
  <c r="K58" i="33"/>
  <c r="L58" i="33"/>
  <c r="M58" i="33"/>
  <c r="N58" i="33"/>
  <c r="O58" i="33"/>
  <c r="J7" i="33"/>
  <c r="C36" i="11"/>
  <c r="C24" i="12"/>
  <c r="C13" i="12"/>
  <c r="C48" i="68"/>
  <c r="C28" i="67"/>
  <c r="C28" i="15"/>
  <c r="C30" i="69"/>
  <c r="C30" i="68"/>
  <c r="C77" i="9"/>
  <c r="C74" i="9"/>
  <c r="C70" i="39"/>
  <c r="D68" i="39"/>
  <c r="D63" i="40"/>
  <c r="C65" i="40"/>
  <c r="D46" i="36"/>
  <c r="E46" i="36"/>
  <c r="F46" i="36"/>
  <c r="G46" i="36"/>
  <c r="H46" i="36"/>
  <c r="I46" i="36"/>
  <c r="J46" i="36"/>
  <c r="K46" i="36"/>
  <c r="L46" i="36"/>
  <c r="M46" i="36"/>
  <c r="N46" i="36"/>
  <c r="O46" i="36"/>
  <c r="D52" i="37"/>
  <c r="E52" i="37"/>
  <c r="F52" i="37"/>
  <c r="G52" i="37"/>
  <c r="H52" i="37"/>
  <c r="I52" i="37"/>
  <c r="J52" i="37"/>
  <c r="K52" i="37"/>
  <c r="L52" i="37"/>
  <c r="M52" i="37"/>
  <c r="N52" i="37"/>
  <c r="O52" i="37"/>
  <c r="D58" i="21"/>
  <c r="E58" i="21"/>
  <c r="F58" i="21"/>
  <c r="G58" i="21"/>
  <c r="H58" i="21"/>
  <c r="I58" i="21"/>
  <c r="J58" i="21"/>
  <c r="K58" i="21"/>
  <c r="L58" i="21"/>
  <c r="M58" i="21"/>
  <c r="N58" i="21"/>
  <c r="O58" i="21"/>
  <c r="D59" i="34"/>
  <c r="E59" i="34"/>
  <c r="F59" i="34"/>
  <c r="G59" i="34"/>
  <c r="H59" i="34"/>
  <c r="I59" i="34"/>
  <c r="J59" i="34"/>
  <c r="K59" i="34"/>
  <c r="L59" i="34"/>
  <c r="M59" i="34"/>
  <c r="N59" i="34"/>
  <c r="O59" i="34"/>
  <c r="J7" i="34"/>
  <c r="J10" i="40"/>
  <c r="F10" i="40"/>
  <c r="H10" i="39"/>
  <c r="H10" i="40"/>
  <c r="F10" i="39"/>
  <c r="J10" i="39"/>
  <c r="D26" i="43"/>
  <c r="C25" i="43"/>
  <c r="I123" i="43"/>
  <c r="J123" i="43"/>
  <c r="K123" i="43"/>
  <c r="L123" i="43"/>
  <c r="M123" i="43"/>
  <c r="I122" i="43"/>
  <c r="J122" i="43"/>
  <c r="K122" i="43"/>
  <c r="L122" i="43"/>
  <c r="M122" i="43"/>
  <c r="G122" i="43"/>
  <c r="H122" i="43"/>
  <c r="I121" i="43"/>
  <c r="J121" i="43"/>
  <c r="K121" i="43"/>
  <c r="L121" i="43"/>
  <c r="M121" i="43"/>
  <c r="I120" i="43"/>
  <c r="J120" i="43"/>
  <c r="K120" i="43"/>
  <c r="L120" i="43"/>
  <c r="M120" i="43"/>
  <c r="I119" i="43"/>
  <c r="J119" i="43"/>
  <c r="K119" i="43"/>
  <c r="L119" i="43"/>
  <c r="M119" i="43"/>
  <c r="D123" i="43"/>
  <c r="E123" i="43"/>
  <c r="F123" i="43"/>
  <c r="G123" i="43"/>
  <c r="H123" i="43"/>
  <c r="B123" i="43"/>
  <c r="C123" i="43"/>
  <c r="D122" i="43"/>
  <c r="E122" i="43"/>
  <c r="F122" i="43"/>
  <c r="B122" i="43"/>
  <c r="C122" i="43"/>
  <c r="D121" i="43"/>
  <c r="E121" i="43"/>
  <c r="F121" i="43"/>
  <c r="G121" i="43"/>
  <c r="H121" i="43"/>
  <c r="B121" i="43"/>
  <c r="C121" i="43"/>
  <c r="D120" i="43"/>
  <c r="E120" i="43"/>
  <c r="F120" i="43"/>
  <c r="G120" i="43"/>
  <c r="H120" i="43"/>
  <c r="B120" i="43"/>
  <c r="C120" i="43"/>
  <c r="D119" i="43"/>
  <c r="E119" i="43"/>
  <c r="F119" i="43"/>
  <c r="G119" i="43"/>
  <c r="H119" i="43"/>
  <c r="B119" i="43"/>
  <c r="C35" i="9"/>
  <c r="C34" i="9"/>
  <c r="M11" i="67"/>
  <c r="J10" i="67"/>
  <c r="M11" i="15"/>
  <c r="F11" i="67"/>
  <c r="F11" i="15"/>
  <c r="C32" i="67"/>
  <c r="C32" i="15"/>
  <c r="B2" i="70"/>
  <c r="B3" i="70"/>
  <c r="F40" i="15"/>
  <c r="L47" i="67"/>
  <c r="M9" i="15"/>
  <c r="M21" i="15"/>
  <c r="M22" i="15"/>
  <c r="F35" i="15"/>
  <c r="F6" i="67"/>
  <c r="F36" i="67"/>
  <c r="M28" i="15"/>
  <c r="F6" i="15"/>
  <c r="F37" i="15"/>
  <c r="F41" i="67"/>
  <c r="F42" i="67"/>
  <c r="F8" i="15"/>
  <c r="L48" i="67"/>
  <c r="M23" i="67"/>
  <c r="M26" i="67"/>
  <c r="M29" i="15"/>
  <c r="M29" i="67"/>
  <c r="M24" i="67"/>
  <c r="C76" i="67"/>
  <c r="F16" i="15"/>
  <c r="F9" i="15"/>
  <c r="F40" i="67"/>
  <c r="F35" i="67"/>
  <c r="F42" i="15"/>
  <c r="F41" i="15"/>
  <c r="C76" i="15"/>
  <c r="F43" i="15"/>
  <c r="F38" i="67"/>
  <c r="F7" i="67"/>
  <c r="M8" i="67"/>
  <c r="J15" i="15"/>
  <c r="F38" i="15"/>
  <c r="F36" i="15"/>
  <c r="L47" i="15"/>
  <c r="F8" i="67"/>
  <c r="F13" i="15"/>
  <c r="M8" i="15"/>
  <c r="M24" i="15"/>
  <c r="M27" i="67"/>
  <c r="F26" i="67"/>
  <c r="J15" i="67"/>
  <c r="F16" i="67"/>
  <c r="M6" i="15"/>
  <c r="F9" i="67"/>
  <c r="F26" i="15"/>
  <c r="C14" i="15"/>
  <c r="M26" i="15"/>
  <c r="M28" i="67"/>
  <c r="F43" i="67"/>
  <c r="M27" i="15"/>
  <c r="M9" i="67"/>
  <c r="F13" i="67"/>
  <c r="F7" i="15"/>
  <c r="M23" i="15"/>
  <c r="G1" i="73"/>
  <c r="M22" i="67"/>
  <c r="L48" i="15"/>
  <c r="F37" i="67"/>
  <c r="M6" i="67"/>
  <c r="M21" i="67"/>
  <c r="H53" i="43"/>
  <c r="H59" i="43"/>
  <c r="H52" i="43"/>
  <c r="H55" i="43"/>
  <c r="F66" i="67"/>
  <c r="L59" i="67"/>
  <c r="L58" i="67"/>
  <c r="M59" i="67"/>
  <c r="N59" i="67"/>
  <c r="M59" i="15"/>
  <c r="L59" i="15"/>
  <c r="N59" i="15"/>
  <c r="L58" i="15"/>
  <c r="F63" i="67"/>
  <c r="C62" i="67"/>
  <c r="F66" i="15"/>
  <c r="F71" i="67"/>
  <c r="M7" i="67"/>
  <c r="J6" i="67"/>
  <c r="J18" i="67"/>
  <c r="F50" i="67"/>
  <c r="C18" i="15"/>
  <c r="C15" i="15"/>
  <c r="F63" i="15"/>
  <c r="C62" i="15"/>
  <c r="J53" i="67"/>
  <c r="L56" i="67"/>
  <c r="I54" i="67"/>
  <c r="J57" i="67"/>
  <c r="J55" i="67"/>
  <c r="J58" i="67"/>
  <c r="Q50" i="67"/>
  <c r="F65" i="15"/>
  <c r="F51" i="15"/>
  <c r="F71" i="15"/>
  <c r="F65" i="67"/>
  <c r="F64" i="67"/>
  <c r="C27" i="15"/>
  <c r="F68" i="15"/>
  <c r="F70" i="67"/>
  <c r="J20" i="15"/>
  <c r="M7" i="15"/>
  <c r="M17" i="15"/>
  <c r="F50" i="15"/>
  <c r="F31" i="67"/>
  <c r="C6" i="67"/>
  <c r="Q71" i="67"/>
  <c r="J57" i="15"/>
  <c r="J55" i="15"/>
  <c r="J58" i="15"/>
  <c r="Q50" i="15"/>
  <c r="I54" i="15"/>
  <c r="J53" i="15"/>
  <c r="C27" i="67"/>
  <c r="F69" i="15"/>
  <c r="J20" i="67"/>
  <c r="F51" i="67"/>
  <c r="F31" i="15"/>
  <c r="C6" i="15"/>
  <c r="F64" i="15"/>
  <c r="Q71" i="15"/>
  <c r="F68" i="67"/>
  <c r="F69" i="67"/>
  <c r="E3" i="6"/>
  <c r="AY6" i="3"/>
  <c r="E66" i="39"/>
  <c r="W26" i="35"/>
  <c r="AC26" i="35"/>
  <c r="Q66" i="71"/>
  <c r="Q67" i="71"/>
  <c r="E431" i="3"/>
  <c r="S26" i="35"/>
  <c r="AA26" i="35"/>
  <c r="C9" i="69"/>
  <c r="M19" i="6"/>
  <c r="K27" i="6"/>
  <c r="D61" i="71"/>
  <c r="U61" i="71"/>
  <c r="C9" i="68"/>
  <c r="K24" i="6"/>
  <c r="M24" i="6"/>
  <c r="I24" i="6"/>
  <c r="S24" i="6"/>
  <c r="K16" i="1"/>
  <c r="D65" i="71"/>
  <c r="U65" i="71"/>
  <c r="E207" i="3"/>
  <c r="C34" i="69"/>
  <c r="T16" i="1"/>
  <c r="O14" i="1"/>
  <c r="P14" i="1"/>
  <c r="P67" i="71"/>
  <c r="D67" i="71"/>
  <c r="P66" i="71"/>
  <c r="E118" i="3"/>
  <c r="W17" i="71"/>
  <c r="F16" i="71"/>
  <c r="F15" i="71"/>
  <c r="F14" i="71"/>
  <c r="F13" i="71"/>
  <c r="B2" i="77"/>
  <c r="B3" i="77"/>
  <c r="C41" i="77"/>
  <c r="F27" i="11"/>
  <c r="F28" i="12"/>
  <c r="C29" i="12"/>
  <c r="D28" i="12"/>
  <c r="F27" i="68"/>
  <c r="F27" i="69"/>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c r="C48" i="69"/>
  <c r="E31" i="6"/>
  <c r="D57" i="71"/>
  <c r="U57" i="71"/>
  <c r="T17" i="71"/>
  <c r="B16" i="71"/>
  <c r="B15" i="71"/>
  <c r="B14" i="71"/>
  <c r="B13" i="71"/>
  <c r="J7" i="21"/>
  <c r="W7" i="21"/>
  <c r="C48" i="11"/>
  <c r="C30" i="11"/>
  <c r="D22" i="71"/>
  <c r="C21" i="71"/>
  <c r="C41" i="43"/>
  <c r="G41" i="43"/>
  <c r="I41" i="43"/>
  <c r="C40" i="43"/>
  <c r="E40" i="43"/>
  <c r="C42" i="43"/>
  <c r="G42" i="43"/>
  <c r="I42" i="43"/>
  <c r="C37" i="43"/>
  <c r="G37" i="43"/>
  <c r="I37" i="43"/>
  <c r="C39" i="43"/>
  <c r="E39" i="43"/>
  <c r="C38" i="43"/>
  <c r="G38" i="43"/>
  <c r="I38" i="43"/>
  <c r="C5" i="43"/>
  <c r="C33" i="43"/>
  <c r="B40" i="1"/>
  <c r="F22" i="11"/>
  <c r="AA10" i="39"/>
  <c r="S10" i="39"/>
  <c r="AB10" i="39"/>
  <c r="U10" i="39"/>
  <c r="AC10" i="40"/>
  <c r="W10" i="40"/>
  <c r="W7" i="34"/>
  <c r="AC7" i="34"/>
  <c r="V49" i="34"/>
  <c r="I49" i="34"/>
  <c r="J7" i="37"/>
  <c r="J7" i="36"/>
  <c r="D65" i="40"/>
  <c r="E63" i="40"/>
  <c r="W7" i="33"/>
  <c r="AC7" i="33"/>
  <c r="V48" i="33"/>
  <c r="I48" i="33"/>
  <c r="J7" i="35"/>
  <c r="W10" i="39"/>
  <c r="AC10" i="39"/>
  <c r="AB10" i="40"/>
  <c r="U10" i="40"/>
  <c r="AA10" i="40"/>
  <c r="S10" i="40"/>
  <c r="F7" i="34"/>
  <c r="H7" i="34"/>
  <c r="F7" i="21"/>
  <c r="H7" i="21"/>
  <c r="H7" i="37"/>
  <c r="F7" i="37"/>
  <c r="H7" i="36"/>
  <c r="F7" i="36"/>
  <c r="D70" i="39"/>
  <c r="E68" i="39"/>
  <c r="F7" i="33"/>
  <c r="H7" i="33"/>
  <c r="H7" i="35"/>
  <c r="F7" i="35"/>
  <c r="C119" i="43"/>
  <c r="D117" i="43"/>
  <c r="C53" i="67"/>
  <c r="C10" i="67"/>
  <c r="C53" i="15"/>
  <c r="C10" i="15"/>
  <c r="C16" i="15"/>
  <c r="C14" i="67"/>
  <c r="C17" i="67"/>
  <c r="C16" i="67"/>
  <c r="C17" i="15"/>
  <c r="C5" i="67"/>
  <c r="C38" i="67"/>
  <c r="J5" i="67"/>
  <c r="J24" i="67"/>
  <c r="C5" i="15"/>
  <c r="C38" i="15"/>
  <c r="F59" i="15"/>
  <c r="M17" i="67"/>
  <c r="E38" i="43"/>
  <c r="F59" i="67"/>
  <c r="C18" i="67"/>
  <c r="C15" i="67"/>
  <c r="C19" i="15"/>
  <c r="C20" i="15"/>
  <c r="C29" i="11"/>
  <c r="D27" i="11"/>
  <c r="C47" i="11"/>
  <c r="D45" i="11"/>
  <c r="C35" i="69"/>
  <c r="C38" i="69"/>
  <c r="Q52" i="67"/>
  <c r="F1" i="67"/>
  <c r="E37" i="43"/>
  <c r="AC7" i="21"/>
  <c r="V48" i="21"/>
  <c r="I48" i="2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L56" i="15"/>
  <c r="Q52" i="15"/>
  <c r="F1" i="15"/>
  <c r="F12" i="71"/>
  <c r="F11" i="71"/>
  <c r="F10" i="71"/>
  <c r="F9" i="71"/>
  <c r="F8" i="71"/>
  <c r="F7" i="71"/>
  <c r="F6" i="71"/>
  <c r="F5" i="71"/>
  <c r="W13" i="71"/>
  <c r="D37" i="11"/>
  <c r="C37" i="11"/>
  <c r="D19" i="11"/>
  <c r="C19" i="11"/>
  <c r="D3" i="37"/>
  <c r="D3" i="33"/>
  <c r="D3" i="21"/>
  <c r="D3" i="34"/>
  <c r="E6" i="6"/>
  <c r="L18" i="9"/>
  <c r="D14" i="12"/>
  <c r="M18" i="9"/>
  <c r="B118" i="9"/>
  <c r="B14" i="74"/>
  <c r="B1" i="74"/>
  <c r="C17" i="4"/>
  <c r="B4" i="52"/>
  <c r="B43" i="72"/>
  <c r="Q60" i="15"/>
  <c r="Q73" i="15"/>
  <c r="Q74" i="15"/>
  <c r="Q61" i="15"/>
  <c r="C49" i="15"/>
  <c r="C48" i="15"/>
  <c r="C66" i="15"/>
  <c r="C20" i="71"/>
  <c r="U21" i="71"/>
  <c r="D21" i="71"/>
  <c r="V21" i="71"/>
  <c r="P6" i="1"/>
  <c r="P16" i="1"/>
  <c r="C11" i="12"/>
  <c r="L16" i="1"/>
  <c r="C34" i="11"/>
  <c r="C34" i="68"/>
  <c r="C47" i="69"/>
  <c r="D45" i="69"/>
  <c r="C29" i="69"/>
  <c r="D27" i="69"/>
  <c r="F45" i="69"/>
  <c r="Q73" i="67"/>
  <c r="Q60" i="67"/>
  <c r="G40" i="43"/>
  <c r="I40" i="43"/>
  <c r="N16" i="1"/>
  <c r="F45" i="68"/>
  <c r="C29" i="68"/>
  <c r="D27" i="68"/>
  <c r="C47" i="68"/>
  <c r="D45" i="68"/>
  <c r="C49" i="67"/>
  <c r="C48" i="67"/>
  <c r="C66" i="67"/>
  <c r="Q61" i="67"/>
  <c r="Q74" i="67"/>
  <c r="J6" i="15"/>
  <c r="F22" i="69"/>
  <c r="F41" i="69"/>
  <c r="G39" i="43"/>
  <c r="I39" i="43"/>
  <c r="E41" i="43"/>
  <c r="E42" i="43"/>
  <c r="F22" i="68"/>
  <c r="C44" i="68"/>
  <c r="D41" i="68"/>
  <c r="F25" i="12"/>
  <c r="T12" i="43"/>
  <c r="V12" i="43"/>
  <c r="T10" i="43"/>
  <c r="V10" i="43"/>
  <c r="T4" i="43"/>
  <c r="V4" i="43"/>
  <c r="T15" i="43"/>
  <c r="V15" i="43"/>
  <c r="T9" i="43"/>
  <c r="V9" i="43"/>
  <c r="T6" i="43"/>
  <c r="V6" i="43"/>
  <c r="T14" i="43"/>
  <c r="V14" i="43"/>
  <c r="T11" i="43"/>
  <c r="V11" i="43"/>
  <c r="T5" i="43"/>
  <c r="V5" i="43"/>
  <c r="T3" i="43"/>
  <c r="V3" i="43"/>
  <c r="T13" i="43"/>
  <c r="V13" i="43"/>
  <c r="T7" i="43"/>
  <c r="V7" i="43"/>
  <c r="T2" i="43"/>
  <c r="V2" i="43"/>
  <c r="T8" i="43"/>
  <c r="V8" i="43"/>
  <c r="T16" i="43"/>
  <c r="V16" i="43"/>
  <c r="C34" i="43"/>
  <c r="E34" i="43"/>
  <c r="F24" i="67"/>
  <c r="C24" i="67"/>
  <c r="F24" i="15"/>
  <c r="C24" i="15"/>
  <c r="U7" i="35"/>
  <c r="AB7" i="35"/>
  <c r="T38" i="35"/>
  <c r="G38" i="35"/>
  <c r="S7" i="33"/>
  <c r="AA7" i="33"/>
  <c r="R48" i="33"/>
  <c r="E70" i="39"/>
  <c r="F68" i="39"/>
  <c r="U7" i="36"/>
  <c r="AB7" i="36"/>
  <c r="T36" i="36"/>
  <c r="G36" i="36"/>
  <c r="U7" i="37"/>
  <c r="AB7" i="37"/>
  <c r="T42" i="37"/>
  <c r="G42" i="37"/>
  <c r="S7" i="21"/>
  <c r="AA7" i="21"/>
  <c r="R48" i="21"/>
  <c r="S7" i="34"/>
  <c r="AA7" i="34"/>
  <c r="R49" i="34"/>
  <c r="I52" i="33"/>
  <c r="J52" i="33"/>
  <c r="AC7" i="37"/>
  <c r="V42" i="37"/>
  <c r="I42" i="37"/>
  <c r="W7" i="37"/>
  <c r="AA7" i="35"/>
  <c r="R38" i="35"/>
  <c r="S7" i="35"/>
  <c r="AB7" i="33"/>
  <c r="T48" i="33"/>
  <c r="G48" i="33"/>
  <c r="U7" i="33"/>
  <c r="AA7" i="36"/>
  <c r="R36" i="36"/>
  <c r="S7" i="36"/>
  <c r="AA7" i="37"/>
  <c r="R42" i="37"/>
  <c r="S7" i="37"/>
  <c r="AB7" i="21"/>
  <c r="T48" i="21"/>
  <c r="G48" i="21"/>
  <c r="U7" i="21"/>
  <c r="AB7" i="34"/>
  <c r="T49" i="34"/>
  <c r="G49" i="34"/>
  <c r="U7" i="34"/>
  <c r="AC7" i="35"/>
  <c r="V38" i="35"/>
  <c r="I38" i="35"/>
  <c r="W7" i="35"/>
  <c r="E65" i="40"/>
  <c r="F63" i="40"/>
  <c r="AC7" i="36"/>
  <c r="V36" i="36"/>
  <c r="I36" i="36"/>
  <c r="W7" i="36"/>
  <c r="I52" i="21"/>
  <c r="J52" i="21"/>
  <c r="I53" i="34"/>
  <c r="J53" i="34"/>
  <c r="E33" i="43"/>
  <c r="C23" i="11"/>
  <c r="C22" i="11"/>
  <c r="C44" i="11"/>
  <c r="D41" i="11"/>
  <c r="C26" i="11"/>
  <c r="D22" i="11"/>
  <c r="C60" i="15"/>
  <c r="C60" i="67"/>
  <c r="J26" i="67"/>
  <c r="J29" i="67"/>
  <c r="C44" i="69"/>
  <c r="D41" i="69"/>
  <c r="C19" i="67"/>
  <c r="C20" i="67"/>
  <c r="C26" i="67"/>
  <c r="E61" i="40"/>
  <c r="D28" i="6"/>
  <c r="D30" i="6"/>
  <c r="D26" i="6"/>
  <c r="H21" i="6"/>
  <c r="D20" i="6"/>
  <c r="D10" i="6"/>
  <c r="H22" i="6"/>
  <c r="D21" i="6"/>
  <c r="R21" i="6"/>
  <c r="D15" i="6"/>
  <c r="D8" i="6"/>
  <c r="D16" i="6"/>
  <c r="H23" i="6"/>
  <c r="D22" i="6"/>
  <c r="R22" i="6"/>
  <c r="D14" i="6"/>
  <c r="M19" i="9"/>
  <c r="C118" i="9"/>
  <c r="C14" i="74"/>
  <c r="B2" i="74"/>
  <c r="L19" i="9"/>
  <c r="H24" i="6"/>
  <c r="D23" i="6"/>
  <c r="D13" i="6"/>
  <c r="D6" i="6"/>
  <c r="H25" i="6"/>
  <c r="D19" i="6"/>
  <c r="D29" i="6"/>
  <c r="D25" i="6"/>
  <c r="D12" i="6"/>
  <c r="H20" i="6"/>
  <c r="D11" i="6"/>
  <c r="H26" i="6"/>
  <c r="D24" i="6"/>
  <c r="R24" i="6"/>
  <c r="D9" i="6"/>
  <c r="D5" i="6"/>
  <c r="H19" i="6"/>
  <c r="H27" i="6"/>
  <c r="C18" i="4"/>
  <c r="C35" i="68"/>
  <c r="C38" i="68"/>
  <c r="C20" i="11"/>
  <c r="C25" i="11"/>
  <c r="C28" i="11"/>
  <c r="C27" i="11"/>
  <c r="C35" i="11"/>
  <c r="C38" i="11"/>
  <c r="C33" i="11"/>
  <c r="F50" i="11"/>
  <c r="F50" i="69"/>
  <c r="F50" i="68"/>
  <c r="C12" i="12"/>
  <c r="C15" i="12"/>
  <c r="C7" i="74"/>
  <c r="C8" i="74"/>
  <c r="I27" i="6"/>
  <c r="S19" i="6"/>
  <c r="S27" i="6"/>
  <c r="D17" i="12"/>
  <c r="C17" i="12"/>
  <c r="C14" i="12"/>
  <c r="B11" i="71"/>
  <c r="E12" i="71"/>
  <c r="C26" i="15"/>
  <c r="D10" i="11"/>
  <c r="C10" i="11"/>
  <c r="D20" i="12"/>
  <c r="C20" i="12"/>
  <c r="C18" i="12"/>
  <c r="D10" i="69"/>
  <c r="D10" i="68"/>
  <c r="C24" i="11"/>
  <c r="J18" i="15"/>
  <c r="J10" i="15"/>
  <c r="J5" i="15"/>
  <c r="C19" i="71"/>
  <c r="D20" i="71"/>
  <c r="C26" i="69"/>
  <c r="D22" i="69"/>
  <c r="C31" i="43"/>
  <c r="C30" i="43"/>
  <c r="B2" i="43"/>
  <c r="C26" i="12"/>
  <c r="D25" i="12"/>
  <c r="C26" i="68"/>
  <c r="D22" i="68"/>
  <c r="C23" i="15"/>
  <c r="C23" i="68"/>
  <c r="C22" i="68"/>
  <c r="F41" i="68"/>
  <c r="I40" i="36"/>
  <c r="J40" i="36"/>
  <c r="I42" i="35"/>
  <c r="J42" i="35"/>
  <c r="G54" i="34"/>
  <c r="H54" i="34"/>
  <c r="G53" i="34"/>
  <c r="H53" i="34"/>
  <c r="G53" i="21"/>
  <c r="H53" i="21"/>
  <c r="G52" i="21"/>
  <c r="H52" i="21"/>
  <c r="E42" i="37"/>
  <c r="I47" i="37"/>
  <c r="J47" i="37"/>
  <c r="R43" i="37"/>
  <c r="E36" i="36"/>
  <c r="R37" i="36"/>
  <c r="G53" i="33"/>
  <c r="H53" i="33"/>
  <c r="G52" i="33"/>
  <c r="H52" i="33"/>
  <c r="E38" i="35"/>
  <c r="R39" i="35"/>
  <c r="I46" i="37"/>
  <c r="J46" i="37"/>
  <c r="F65" i="40"/>
  <c r="G63" i="40"/>
  <c r="R50" i="34"/>
  <c r="E49" i="34"/>
  <c r="R49" i="21"/>
  <c r="E48" i="21"/>
  <c r="G47" i="37"/>
  <c r="H47" i="37"/>
  <c r="G46" i="37"/>
  <c r="H46" i="37"/>
  <c r="G41" i="36"/>
  <c r="H41" i="36"/>
  <c r="G40" i="36"/>
  <c r="H40" i="36"/>
  <c r="F70" i="39"/>
  <c r="G68" i="39"/>
  <c r="R49" i="33"/>
  <c r="E48" i="33"/>
  <c r="G43" i="35"/>
  <c r="H43" i="35"/>
  <c r="G42" i="35"/>
  <c r="H42" i="35"/>
  <c r="C33" i="15"/>
  <c r="C31" i="15"/>
  <c r="C31" i="11"/>
  <c r="B6" i="76"/>
  <c r="E6" i="76"/>
  <c r="C16" i="12"/>
  <c r="C21" i="12"/>
  <c r="C22" i="12"/>
  <c r="C30" i="12"/>
  <c r="C28" i="12"/>
  <c r="C29" i="15"/>
  <c r="Q49" i="15"/>
  <c r="C4" i="52"/>
  <c r="B45" i="72"/>
  <c r="A10" i="51"/>
  <c r="B9" i="72"/>
  <c r="A7" i="51"/>
  <c r="B7" i="72"/>
  <c r="B10" i="71"/>
  <c r="E11" i="71"/>
  <c r="C10" i="68"/>
  <c r="D19" i="68"/>
  <c r="D27" i="6"/>
  <c r="D31" i="6"/>
  <c r="R19" i="6"/>
  <c r="R27" i="6"/>
  <c r="C18" i="71"/>
  <c r="D19" i="71"/>
  <c r="R23" i="6"/>
  <c r="J26" i="15"/>
  <c r="J29" i="15"/>
  <c r="J24" i="15"/>
  <c r="C39" i="11"/>
  <c r="C43" i="11"/>
  <c r="C42" i="11"/>
  <c r="C41" i="11"/>
  <c r="R20" i="6"/>
  <c r="C21" i="9"/>
  <c r="D21" i="9"/>
  <c r="G21" i="9"/>
  <c r="D8" i="74"/>
  <c r="D7" i="74"/>
  <c r="R26" i="6"/>
  <c r="C10" i="69"/>
  <c r="C8" i="69"/>
  <c r="C5" i="69"/>
  <c r="D19" i="69"/>
  <c r="R25" i="6"/>
  <c r="C23" i="67"/>
  <c r="C29" i="67"/>
  <c r="E2" i="76"/>
  <c r="C33" i="67"/>
  <c r="C31" i="67"/>
  <c r="E53" i="33"/>
  <c r="F53" i="33"/>
  <c r="E52" i="33"/>
  <c r="F52" i="33"/>
  <c r="I53" i="33"/>
  <c r="J53" i="33"/>
  <c r="G70" i="39"/>
  <c r="H68" i="39"/>
  <c r="E53" i="21"/>
  <c r="F53" i="21"/>
  <c r="E52" i="21"/>
  <c r="F52" i="21"/>
  <c r="I53" i="21"/>
  <c r="J53" i="21"/>
  <c r="E53" i="34"/>
  <c r="F53" i="34"/>
  <c r="E54" i="34"/>
  <c r="F54" i="34"/>
  <c r="I54" i="34"/>
  <c r="J54" i="34"/>
  <c r="E43" i="35"/>
  <c r="F43" i="35"/>
  <c r="E42" i="35"/>
  <c r="F42" i="35"/>
  <c r="E41" i="36"/>
  <c r="F41" i="36"/>
  <c r="E40" i="36"/>
  <c r="F40" i="36"/>
  <c r="E47" i="37"/>
  <c r="F47" i="37"/>
  <c r="E46" i="37"/>
  <c r="F46" i="37"/>
  <c r="I43" i="35"/>
  <c r="J43" i="35"/>
  <c r="C49" i="33"/>
  <c r="B2" i="33"/>
  <c r="B3" i="33"/>
  <c r="C48" i="33"/>
  <c r="C49" i="21"/>
  <c r="B2" i="21"/>
  <c r="B3" i="21"/>
  <c r="C48" i="21"/>
  <c r="C50" i="34"/>
  <c r="B2" i="34"/>
  <c r="B3" i="34"/>
  <c r="C49" i="34"/>
  <c r="G65" i="40"/>
  <c r="H63" i="40"/>
  <c r="C38" i="35"/>
  <c r="C39" i="35"/>
  <c r="B2" i="35"/>
  <c r="B3" i="35"/>
  <c r="C36" i="36"/>
  <c r="C37" i="36"/>
  <c r="B2" i="36"/>
  <c r="B3" i="36"/>
  <c r="C42" i="37"/>
  <c r="C43" i="37"/>
  <c r="B2" i="37"/>
  <c r="B3" i="37"/>
  <c r="I41" i="36"/>
  <c r="J41" i="36"/>
  <c r="B2" i="76"/>
  <c r="B3" i="43"/>
  <c r="C46" i="11"/>
  <c r="C45" i="11"/>
  <c r="C49" i="11"/>
  <c r="C51" i="11"/>
  <c r="C52" i="11"/>
  <c r="B2" i="11"/>
  <c r="B3" i="11"/>
  <c r="C27" i="12"/>
  <c r="C25" i="12"/>
  <c r="C32" i="12"/>
  <c r="B2" i="12"/>
  <c r="B3" i="12"/>
  <c r="B3" i="76"/>
  <c r="J59" i="15"/>
  <c r="J60" i="15"/>
  <c r="Q48" i="15"/>
  <c r="Q49" i="67"/>
  <c r="C13" i="67"/>
  <c r="Q70" i="67"/>
  <c r="J19" i="67"/>
  <c r="J17" i="67"/>
  <c r="J14" i="67"/>
  <c r="J59" i="67"/>
  <c r="J60" i="67"/>
  <c r="Q48" i="67"/>
  <c r="C36" i="67"/>
  <c r="C57" i="67"/>
  <c r="C61" i="67"/>
  <c r="C59" i="67"/>
  <c r="J19" i="15"/>
  <c r="J17" i="15"/>
  <c r="I6" i="6"/>
  <c r="I5" i="6"/>
  <c r="D37" i="68"/>
  <c r="C37" i="68"/>
  <c r="C33" i="68"/>
  <c r="C19" i="68"/>
  <c r="J14" i="15"/>
  <c r="J13" i="15"/>
  <c r="J23" i="15"/>
  <c r="C13" i="15"/>
  <c r="C75" i="15"/>
  <c r="C19" i="69"/>
  <c r="C20" i="69"/>
  <c r="C25" i="69"/>
  <c r="D37" i="69"/>
  <c r="C37" i="69"/>
  <c r="C33" i="69"/>
  <c r="B9" i="71"/>
  <c r="E10" i="71"/>
  <c r="C57" i="15"/>
  <c r="C61" i="15"/>
  <c r="C59" i="15"/>
  <c r="C36" i="15"/>
  <c r="C23" i="69"/>
  <c r="C22" i="69"/>
  <c r="C17" i="71"/>
  <c r="D18" i="71"/>
  <c r="H70" i="39"/>
  <c r="I68" i="39"/>
  <c r="H65" i="40"/>
  <c r="I63" i="40"/>
  <c r="C56" i="11"/>
  <c r="C57" i="11"/>
  <c r="C28" i="69"/>
  <c r="C27" i="69"/>
  <c r="C31" i="69"/>
  <c r="C56" i="15"/>
  <c r="C65" i="15"/>
  <c r="C37" i="15"/>
  <c r="C30" i="15"/>
  <c r="C39" i="15"/>
  <c r="Q70" i="15"/>
  <c r="C64" i="67"/>
  <c r="C64" i="15"/>
  <c r="C75" i="67"/>
  <c r="C37" i="67"/>
  <c r="C30" i="67"/>
  <c r="C39" i="67"/>
  <c r="C40" i="67"/>
  <c r="Q65" i="67"/>
  <c r="C56" i="67"/>
  <c r="C65" i="67"/>
  <c r="L46" i="15"/>
  <c r="C20" i="68"/>
  <c r="C24" i="68"/>
  <c r="C39" i="68"/>
  <c r="C43" i="68"/>
  <c r="C42" i="68"/>
  <c r="C41" i="68"/>
  <c r="B8" i="71"/>
  <c r="E9" i="71"/>
  <c r="C16" i="71"/>
  <c r="D17" i="71"/>
  <c r="V17" i="71"/>
  <c r="U17" i="71"/>
  <c r="J22" i="15"/>
  <c r="J16" i="15"/>
  <c r="J25" i="15"/>
  <c r="L46" i="67"/>
  <c r="C39" i="69"/>
  <c r="C42" i="69"/>
  <c r="C41" i="69"/>
  <c r="J13" i="67"/>
  <c r="J23" i="67"/>
  <c r="J22" i="67"/>
  <c r="C24" i="69"/>
  <c r="I65" i="40"/>
  <c r="J63" i="40"/>
  <c r="I70" i="39"/>
  <c r="J68" i="39"/>
  <c r="D2" i="67"/>
  <c r="B3" i="67"/>
  <c r="J16" i="67"/>
  <c r="J25" i="67"/>
  <c r="C58" i="15"/>
  <c r="C67" i="15"/>
  <c r="C68" i="15"/>
  <c r="C71" i="15"/>
  <c r="C43" i="67"/>
  <c r="Q47" i="67"/>
  <c r="Q53" i="67"/>
  <c r="Q56" i="67"/>
  <c r="C58" i="67"/>
  <c r="C67" i="67"/>
  <c r="C68" i="67"/>
  <c r="C71" i="67"/>
  <c r="C80" i="67"/>
  <c r="C79" i="67"/>
  <c r="C83" i="67"/>
  <c r="C82" i="67"/>
  <c r="Q69" i="67"/>
  <c r="Q68" i="67"/>
  <c r="C40" i="15"/>
  <c r="C15" i="71"/>
  <c r="D16" i="71"/>
  <c r="B7" i="71"/>
  <c r="E8" i="71"/>
  <c r="C80" i="15"/>
  <c r="C79" i="15"/>
  <c r="C46" i="69"/>
  <c r="C45" i="69"/>
  <c r="C49" i="69"/>
  <c r="C51" i="69"/>
  <c r="C43" i="69"/>
  <c r="C46" i="68"/>
  <c r="C45" i="68"/>
  <c r="C49" i="68"/>
  <c r="C51" i="68"/>
  <c r="Q69" i="15"/>
  <c r="Q68" i="15"/>
  <c r="C28" i="68"/>
  <c r="C27" i="68"/>
  <c r="C31" i="68"/>
  <c r="C25" i="68"/>
  <c r="J70" i="39"/>
  <c r="K68" i="39"/>
  <c r="J65" i="40"/>
  <c r="K63" i="40"/>
  <c r="L51" i="67"/>
  <c r="L51" i="15"/>
  <c r="Q67" i="67"/>
  <c r="L57" i="67"/>
  <c r="L60" i="67"/>
  <c r="Q57" i="67"/>
  <c r="Q62" i="67"/>
  <c r="B2" i="67"/>
  <c r="C46" i="15"/>
  <c r="C45" i="67"/>
  <c r="C46" i="67"/>
  <c r="Q67" i="15"/>
  <c r="L57" i="15"/>
  <c r="L60" i="15"/>
  <c r="D15" i="71"/>
  <c r="C14" i="71"/>
  <c r="C52" i="68"/>
  <c r="B2" i="68"/>
  <c r="B3" i="68"/>
  <c r="B2" i="15"/>
  <c r="B3" i="15"/>
  <c r="C83" i="15"/>
  <c r="C82" i="15"/>
  <c r="Q47" i="15"/>
  <c r="Q53" i="15"/>
  <c r="Q65" i="15"/>
  <c r="Q56" i="15"/>
  <c r="C43" i="15"/>
  <c r="B6" i="71"/>
  <c r="E7" i="71"/>
  <c r="C52" i="69"/>
  <c r="B2" i="69"/>
  <c r="B3" i="69"/>
  <c r="L63" i="40"/>
  <c r="K65" i="40"/>
  <c r="K70" i="39"/>
  <c r="L68" i="39"/>
  <c r="Q66" i="67"/>
  <c r="Q75" i="67"/>
  <c r="C57" i="69"/>
  <c r="C56" i="69"/>
  <c r="Q66" i="15"/>
  <c r="Q75" i="15"/>
  <c r="Q57" i="15"/>
  <c r="Q62" i="15"/>
  <c r="D14" i="71"/>
  <c r="C13" i="71"/>
  <c r="B5" i="71"/>
  <c r="E6" i="71"/>
  <c r="C57" i="68"/>
  <c r="C56" i="68"/>
  <c r="L70" i="39"/>
  <c r="M68" i="39"/>
  <c r="L65" i="40"/>
  <c r="M63" i="40"/>
  <c r="D13" i="71"/>
  <c r="V13" i="71"/>
  <c r="C12" i="71"/>
  <c r="U13" i="71"/>
  <c r="M23" i="43"/>
  <c r="M65" i="40"/>
  <c r="N63" i="40"/>
  <c r="M70" i="39"/>
  <c r="N68" i="39"/>
  <c r="D12" i="71"/>
  <c r="C11" i="71"/>
  <c r="N70" i="39"/>
  <c r="O68" i="39"/>
  <c r="O70" i="39"/>
  <c r="N65" i="40"/>
  <c r="O63" i="40"/>
  <c r="O65" i="40"/>
  <c r="D11" i="71"/>
  <c r="C10" i="71"/>
  <c r="J7" i="40"/>
  <c r="F7" i="40"/>
  <c r="H7" i="40"/>
  <c r="F7" i="39"/>
  <c r="J7" i="39"/>
  <c r="H7" i="39"/>
  <c r="D10" i="71"/>
  <c r="C9" i="71"/>
  <c r="U7" i="39"/>
  <c r="AB7" i="39"/>
  <c r="T47" i="39"/>
  <c r="G47" i="39"/>
  <c r="AA7" i="39"/>
  <c r="R47" i="39"/>
  <c r="S7" i="39"/>
  <c r="S7" i="40"/>
  <c r="AA7" i="40"/>
  <c r="R42" i="40"/>
  <c r="AC7" i="39"/>
  <c r="V47" i="39"/>
  <c r="I47" i="39"/>
  <c r="W7" i="39"/>
  <c r="AB7" i="40"/>
  <c r="T42" i="40"/>
  <c r="G42" i="40"/>
  <c r="U7" i="40"/>
  <c r="W7" i="40"/>
  <c r="AC7" i="40"/>
  <c r="V42" i="40"/>
  <c r="I42" i="40"/>
  <c r="D9" i="71"/>
  <c r="C8" i="71"/>
  <c r="I46" i="40"/>
  <c r="J46" i="40"/>
  <c r="E42" i="40"/>
  <c r="R43" i="40"/>
  <c r="G52" i="39"/>
  <c r="H52" i="39"/>
  <c r="G51" i="39"/>
  <c r="H51" i="39"/>
  <c r="G47" i="40"/>
  <c r="H47" i="40"/>
  <c r="G46" i="40"/>
  <c r="H46" i="40"/>
  <c r="I51" i="39"/>
  <c r="J51" i="39"/>
  <c r="E47" i="39"/>
  <c r="R48" i="39"/>
  <c r="D8" i="71"/>
  <c r="C7" i="71"/>
  <c r="C47" i="39"/>
  <c r="C48" i="39"/>
  <c r="C42" i="40"/>
  <c r="C43" i="40"/>
  <c r="E52" i="39"/>
  <c r="F52" i="39"/>
  <c r="E51" i="39"/>
  <c r="F51" i="39"/>
  <c r="I52" i="39"/>
  <c r="J52" i="39"/>
  <c r="E47" i="40"/>
  <c r="F47" i="40"/>
  <c r="E46" i="40"/>
  <c r="F46" i="40"/>
  <c r="I47" i="40"/>
  <c r="J47" i="40"/>
  <c r="D7" i="71"/>
  <c r="C6" i="71"/>
  <c r="B60" i="40"/>
  <c r="F60" i="40"/>
  <c r="B59" i="40"/>
  <c r="F59" i="40"/>
  <c r="B58" i="40"/>
  <c r="F58" i="40"/>
  <c r="B57" i="40"/>
  <c r="F57" i="40"/>
  <c r="B56" i="40"/>
  <c r="F56" i="40"/>
  <c r="B54" i="40"/>
  <c r="F54" i="40"/>
  <c r="B52" i="40"/>
  <c r="F52" i="40"/>
  <c r="F61" i="40"/>
  <c r="B2" i="40"/>
  <c r="B3" i="40"/>
  <c r="B53" i="40"/>
  <c r="F53" i="40"/>
  <c r="B51" i="40"/>
  <c r="F51" i="40"/>
  <c r="B55" i="40"/>
  <c r="F55" i="40"/>
  <c r="B65" i="39"/>
  <c r="F65" i="39"/>
  <c r="B64" i="39"/>
  <c r="F64" i="39"/>
  <c r="B63" i="39"/>
  <c r="F63" i="39"/>
  <c r="B62" i="39"/>
  <c r="F62" i="39"/>
  <c r="B61" i="39"/>
  <c r="F61" i="39"/>
  <c r="B59" i="39"/>
  <c r="F59" i="39"/>
  <c r="B57" i="39"/>
  <c r="F57" i="39"/>
  <c r="B60" i="39"/>
  <c r="F60" i="39"/>
  <c r="B58" i="39"/>
  <c r="F58" i="39"/>
  <c r="B56" i="39"/>
  <c r="F56" i="39"/>
  <c r="F66" i="39"/>
  <c r="B2" i="39"/>
  <c r="B3" i="39"/>
  <c r="D6" i="71"/>
  <c r="C5" i="71"/>
  <c r="D5" i="71"/>
  <c r="E5" i="71"/>
  <c r="M24" i="43"/>
  <c r="B21" i="72"/>
  <c r="D7" i="53"/>
  <c r="H102" i="9"/>
  <c r="B53" i="72"/>
  <c r="F5" i="52"/>
  <c r="F119" i="9"/>
  <c r="M55" i="9"/>
  <c r="D59" i="9"/>
  <c r="C80" i="9"/>
  <c r="E80" i="9"/>
  <c r="E81" i="9"/>
  <c r="C72" i="9"/>
  <c r="C79" i="9"/>
  <c r="C81" i="9"/>
  <c r="B32" i="72"/>
  <c r="D14" i="53"/>
  <c r="B31" i="72"/>
  <c r="D15" i="53"/>
  <c r="H108" i="9"/>
  <c r="B22" i="72"/>
  <c r="D6" i="53"/>
  <c r="B47" i="72"/>
  <c r="D4" i="52"/>
  <c r="B52" i="72"/>
  <c r="G4" i="52"/>
  <c r="D118" i="9"/>
  <c r="D119" i="9"/>
  <c r="D5" i="52"/>
  <c r="B49" i="72"/>
  <c r="C86" i="9"/>
  <c r="C93" i="9"/>
  <c r="B51" i="72"/>
  <c r="G118" i="9"/>
  <c r="F118" i="9"/>
  <c r="F4" i="52"/>
  <c r="H5" i="52"/>
  <c r="H119" i="9"/>
  <c r="C96" i="9"/>
  <c r="E96" i="9"/>
  <c r="E97" i="9"/>
  <c r="M48" i="9"/>
  <c r="C73" i="9"/>
  <c r="C78" i="9"/>
  <c r="C64" i="9"/>
  <c r="C63" i="9"/>
  <c r="C67" i="9"/>
  <c r="C68" i="9"/>
  <c r="D54" i="9"/>
  <c r="E118" i="9"/>
  <c r="E4" i="52"/>
  <c r="B48" i="72"/>
  <c r="C5" i="74"/>
  <c r="B5" i="74"/>
  <c r="D5" i="74"/>
  <c r="D8" i="52"/>
  <c r="C85" i="9"/>
  <c r="C95" i="9"/>
  <c r="C97" i="9"/>
  <c r="D58" i="9"/>
  <c r="D56" i="9"/>
  <c r="M54" i="9"/>
  <c r="D13" i="53"/>
  <c r="B30" i="72"/>
  <c r="D5" i="53"/>
  <c r="B20" i="72"/>
  <c r="D123" i="9"/>
  <c r="D9" i="52"/>
  <c r="N60" i="9"/>
  <c r="N59" i="9"/>
  <c r="N61" i="9"/>
  <c r="C6" i="74"/>
  <c r="H107" i="9"/>
  <c r="D122" i="9"/>
  <c r="G14" i="74"/>
  <c r="B6" i="74"/>
  <c r="D6" i="74"/>
  <c r="F14" i="74"/>
  <c r="D14" i="74"/>
  <c r="E14" i="74"/>
  <c r="C105" i="9"/>
  <c r="I4" i="52"/>
  <c r="D52" i="9"/>
  <c r="D53" i="9"/>
  <c r="N58" i="9"/>
  <c r="H101" i="9"/>
  <c r="D45" i="9"/>
  <c r="D55" i="9"/>
  <c r="M53" i="9"/>
  <c r="N57" i="9"/>
  <c r="P57"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<sst xmlns="http://schemas.openxmlformats.org/spreadsheetml/2006/main" count="7737" uniqueCount="2656">
  <si>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</si>
  <si>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</si>
  <si>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</si>
  <si>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</si>
  <si>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</si>
  <si>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</si>
  <si>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</si>
  <si>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</si>
  <si>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</si>
  <si>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</si>
  <si>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</si>
  <si>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</si>
  <si>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</si>
  <si>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</si>
  <si>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</si>
  <si>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</si>
  <si>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</si>
  <si>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</si>
  <si>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</si>
  <si>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</si>
  <si>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</si>
  <si>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</si>
  <si>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</si>
  <si>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</si>
  <si>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</si>
  <si>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</si>
  <si>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</si>
  <si>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</si>
  <si>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</si>
  <si>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</si>
  <si>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</si>
  <si>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</si>
  <si>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</si>
  <si>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</si>
  <si>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</si>
  <si>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</si>
  <si>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</si>
  <si>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</si>
  <si>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</si>
  <si>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</si>
  <si>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</si>
  <si>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</si>
  <si>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</si>
  <si>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</si>
  <si>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</si>
  <si>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</si>
  <si>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</si>
  <si>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</si>
  <si>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</si>
  <si>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</si>
  <si>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</si>
  <si>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</si>
  <si>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</si>
  <si>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</si>
  <si>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</si>
  <si>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</si>
  <si>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</si>
  <si>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</si>
  <si>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</si>
  <si>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</si>
  <si>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</si>
  <si>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</si>
  <si>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</si>
  <si>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</si>
  <si>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</si>
  <si>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</si>
  <si>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</si>
  <si>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</si>
  <si>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</si>
  <si>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</si>
  <si>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</si>
  <si>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</si>
  <si>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</si>
  <si>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</si>
  <si>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</si>
  <si>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</si>
  <si>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</si>
  <si>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</si>
  <si>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</si>
  <si>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</si>
  <si>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</si>
  <si>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</si>
  <si>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</si>
  <si>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</si>
  <si>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</si>
  <si>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</si>
  <si>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</si>
  <si>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</si>
  <si>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</si>
  <si>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</si>
  <si>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</si>
  <si>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</si>
  <si>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</si>
  <si>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</si>
  <si>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</si>
  <si>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</si>
  <si>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</si>
  <si>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</si>
  <si>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</si>
  <si>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</si>
  <si>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</si>
  <si>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</si>
  <si>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</si>
  <si>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</si>
  <si>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</si>
  <si>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</si>
  <si>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</si>
  <si>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</si>
  <si>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</si>
  <si>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</si>
  <si>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</si>
  <si>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</si>
  <si>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</si>
  <si>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</si>
  <si>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</si>
  <si>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</si>
  <si>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</si>
  <si>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</si>
  <si>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</si>
  <si>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</si>
  <si>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</si>
  <si>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</si>
  <si>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</si>
  <si>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</si>
  <si>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</si>
  <si>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</si>
  <si>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</si>
  <si>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</si>
  <si>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</si>
  <si>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</si>
  <si>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</si>
  <si>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</si>
  <si>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</si>
  <si>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</si>
  <si>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</si>
  <si>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</si>
  <si>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</si>
  <si>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</si>
  <si>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</si>
  <si>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</si>
  <si>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</si>
  <si>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</si>
  <si>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</si>
  <si>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</si>
  <si>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</si>
  <si>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</si>
  <si>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</si>
  <si>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</si>
  <si>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</si>
  <si>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</si>
  <si>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</si>
  <si>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</si>
  <si>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</si>
  <si>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</si>
  <si>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</si>
  <si>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</si>
  <si>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</si>
  <si>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</si>
  <si>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</si>
  <si>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</si>
  <si>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</si>
  <si>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</si>
  <si>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</si>
  <si>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</si>
  <si>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</si>
  <si>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</si>
  <si>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</si>
  <si>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</si>
  <si>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</si>
  <si>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</si>
  <si>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</si>
  <si>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</si>
  <si>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</si>
  <si>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</si>
  <si>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</si>
  <si>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</si>
  <si>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</si>
  <si>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</si>
  <si>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</si>
  <si>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</si>
  <si>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</si>
  <si>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</si>
  <si>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</si>
  <si>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</si>
  <si>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</si>
  <si>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</si>
  <si>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</si>
  <si>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</si>
  <si>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</si>
  <si>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</si>
  <si>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</si>
  <si>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</si>
  <si>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</si>
  <si>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</si>
  <si>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</si>
  <si>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</si>
  <si>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</si>
  <si>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</si>
  <si>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</si>
  <si>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</si>
  <si>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</si>
  <si>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</si>
  <si>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</si>
  <si>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</si>
  <si>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</si>
  <si>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</si>
  <si>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</si>
  <si>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</si>
  <si>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</si>
  <si>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</si>
  <si>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</si>
  <si>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</si>
  <si>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</si>
  <si>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</si>
  <si>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</si>
  <si>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</si>
  <si>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</si>
  <si>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</si>
  <si>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</si>
  <si>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</si>
  <si>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</si>
  <si>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</si>
  <si>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</si>
  <si>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</si>
  <si>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</si>
  <si>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</si>
  <si>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</si>
  <si>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</si>
  <si>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</si>
  <si>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</si>
  <si>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</si>
  <si>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</si>
  <si>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</si>
  <si>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</si>
  <si>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</si>
  <si>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</si>
  <si>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</si>
  <si>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</si>
  <si>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</si>
  <si>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</si>
  <si>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</si>
  <si>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</si>
  <si>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</si>
  <si>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</si>
  <si>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</si>
  <si>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</si>
  <si>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</si>
  <si>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</si>
  <si>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</si>
  <si>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</si>
  <si>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</si>
  <si>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</si>
  <si>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</si>
  <si>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</si>
  <si>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</si>
  <si>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</si>
  <si>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</si>
  <si>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</si>
  <si>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</si>
  <si>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</si>
  <si>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</si>
  <si>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</si>
  <si>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</si>
  <si>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</si>
  <si>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</si>
  <si>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</si>
  <si>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</si>
  <si>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</si>
  <si>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</si>
  <si>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</si>
  <si>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</si>
  <si>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</si>
  <si>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</si>
  <si>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</si>
  <si>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</si>
  <si>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</si>
  <si>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</si>
  <si>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</si>
  <si>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</si>
  <si>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</si>
  <si>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</si>
  <si>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</si>
  <si>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</si>
  <si>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</si>
  <si>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</si>
  <si>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</si>
  <si>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</si>
  <si>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</si>
  <si>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</si>
  <si>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</si>
  <si>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</si>
  <si>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</si>
  <si>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</si>
  <si>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</si>
  <si>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</si>
  <si>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</si>
  <si>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</si>
  <si>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</si>
  <si>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</si>
  <si>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</si>
  <si>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</si>
  <si>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</si>
  <si>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</si>
  <si>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</si>
  <si>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</si>
  <si>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</si>
  <si>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</si>
  <si>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</si>
  <si>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</si>
  <si>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</si>
  <si>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</si>
  <si>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</si>
  <si>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</si>
  <si>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</si>
  <si>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</si>
  <si>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</si>
  <si>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</si>
  <si>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</si>
  <si>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</si>
  <si>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</si>
  <si>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</si>
  <si>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</si>
  <si>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</si>
  <si>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</si>
  <si>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</si>
  <si>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</si>
  <si>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</si>
  <si>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</si>
  <si>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</si>
  <si>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</si>
  <si>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</si>
  <si>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</si>
  <si>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</si>
  <si>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</si>
  <si>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</si>
  <si>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</si>
  <si>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</si>
  <si>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</si>
  <si>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</si>
  <si>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</si>
  <si>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</si>
  <si>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</si>
  <si>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</si>
  <si>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</si>
  <si>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</si>
  <si>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</si>
  <si>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</si>
  <si>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</si>
  <si>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</si>
  <si>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</si>
  <si>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</si>
  <si>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</si>
  <si>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</si>
  <si>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</si>
  <si>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</si>
  <si>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</si>
  <si>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</si>
  <si>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</si>
  <si>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</si>
  <si>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</si>
  <si>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</si>
  <si>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</si>
  <si>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</si>
  <si>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</si>
  <si>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</si>
  <si>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</si>
  <si>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</si>
  <si>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</si>
  <si>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</si>
  <si>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</si>
  <si>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</si>
  <si>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</si>
  <si>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</si>
  <si>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</si>
  <si>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</si>
  <si>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</si>
  <si>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</si>
  <si>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</si>
  <si>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</si>
  <si>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</si>
  <si>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</si>
  <si>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</si>
  <si>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</si>
  <si>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</si>
  <si>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</si>
  <si>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</si>
  <si>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</si>
  <si>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</si>
  <si>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</si>
  <si>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</si>
  <si>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</si>
  <si>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</si>
  <si>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</si>
  <si>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</si>
  <si>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</si>
  <si>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</si>
  <si>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</si>
  <si>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</si>
  <si>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</si>
  <si>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</si>
  <si>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</si>
  <si>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</si>
  <si>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</si>
  <si>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</si>
  <si>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</si>
  <si>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</si>
  <si>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</si>
  <si>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</si>
  <si>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</si>
  <si>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</si>
  <si>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</si>
  <si>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</si>
  <si>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</si>
  <si>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</si>
  <si>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</si>
  <si>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</si>
  <si>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</si>
  <si>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</si>
  <si>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</si>
  <si>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</si>
  <si>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</si>
  <si>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</si>
  <si>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</si>
  <si>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</si>
  <si>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</si>
  <si>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</si>
  <si>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</si>
  <si>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</si>
  <si>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</si>
  <si>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</si>
  <si>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</si>
  <si>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</si>
  <si>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</si>
  <si>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</si>
  <si>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</si>
  <si>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</si>
  <si>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</si>
  <si>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</si>
  <si>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</si>
  <si>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</si>
  <si>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</si>
  <si>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</si>
  <si>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</si>
  <si>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</si>
  <si>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</si>
  <si>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</si>
  <si>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</si>
  <si>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</si>
  <si>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</si>
  <si>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</si>
  <si>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</si>
  <si>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</si>
  <si>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</si>
  <si>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</si>
  <si>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</si>
  <si>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</si>
  <si>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</si>
  <si>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</si>
  <si>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</si>
  <si>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</si>
  <si>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</si>
  <si>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</si>
  <si>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</si>
  <si>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</si>
  <si>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</si>
  <si>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</si>
  <si>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</si>
  <si>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</si>
  <si>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</si>
  <si>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</si>
  <si>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</si>
  <si>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</si>
  <si>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</si>
  <si>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</si>
  <si>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</si>
  <si>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</si>
  <si>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</si>
  <si>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</si>
  <si>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</si>
  <si>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</si>
  <si>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</si>
  <si>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</si>
  <si>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</si>
  <si>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</si>
  <si>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</si>
  <si>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</si>
  <si>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</si>
  <si>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</si>
  <si>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</si>
  <si>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</si>
  <si>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</si>
  <si>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</si>
  <si>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</si>
  <si>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</si>
  <si>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</si>
  <si>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</si>
  <si>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</si>
  <si>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</si>
  <si>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</si>
  <si>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</si>
  <si>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</si>
  <si>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</si>
  <si>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</si>
  <si>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</si>
  <si>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</si>
  <si>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</si>
  <si>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</si>
  <si>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</si>
  <si>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</si>
  <si>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</si>
  <si>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</si>
  <si>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</si>
  <si>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</si>
  <si>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</si>
  <si>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</si>
  <si>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</si>
  <si>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</si>
  <si>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</si>
  <si>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</si>
  <si>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</si>
  <si>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</si>
  <si>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</si>
  <si>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</si>
  <si>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</si>
  <si>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</si>
  <si>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</si>
  <si>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</si>
  <si>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</si>
  <si>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</si>
  <si>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</si>
  <si>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</si>
  <si>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</si>
  <si>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</si>
  <si>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</si>
  <si>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</si>
  <si>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</si>
  <si>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</si>
  <si>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</si>
  <si>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</si>
  <si>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</si>
  <si>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</si>
  <si>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</si>
  <si>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</si>
  <si>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</si>
  <si>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</si>
  <si>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</si>
  <si>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</si>
  <si>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</si>
  <si>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</si>
  <si>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</si>
  <si>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</si>
  <si>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</si>
  <si>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</si>
  <si>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</si>
  <si>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</si>
  <si>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</si>
  <si>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</si>
  <si>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</si>
  <si>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</si>
  <si>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</si>
  <si>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</si>
  <si>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</si>
  <si>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</si>
  <si>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</si>
  <si>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</si>
  <si>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</si>
  <si>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</si>
  <si>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</si>
  <si>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</si>
  <si>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</si>
  <si>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</si>
  <si>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</si>
  <si>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</si>
  <si>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</si>
  <si>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</si>
  <si>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</si>
  <si>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</si>
  <si>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</si>
  <si>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</si>
  <si>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</si>
  <si>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</si>
  <si>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</si>
  <si>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</si>
  <si>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</si>
  <si>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</si>
  <si>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</si>
  <si>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</si>
  <si>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</si>
  <si>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</si>
  <si>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</si>
  <si>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</si>
  <si>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</si>
  <si>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</si>
  <si>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</si>
  <si>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</si>
  <si>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</si>
  <si>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</si>
  <si>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</si>
  <si>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</si>
  <si>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</si>
  <si>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</si>
  <si>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</si>
  <si>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</si>
  <si>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</si>
  <si>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</si>
  <si>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</si>
  <si>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</si>
  <si>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</si>
  <si>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</si>
  <si>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</si>
  <si>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</si>
  <si>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</si>
  <si>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</si>
  <si>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</si>
  <si>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</si>
  <si>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</si>
  <si>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</si>
  <si>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</si>
  <si>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</si>
  <si>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</si>
  <si>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</si>
  <si>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</si>
  <si>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</si>
  <si>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</si>
  <si>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</si>
  <si>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</si>
  <si>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</si>
  <si>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</si>
  <si>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</si>
  <si>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</si>
  <si>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</si>
  <si>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</si>
  <si>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</si>
  <si>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</si>
  <si>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</si>
  <si>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</si>
  <si>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</si>
  <si>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</si>
  <si>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</si>
  <si>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</si>
  <si>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</si>
  <si>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</si>
  <si>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</si>
  <si>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</si>
  <si>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</si>
  <si>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</si>
  <si>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</si>
  <si>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</si>
  <si>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</si>
  <si>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</si>
  <si>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</si>
  <si>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</si>
  <si>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</si>
  <si>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</si>
  <si>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</si>
  <si>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</si>
  <si>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</si>
  <si>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</si>
  <si>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</si>
  <si>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</si>
  <si>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</si>
  <si>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</si>
  <si>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</si>
  <si>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</si>
  <si>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</si>
  <si>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</si>
  <si>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</si>
  <si>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</si>
  <si>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</si>
  <si>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</si>
  <si>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</si>
  <si>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</si>
  <si>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</si>
  <si>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</si>
  <si>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</si>
  <si>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</si>
  <si>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</si>
  <si>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</si>
  <si>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</si>
  <si>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</si>
  <si>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</si>
  <si>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</si>
  <si>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</si>
  <si>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</si>
  <si>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</si>
  <si>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</si>
  <si>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</si>
  <si>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</si>
  <si>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</si>
  <si>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</si>
  <si>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</si>
  <si>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</si>
  <si>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</si>
  <si>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</si>
  <si>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</si>
  <si>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</si>
  <si>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</si>
  <si>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</si>
  <si>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</si>
  <si>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</si>
  <si>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</si>
  <si>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</si>
  <si>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</si>
  <si>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</si>
  <si>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</si>
  <si>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</si>
  <si>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</si>
  <si>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</si>
  <si>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</si>
  <si>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</si>
  <si>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</si>
  <si>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</si>
  <si>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</si>
  <si>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</si>
  <si>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</si>
  <si>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</si>
  <si>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</si>
  <si>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</si>
  <si>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</si>
  <si>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</si>
  <si>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</si>
  <si>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</si>
  <si>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</si>
  <si>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</si>
  <si>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</si>
  <si>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</si>
  <si>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</si>
  <si>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</si>
  <si>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</si>
  <si>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</si>
  <si>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</si>
  <si>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</si>
  <si>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</si>
  <si>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</si>
  <si>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</si>
  <si>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</si>
  <si>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</si>
  <si>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</si>
  <si>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</si>
  <si>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</si>
  <si>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</si>
  <si>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</si>
  <si>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</si>
  <si>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</si>
  <si>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</si>
  <si>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</si>
  <si>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</si>
  <si>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</si>
  <si>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</si>
  <si>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</si>
  <si>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</si>
  <si>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</si>
  <si>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</si>
  <si>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</si>
  <si>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</si>
  <si>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</si>
  <si>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</si>
  <si>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</si>
  <si>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</si>
  <si>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</si>
  <si>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</si>
  <si>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</si>
  <si>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</si>
  <si>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</si>
  <si>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</si>
  <si>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</si>
  <si>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</si>
  <si>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</si>
  <si>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</si>
  <si>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</si>
  <si>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</si>
  <si>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</si>
  <si>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</si>
  <si>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</si>
  <si>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</si>
  <si>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</si>
  <si>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</si>
  <si>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</si>
  <si>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</si>
  <si>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</si>
  <si>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</si>
  <si>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</si>
  <si>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</si>
  <si>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</si>
  <si>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</si>
  <si>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</si>
  <si>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</si>
  <si>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</si>
  <si>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</si>
  <si>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</si>
  <si>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</si>
  <si>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</si>
  <si>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</si>
  <si>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</si>
  <si>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</si>
  <si>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</si>
  <si>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</si>
  <si>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</si>
  <si>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</si>
  <si>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</si>
  <si>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</si>
  <si>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</si>
  <si>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</si>
  <si>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</si>
  <si>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</si>
  <si>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</si>
  <si>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</si>
  <si>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</si>
  <si>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</si>
  <si>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</si>
  <si>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</si>
  <si>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</si>
  <si>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</si>
  <si>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</si>
  <si>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</si>
  <si>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</si>
  <si>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</si>
  <si>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</si>
  <si>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</si>
  <si>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</si>
  <si>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</si>
  <si>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</si>
  <si>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</si>
  <si>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</si>
  <si>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</si>
  <si>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</si>
  <si>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</si>
  <si>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</si>
  <si>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</si>
  <si>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</si>
  <si>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</si>
  <si>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</si>
  <si>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</si>
  <si>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</si>
  <si>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</si>
  <si>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</si>
  <si>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</si>
  <si>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</si>
  <si>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</si>
  <si>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</si>
  <si>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</si>
  <si>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</si>
  <si>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</si>
  <si>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</si>
  <si>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</si>
  <si>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</si>
  <si>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</si>
  <si>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</si>
  <si>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</si>
  <si>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</si>
  <si>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</si>
  <si>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</si>
  <si>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</si>
  <si>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</si>
  <si>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</si>
  <si>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</si>
  <si>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</si>
  <si>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</si>
  <si>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</si>
  <si>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</si>
  <si>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</si>
  <si>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</si>
  <si>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</si>
  <si>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</si>
  <si>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</si>
  <si>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</si>
  <si>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</si>
  <si>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</si>
  <si>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</si>
  <si>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</si>
  <si>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</si>
  <si>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</si>
  <si>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</si>
  <si>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</si>
  <si>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</si>
  <si>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</si>
  <si>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</si>
  <si>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</si>
  <si>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</si>
  <si>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</si>
  <si>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</si>
  <si>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</si>
  <si>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</si>
  <si>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</si>
  <si>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</si>
  <si>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</si>
  <si>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</si>
  <si>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</si>
  <si>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</si>
  <si>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</si>
  <si>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</si>
  <si>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</si>
  <si>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</si>
  <si>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</si>
  <si>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</si>
  <si>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</si>
  <si>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</si>
  <si>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</si>
  <si>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</si>
  <si>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</si>
  <si>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</si>
  <si>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</si>
  <si>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</si>
  <si>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</si>
  <si>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</si>
  <si>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</si>
  <si>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</si>
  <si>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</si>
  <si>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</si>
  <si>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</si>
  <si>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</si>
  <si>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</si>
  <si>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</si>
  <si>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</si>
  <si>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</si>
  <si>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</si>
  <si>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</si>
  <si>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</si>
  <si>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</si>
  <si>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</si>
  <si>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</si>
  <si>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</si>
  <si>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</si>
  <si>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</si>
  <si>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</si>
  <si>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</si>
  <si>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</si>
  <si>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</si>
  <si>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</si>
  <si>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</si>
  <si>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</si>
  <si>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</si>
  <si>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</si>
  <si>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</si>
  <si>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</si>
  <si>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</si>
  <si>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</si>
  <si>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</si>
  <si>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</si>
  <si>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</si>
  <si>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</si>
  <si>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</si>
  <si>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</si>
  <si>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</si>
  <si>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</si>
  <si>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</si>
  <si>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</si>
  <si>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</si>
  <si>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</si>
  <si>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</si>
  <si>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</si>
  <si>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</si>
  <si>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</si>
  <si>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</si>
  <si>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</si>
  <si>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</si>
  <si>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</si>
  <si>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</si>
  <si>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</si>
  <si>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</si>
  <si>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</si>
  <si>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</si>
  <si>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</si>
  <si>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</si>
  <si>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</si>
  <si>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</si>
  <si>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</si>
  <si>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</si>
  <si>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</si>
  <si>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</si>
  <si>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</si>
  <si>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</si>
  <si>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</si>
  <si>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</si>
  <si>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</si>
  <si>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</si>
  <si>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</si>
  <si>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</si>
  <si>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</si>
  <si>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</si>
  <si>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</si>
  <si>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</si>
  <si>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</si>
  <si>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</si>
  <si>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</si>
  <si>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</si>
  <si>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</si>
  <si>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</si>
  <si>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</si>
  <si>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</si>
  <si>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</si>
  <si>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</si>
  <si>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</si>
  <si>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</si>
  <si>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</si>
  <si>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</si>
  <si>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</si>
  <si>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</si>
  <si>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</si>
  <si>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</si>
  <si>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</si>
  <si>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</si>
  <si>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</si>
  <si>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</si>
  <si>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</si>
  <si>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</si>
  <si>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</si>
  <si>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</si>
  <si>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</si>
  <si>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</si>
  <si>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</si>
  <si>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</si>
  <si>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</si>
  <si>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</si>
  <si>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</si>
  <si>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</si>
  <si>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</si>
  <si>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</si>
  <si>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</si>
  <si>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</si>
  <si>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</si>
  <si>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</si>
  <si>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</si>
  <si>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</si>
  <si>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</si>
  <si>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</si>
  <si>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</si>
  <si>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</si>
  <si>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</si>
  <si>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</si>
  <si>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</si>
  <si>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</si>
  <si>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</si>
  <si>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</si>
  <si>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</si>
  <si>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</si>
  <si>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</si>
  <si>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</si>
  <si>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</si>
  <si>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</si>
  <si>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</si>
  <si>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</si>
  <si>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</si>
  <si>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</si>
  <si>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</si>
  <si>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</si>
  <si>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</si>
  <si>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</si>
  <si>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</si>
  <si>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</si>
  <si>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</si>
  <si>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</si>
  <si>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</si>
  <si>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</si>
  <si>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</si>
  <si>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</si>
  <si>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</si>
  <si>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</si>
  <si>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</si>
  <si>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</si>
  <si>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</si>
  <si>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</si>
  <si>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</si>
  <si>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</si>
  <si>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</si>
  <si>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</si>
  <si>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</si>
  <si>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</si>
  <si>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</si>
  <si>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</si>
  <si>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</si>
  <si>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</si>
  <si>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</si>
  <si>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</si>
  <si>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</si>
  <si>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</si>
  <si>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</si>
  <si>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</si>
  <si>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</si>
  <si>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</si>
  <si>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</si>
  <si>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</si>
  <si>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</si>
  <si>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</si>
  <si>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</si>
  <si>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</si>
  <si>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</si>
  <si>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</si>
  <si>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</si>
  <si>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</si>
  <si>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</si>
  <si>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</si>
  <si>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</si>
  <si>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</si>
  <si>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</si>
  <si>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</si>
  <si>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</si>
  <si>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</si>
  <si>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</si>
  <si>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</si>
  <si>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</si>
  <si>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</si>
  <si>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</si>
  <si>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</si>
  <si>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</si>
  <si>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</si>
  <si>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</si>
  <si>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</si>
  <si>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</si>
  <si>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</si>
  <si>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</si>
  <si>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</si>
  <si>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</si>
  <si>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</si>
  <si>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</si>
  <si>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</si>
  <si>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</si>
  <si>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</si>
  <si>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</si>
  <si>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</si>
  <si>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</si>
  <si>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</si>
  <si>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</si>
  <si>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</si>
  <si>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</si>
  <si>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</si>
  <si>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</si>
  <si>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</si>
  <si>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</si>
  <si>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</si>
  <si>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</si>
  <si>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</si>
  <si>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</si>
  <si>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</si>
  <si>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</si>
  <si>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</si>
  <si>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</si>
  <si>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</si>
  <si>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</si>
  <si>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</si>
  <si>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</si>
  <si>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</si>
  <si>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</si>
  <si>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</si>
  <si>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</si>
  <si>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</si>
  <si>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</si>
  <si>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</si>
  <si>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</si>
  <si>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</si>
  <si>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</si>
  <si>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</si>
  <si>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</si>
  <si>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</si>
  <si>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</si>
  <si>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</si>
  <si>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</si>
  <si>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</si>
  <si>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</si>
  <si>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</si>
  <si>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</si>
  <si>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</si>
  <si>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</si>
  <si>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</si>
  <si>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</si>
  <si>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</si>
  <si>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</si>
  <si>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</si>
  <si>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</si>
  <si>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</si>
  <si>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</si>
  <si>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</si>
  <si>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</si>
  <si>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</si>
  <si>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</si>
  <si>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</si>
  <si>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</si>
  <si>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</si>
  <si>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</si>
  <si>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</si>
  <si>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</si>
  <si>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</si>
  <si>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</si>
  <si>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</si>
  <si>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</si>
  <si>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</si>
  <si>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</si>
  <si>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</si>
  <si>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</si>
  <si>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</si>
  <si>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</si>
  <si>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</si>
  <si>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</si>
  <si>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</si>
  <si>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</si>
  <si>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</si>
  <si>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</si>
  <si>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</si>
  <si>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</si>
  <si>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</si>
  <si>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</si>
  <si>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</si>
  <si>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</si>
  <si>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</si>
  <si>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</si>
  <si>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</si>
  <si>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</si>
  <si>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</si>
  <si>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</si>
  <si>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</si>
  <si>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</si>
  <si>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</si>
  <si>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</si>
  <si>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</si>
  <si>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</si>
  <si>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</si>
  <si>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</si>
  <si>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</si>
  <si>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</si>
  <si>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</si>
  <si>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</si>
  <si>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</si>
  <si>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</si>
  <si>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</si>
  <si>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</si>
  <si>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</si>
  <si>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</si>
  <si>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</si>
  <si>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</si>
  <si>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</si>
  <si>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</si>
  <si>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</si>
  <si>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</si>
  <si>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</si>
  <si>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</si>
  <si>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</si>
  <si>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</si>
  <si>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</si>
  <si>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</si>
  <si>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</si>
  <si>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</si>
  <si>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</si>
  <si>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</si>
  <si>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</si>
  <si>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</si>
  <si>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</si>
  <si>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</si>
  <si>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</si>
  <si>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</si>
  <si>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</si>
  <si>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</si>
  <si>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</si>
  <si>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</si>
  <si>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</si>
  <si>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</si>
  <si>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</si>
  <si>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</si>
  <si>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</si>
  <si>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</si>
  <si>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</si>
  <si>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</si>
  <si>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</si>
  <si>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</si>
  <si>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</si>
  <si>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</si>
  <si>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</si>
  <si>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</si>
  <si>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</si>
  <si>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</si>
  <si>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</si>
  <si>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</si>
  <si>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</si>
  <si>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</si>
  <si>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</si>
  <si>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</si>
  <si>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</si>
  <si>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</si>
  <si>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</si>
  <si>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</si>
  <si>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</si>
  <si>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</si>
  <si>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</si>
  <si>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</si>
  <si>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</si>
  <si>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</si>
  <si>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</si>
  <si>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</si>
  <si>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</si>
  <si>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</si>
  <si>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</si>
  <si>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</si>
  <si>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</si>
  <si>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</si>
  <si>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</si>
  <si>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</si>
  <si>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</si>
  <si>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</si>
  <si>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</si>
  <si>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</si>
  <si>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</si>
  <si>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</si>
  <si>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</si>
  <si>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</si>
  <si>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</si>
  <si>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</si>
  <si>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</si>
  <si>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</si>
  <si>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</si>
  <si>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</si>
  <si>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</si>
  <si>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</si>
  <si>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</si>
  <si>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</si>
  <si>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</si>
  <si>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</si>
  <si>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</si>
  <si>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</si>
  <si>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</si>
  <si>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</si>
  <si>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</si>
  <si>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</si>
  <si>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</si>
  <si>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</si>
  <si>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</si>
  <si>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</si>
  <si>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</si>
  <si>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</si>
  <si>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</si>
  <si>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</si>
  <si>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</si>
  <si>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</si>
  <si>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</si>
  <si>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</si>
  <si>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</si>
  <si>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</si>
  <si>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</si>
  <si>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</si>
  <si>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</si>
  <si>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</si>
  <si>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</si>
  <si>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</si>
  <si>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</si>
  <si>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</si>
  <si>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</si>
  <si>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</si>
  <si>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</si>
  <si>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</si>
  <si>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</si>
  <si>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</si>
  <si>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</si>
  <si>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</si>
  <si>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</si>
  <si>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</si>
  <si>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</si>
  <si>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</si>
  <si>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</si>
  <si>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</si>
  <si>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</si>
  <si>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</si>
  <si>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</si>
  <si>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</si>
  <si>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</si>
  <si>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</si>
  <si>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</si>
  <si>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</si>
  <si>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</si>
  <si>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</si>
  <si>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</si>
  <si>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</si>
  <si>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</si>
  <si>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</si>
  <si>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</si>
  <si>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</si>
  <si>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</si>
  <si>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</si>
  <si>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</si>
  <si>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</si>
  <si>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</si>
  <si>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</si>
  <si>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</si>
  <si>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</si>
  <si>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</si>
  <si>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</si>
  <si>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</si>
  <si>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</si>
  <si>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</si>
  <si>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</si>
  <si>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</si>
  <si>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</si>
  <si>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</si>
  <si>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</si>
  <si>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</si>
  <si>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</si>
  <si>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</si>
  <si>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</si>
  <si>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</si>
  <si>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</si>
  <si>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</si>
  <si>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</si>
  <si>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</si>
  <si>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</si>
  <si>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</si>
  <si>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</si>
  <si>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</si>
  <si>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</si>
  <si>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</si>
  <si>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</si>
  <si>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</si>
  <si>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</si>
  <si>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</si>
  <si>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</si>
  <si>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</si>
  <si>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</si>
  <si>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</si>
  <si>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</si>
  <si>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</si>
  <si>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</si>
  <si>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</si>
  <si>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</si>
  <si>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</si>
  <si>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</si>
  <si>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</si>
  <si>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</si>
  <si>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</si>
  <si>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</si>
  <si>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</si>
  <si>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</si>
  <si>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</si>
  <si>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</si>
  <si>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</si>
  <si>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</si>
  <si>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</si>
  <si>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</si>
  <si>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</si>
  <si>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</si>
  <si>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</si>
  <si>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</si>
  <si>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</si>
  <si>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</si>
  <si>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</si>
  <si>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</si>
  <si>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</si>
  <si>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</si>
  <si>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</si>
  <si>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</si>
  <si>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</si>
  <si>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</si>
  <si>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</si>
  <si>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</si>
  <si>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</si>
  <si>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</si>
  <si>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</si>
  <si>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</si>
  <si>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</si>
  <si>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</si>
  <si>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</si>
  <si>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</si>
  <si>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</si>
  <si>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</si>
  <si>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</si>
  <si>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</si>
  <si>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</si>
  <si>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</si>
  <si>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</si>
  <si>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</si>
  <si>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</si>
  <si>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</si>
  <si>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</si>
  <si>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</si>
  <si>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</si>
  <si>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</si>
  <si>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</si>
  <si>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</si>
  <si>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</si>
  <si>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</si>
  <si>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</si>
  <si>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</si>
  <si>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</si>
  <si>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</si>
  <si>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</si>
  <si>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</si>
  <si>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</si>
  <si>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</si>
  <si>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</si>
  <si>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</si>
  <si>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</si>
  <si>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</si>
  <si>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</si>
  <si>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</si>
  <si>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</si>
  <si>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</si>
  <si>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</si>
  <si>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</si>
  <si>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</si>
  <si>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</si>
  <si>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</si>
  <si>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</si>
  <si>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</si>
  <si>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</si>
  <si>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</si>
  <si>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</si>
  <si>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</si>
  <si>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</si>
  <si>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</si>
  <si>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</si>
  <si>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</si>
  <si>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</si>
  <si>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</si>
  <si>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</si>
  <si>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</si>
  <si>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</si>
  <si>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</si>
  <si>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</si>
  <si>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</si>
  <si>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</si>
  <si>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</si>
  <si>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</si>
  <si>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</si>
  <si>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</si>
  <si>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</si>
  <si>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</si>
  <si>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</si>
  <si>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</si>
  <si>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</si>
  <si>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</si>
  <si>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</si>
  <si>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</si>
  <si>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</si>
  <si>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</si>
  <si>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</si>
  <si>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</si>
  <si>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</si>
  <si>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</si>
  <si>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</si>
  <si>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</si>
  <si>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</si>
  <si>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</si>
  <si>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</si>
  <si>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</si>
  <si>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</si>
  <si>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</si>
  <si>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</si>
  <si>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</si>
  <si>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</si>
  <si>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</si>
  <si>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</si>
  <si>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</si>
  <si>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</si>
  <si>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</si>
  <si>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</si>
  <si>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</si>
  <si>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</si>
  <si>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</si>
  <si>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</si>
  <si>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</si>
  <si>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</si>
  <si>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</si>
  <si>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</si>
  <si>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</si>
  <si>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</si>
  <si>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</si>
  <si>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</si>
  <si>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</si>
  <si>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</si>
  <si>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</si>
  <si>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</si>
  <si>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</si>
  <si>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</si>
  <si>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</si>
  <si>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</si>
  <si>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</si>
  <si>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</si>
  <si>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</si>
  <si>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</si>
  <si>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</si>
  <si>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</si>
  <si>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</si>
  <si>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</si>
  <si>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</si>
  <si>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</si>
  <si>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</si>
  <si>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</si>
  <si>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</si>
  <si>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</si>
  <si>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</si>
  <si>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</si>
  <si>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</si>
  <si>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</si>
  <si>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</si>
  <si>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</si>
  <si>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</si>
  <si>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</si>
  <si>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</si>
  <si>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</si>
  <si>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</si>
  <si>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</si>
  <si>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</si>
  <si>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</si>
  <si>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</si>
  <si>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</si>
  <si>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</si>
  <si>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</si>
  <si>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</si>
  <si>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</si>
  <si>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</si>
  <si>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</si>
  <si>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</si>
  <si>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</si>
  <si>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</si>
  <si>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</si>
  <si>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</si>
  <si>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</si>
  <si>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</si>
  <si>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</si>
  <si>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</si>
  <si>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</si>
  <si>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</si>
  <si>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</si>
  <si>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</si>
  <si>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</si>
  <si>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</si>
  <si>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</si>
  <si>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</si>
  <si>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</si>
  <si>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</si>
  <si>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</si>
  <si>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</si>
  <si>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</si>
  <si>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</si>
  <si>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</si>
  <si>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</si>
  <si>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</si>
  <si>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</si>
  <si>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</si>
  <si>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</si>
  <si>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</si>
  <si>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</si>
  <si>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</si>
  <si>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</si>
  <si>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</si>
  <si>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</si>
  <si>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</si>
  <si>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</si>
  <si>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</si>
  <si>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</si>
  <si>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</si>
  <si>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</si>
  <si>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</si>
  <si>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</si>
  <si>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</si>
  <si>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</si>
  <si>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</si>
  <si>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</si>
  <si>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</si>
  <si>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</si>
  <si>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</si>
  <si>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</si>
  <si>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</si>
  <si>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</si>
  <si>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</si>
  <si>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</si>
  <si>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</si>
  <si>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</si>
  <si>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</si>
  <si>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</si>
  <si>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</si>
  <si>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</si>
  <si>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</si>
  <si>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</si>
  <si>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</si>
  <si>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</si>
  <si>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</si>
  <si>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</si>
  <si>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</si>
  <si>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</si>
  <si>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</si>
  <si>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</si>
  <si>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</si>
  <si>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</si>
  <si>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</si>
  <si>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</si>
  <si>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</si>
  <si>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</si>
  <si>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</si>
  <si>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</si>
  <si>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</si>
  <si>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</si>
  <si>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</si>
  <si>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</si>
  <si>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</si>
  <si>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</si>
  <si>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</si>
  <si>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</si>
  <si>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</si>
  <si>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</si>
  <si>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</si>
  <si>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</si>
  <si>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</si>
  <si>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</si>
  <si>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</si>
  <si>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</si>
  <si>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</si>
  <si>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</si>
  <si>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</si>
  <si>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</si>
  <si>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</si>
  <si>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</si>
  <si>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</si>
  <si>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</si>
  <si>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</si>
  <si>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</si>
  <si>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</si>
  <si>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</si>
  <si>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</si>
  <si>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</si>
  <si>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</si>
  <si>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</si>
  <si>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</si>
  <si>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</si>
  <si>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</si>
  <si>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</si>
  <si>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</si>
  <si>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</si>
  <si>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</si>
  <si>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</si>
  <si>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</si>
  <si>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</si>
  <si>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</si>
  <si>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</si>
  <si>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</si>
  <si>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</si>
  <si>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</si>
  <si>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</si>
  <si>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</si>
  <si>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</si>
  <si>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</si>
  <si>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</si>
  <si>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</si>
  <si>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</si>
  <si>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</si>
  <si>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</si>
  <si>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</si>
  <si>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</si>
  <si>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</si>
  <si>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</si>
  <si>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</si>
  <si>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</si>
  <si>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</si>
  <si>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</si>
  <si>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</si>
  <si>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</si>
  <si>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</si>
  <si>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</si>
  <si>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</si>
  <si>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</si>
  <si>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</si>
  <si>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</si>
  <si>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</si>
  <si>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</si>
  <si>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</si>
  <si>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</si>
  <si>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</si>
  <si>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</si>
  <si>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</si>
  <si>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</si>
  <si>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</si>
  <si>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</si>
  <si>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</si>
  <si>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</si>
  <si>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</si>
  <si>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</si>
  <si>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</si>
  <si>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</si>
  <si>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</si>
  <si>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</si>
  <si>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</si>
  <si>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</si>
  <si>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</si>
  <si>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</si>
  <si>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</si>
  <si>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</si>
  <si>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</si>
  <si>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</si>
  <si>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</si>
  <si>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</si>
  <si>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</si>
  <si>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</si>
  <si>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</si>
  <si>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</si>
  <si>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</si>
  <si>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</si>
  <si>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</si>
  <si>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</si>
  <si>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</si>
  <si>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</si>
  <si>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</si>
  <si>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</si>
  <si>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</si>
  <si>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</si>
  <si>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</si>
  <si>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</si>
  <si>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</si>
  <si>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</si>
  <si>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</si>
  <si>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</si>
  <si>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</si>
  <si>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</si>
  <si>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</si>
  <si>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</si>
  <si>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</si>
  <si>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</si>
  <si>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</si>
  <si>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</si>
  <si>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</si>
  <si>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</si>
  <si>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</si>
  <si>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</si>
  <si>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</si>
  <si>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</si>
  <si>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</si>
  <si>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</si>
  <si>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</si>
  <si>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</si>
  <si>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</si>
  <si>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</si>
  <si>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</si>
  <si>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</si>
  <si>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</si>
  <si>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</si>
  <si>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</si>
  <si>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</si>
  <si>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</si>
  <si>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</si>
  <si>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</si>
  <si>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</si>
  <si>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</si>
  <si>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</si>
  <si>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</si>
  <si>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</si>
  <si>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</si>
  <si>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</si>
  <si>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</si>
  <si>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</si>
  <si>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</si>
  <si>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</si>
  <si>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</si>
  <si>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</si>
  <si>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</si>
  <si>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</si>
  <si>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</si>
  <si>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</si>
  <si>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</si>
  <si>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</si>
  <si>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</si>
  <si>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</si>
  <si>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</si>
  <si>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</si>
  <si>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</si>
  <si>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</si>
  <si>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</si>
  <si>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</si>
  <si>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</si>
  <si>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</si>
  <si>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</si>
  <si>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</si>
  <si>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</si>
  <si>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</si>
  <si>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</si>
  <si>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</si>
  <si>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</si>
  <si>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</si>
  <si>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</si>
  <si>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</si>
  <si>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</si>
  <si>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</si>
  <si>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</si>
  <si>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</si>
  <si>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</si>
  <si>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</si>
  <si>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</si>
  <si>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</si>
  <si>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</si>
  <si>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</si>
  <si>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</si>
  <si>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</si>
  <si>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</si>
  <si>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</si>
  <si>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</si>
  <si>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</si>
  <si>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</si>
  <si>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</si>
  <si>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</si>
  <si>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</si>
  <si>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</si>
  <si>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</si>
  <si>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</si>
  <si>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</si>
  <si>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</si>
  <si>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</si>
  <si>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</si>
  <si>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</si>
  <si>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</si>
  <si>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</si>
  <si>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</si>
  <si>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</si>
  <si>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</si>
  <si>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</si>
  <si>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</si>
  <si>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</si>
  <si>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</si>
  <si>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</si>
  <si>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</si>
  <si>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</si>
  <si>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</si>
  <si>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</si>
  <si>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</si>
  <si>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</si>
  <si>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</si>
  <si>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</si>
  <si>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</si>
  <si>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</si>
  <si>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</si>
  <si>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</si>
  <si>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</si>
  <si>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</si>
  <si>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</si>
  <si>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</si>
  <si>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</si>
  <si>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</si>
  <si>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</si>
  <si>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</si>
  <si>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</si>
  <si>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</si>
  <si>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</si>
  <si>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</si>
  <si>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</si>
  <si>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</si>
  <si>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</si>
  <si>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</si>
  <si>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</si>
  <si>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</si>
  <si>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</si>
  <si>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</si>
  <si>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</si>
  <si>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</si>
  <si>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</si>
  <si>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</si>
  <si>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</si>
  <si>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</si>
  <si>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</si>
  <si>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</si>
  <si>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</si>
  <si>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</si>
  <si>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</si>
  <si>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</si>
  <si>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</si>
  <si>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</si>
  <si>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</si>
  <si>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</si>
  <si>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</si>
  <si>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</si>
  <si>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</si>
  <si>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</si>
  <si>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</si>
  <si>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</si>
  <si>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</si>
  <si>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</si>
  <si>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</si>
  <si>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</si>
  <si>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</si>
  <si>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</si>
  <si>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</si>
  <si>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</si>
  <si>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</si>
  <si>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</si>
  <si>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</si>
  <si>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</si>
  <si>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</si>
  <si>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</si>
  <si>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</si>
  <si>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</si>
  <si>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</si>
  <si>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</si>
  <si>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</si>
  <si>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</si>
  <si>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</si>
  <si>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</si>
  <si>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</si>
  <si>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</si>
  <si>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</si>
  <si>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</si>
  <si>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</si>
  <si>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</si>
  <si>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</si>
  <si>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</si>
  <si>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</si>
  <si>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</si>
  <si>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</si>
  <si>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</si>
  <si>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</si>
  <si>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</si>
  <si>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</si>
  <si>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</si>
  <si>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</si>
  <si>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</si>
  <si>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</si>
  <si>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</si>
  <si>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</si>
  <si>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</si>
  <si>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</si>
  <si>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</si>
  <si>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</si>
  <si>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</si>
  <si>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</si>
  <si>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</si>
  <si>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</si>
  <si>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</si>
  <si>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</si>
  <si>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</si>
  <si>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</si>
  <si>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</si>
  <si>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</si>
  <si>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</si>
  <si>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</si>
  <si>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</si>
  <si>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</si>
  <si>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</si>
  <si>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</si>
  <si>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</si>
  <si>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</si>
  <si>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</si>
  <si>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</si>
  <si>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</si>
  <si>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</si>
  <si>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</si>
  <si>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</si>
  <si>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</si>
  <si>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</si>
  <si>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</si>
  <si>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</si>
  <si>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</si>
  <si>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</si>
  <si>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</si>
  <si>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</si>
  <si>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</si>
  <si>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</si>
  <si>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</si>
  <si>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</si>
  <si>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</si>
  <si>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</si>
  <si>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</si>
  <si>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</si>
  <si>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</si>
  <si>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</si>
  <si>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</si>
  <si>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</si>
  <si>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</si>
  <si>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</si>
  <si>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</si>
  <si>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</si>
  <si>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</si>
  <si>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</si>
  <si>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</si>
  <si>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</si>
  <si>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</si>
  <si>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</si>
  <si>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</si>
  <si>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</si>
  <si>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</si>
  <si>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</si>
  <si>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</si>
  <si>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</si>
  <si>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</si>
  <si>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</si>
  <si>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</si>
  <si>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</si>
  <si>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</si>
  <si>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</si>
  <si>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</si>
  <si>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</si>
  <si>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</si>
  <si>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</si>
  <si>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</si>
  <si>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</si>
  <si>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</si>
  <si>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</si>
  <si>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</si>
  <si>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</si>
  <si>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</si>
  <si>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</si>
  <si>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</si>
  <si>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</si>
  <si>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</si>
  <si>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</si>
  <si>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</si>
  <si>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</si>
  <si>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</si>
  <si>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</si>
  <si>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</si>
  <si>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</si>
  <si>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</si>
  <si>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</si>
  <si>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</si>
  <si>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</si>
  <si>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</si>
  <si>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</si>
  <si>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</si>
  <si>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</si>
  <si>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</si>
  <si>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</si>
  <si>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</si>
  <si>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</si>
  <si>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</si>
  <si>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</si>
  <si>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</si>
  <si>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</si>
  <si>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</si>
  <si>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</si>
  <si>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</si>
  <si>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</si>
  <si>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</si>
  <si>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</si>
  <si>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</si>
  <si>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</si>
  <si>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</si>
  <si>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</si>
  <si>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</si>
  <si>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</si>
  <si>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</si>
  <si>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</si>
  <si>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</si>
  <si>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</si>
  <si>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</si>
  <si>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</si>
  <si>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</si>
  <si>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</si>
  <si>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</si>
  <si>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</si>
  <si>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</si>
  <si>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</si>
  <si>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</si>
  <si>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</si>
  <si>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</si>
  <si>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</si>
  <si>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</si>
  <si>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</si>
  <si>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</si>
  <si>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</si>
  <si>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</si>
  <si>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</si>
  <si>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</si>
  <si>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</si>
  <si>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</si>
  <si>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</si>
  <si>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</si>
  <si>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</si>
  <si>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</si>
  <si>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</si>
  <si>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</si>
  <si>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</si>
  <si>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</si>
  <si>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</si>
  <si>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</si>
  <si>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</si>
  <si>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</si>
  <si>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</si>
  <si>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</si>
  <si>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</si>
  <si>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</si>
  <si>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</si>
  <si>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</si>
  <si>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</si>
  <si>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</si>
  <si>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</si>
  <si>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</si>
  <si>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</si>
  <si>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</si>
  <si>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</si>
  <si>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</si>
  <si>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</si>
  <si>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</si>
  <si>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</si>
  <si>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</si>
  <si>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</si>
  <si>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</si>
  <si>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</si>
  <si>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</si>
  <si>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</si>
  <si>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</si>
  <si>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</si>
  <si>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</si>
  <si>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</si>
  <si>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</si>
  <si>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</si>
  <si>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</si>
  <si>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</si>
  <si>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</si>
  <si>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</si>
  <si>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</si>
  <si>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</si>
  <si>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</si>
  <si>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</si>
  <si>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</si>
  <si>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</si>
  <si>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</si>
  <si>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</si>
  <si>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</si>
  <si>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</si>
  <si>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</si>
  <si>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</si>
  <si>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</si>
  <si>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</si>
  <si>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</si>
  <si>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</si>
  <si>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</si>
  <si>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</si>
  <si>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</si>
  <si>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</si>
  <si>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</si>
  <si>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</si>
  <si>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</si>
  <si>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</si>
  <si>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</si>
  <si>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</si>
  <si>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</si>
  <si>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</si>
  <si>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</si>
  <si>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</si>
  <si>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</si>
  <si>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</si>
  <si>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</si>
  <si>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</si>
  <si>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</si>
  <si>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</si>
  <si>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</si>
  <si>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</si>
  <si>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</si>
  <si>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</si>
  <si>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</si>
  <si>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</si>
  <si>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</si>
  <si>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</si>
  <si>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</si>
  <si>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</si>
  <si>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</si>
  <si>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</si>
  <si>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</si>
  <si>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</si>
  <si>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</si>
  <si>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</si>
  <si>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</si>
  <si>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</si>
  <si>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</si>
  <si>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</si>
  <si>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</si>
  <si>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</si>
  <si>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</si>
  <si>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</si>
  <si>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</si>
  <si>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</si>
  <si>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</si>
  <si>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</si>
  <si>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</si>
  <si>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</si>
  <si>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</si>
  <si>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</si>
  <si>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</si>
  <si>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</si>
  <si>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</si>
  <si>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</si>
  <si>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</si>
  <si>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</si>
  <si>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</si>
  <si>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</si>
  <si>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</si>
  <si>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</si>
  <si>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</si>
  <si>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</si>
  <si>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</si>
  <si>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</si>
  <si>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</si>
  <si>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</si>
  <si>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</si>
  <si>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</si>
  <si>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</si>
  <si>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</si>
  <si>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</si>
  <si>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</si>
  <si>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</si>
  <si>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</si>
  <si>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</si>
  <si>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</si>
  <si>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</si>
  <si>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</si>
  <si>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</si>
  <si>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</si>
  <si>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</si>
  <si>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</si>
  <si>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</si>
  <si>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</si>
  <si>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</si>
  <si>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</si>
  <si>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</si>
  <si>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</si>
  <si>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</si>
  <si>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</si>
  <si>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</si>
  <si>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</si>
  <si>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</si>
  <si>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</si>
  <si>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</si>
  <si>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</si>
  <si>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</si>
  <si>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</si>
  <si>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</si>
  <si>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</si>
  <si>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</si>
  <si>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</si>
  <si>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</si>
  <si>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</si>
  <si>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</si>
  <si>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</si>
  <si>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</si>
  <si>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</si>
  <si>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</si>
  <si>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</si>
  <si>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</si>
  <si>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</si>
  <si>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</si>
  <si>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</si>
  <si>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</si>
  <si>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</si>
  <si>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</si>
  <si>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</si>
  <si>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</si>
  <si>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</si>
  <si>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</si>
  <si>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</si>
  <si>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</si>
  <si>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</si>
  <si>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</si>
  <si>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</si>
  <si>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</si>
  <si>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</si>
  <si>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</si>
  <si>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</si>
  <si>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</si>
  <si>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</si>
  <si>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</si>
  <si>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</si>
  <si>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</si>
  <si>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</si>
  <si>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</si>
  <si>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</si>
  <si>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</si>
  <si>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</si>
  <si>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</si>
  <si>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</si>
  <si>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</si>
  <si>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</si>
  <si>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</si>
  <si>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</si>
  <si>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</si>
  <si>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</si>
  <si>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</si>
  <si>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</si>
  <si>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</si>
  <si>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</si>
  <si>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</si>
  <si>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</si>
  <si>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</si>
  <si>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</si>
  <si>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</si>
  <si>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</si>
  <si>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</si>
  <si>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</si>
  <si>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</si>
  <si>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</si>
  <si>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</si>
  <si>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</si>
  <si>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</si>
  <si>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</si>
  <si>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</si>
  <si>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</si>
  <si>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</si>
  <si>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</si>
  <si>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</si>
  <si>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</si>
  <si>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</si>
  <si>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</si>
  <si>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</si>
  <si>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</si>
  <si>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</si>
  <si>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</si>
  <si>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</si>
  <si>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</si>
  <si>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</si>
  <si>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</si>
  <si>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</si>
  <si>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</si>
  <si>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</si>
  <si>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</si>
  <si>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</si>
  <si>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</si>
  <si>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</si>
  <si>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</si>
  <si>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</si>
  <si>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</si>
  <si>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</si>
  <si>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</si>
  <si>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</si>
  <si>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</si>
  <si>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</si>
  <si>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</si>
  <si>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</si>
  <si>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</si>
  <si>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</si>
  <si>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</si>
  <si>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</si>
  <si>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</si>
  <si>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</si>
  <si>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</si>
  <si>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</si>
  <si>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</si>
  <si>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</si>
  <si>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</si>
  <si>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</si>
  <si>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</si>
  <si>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</si>
  <si>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</si>
  <si>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</si>
  <si>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</si>
  <si>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</si>
  <si>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</si>
  <si>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</si>
  <si>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</si>
  <si>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</si>
  <si>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</si>
  <si>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</si>
  <si>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</si>
  <si>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</si>
  <si>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</si>
  <si>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</si>
  <si>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</si>
  <si>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</si>
  <si>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</si>
  <si>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</si>
  <si>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</si>
  <si>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</si>
  <si>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</si>
  <si>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</si>
  <si>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</si>
  <si>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</si>
  <si>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</si>
  <si>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</si>
  <si>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</si>
  <si>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</si>
  <si>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</si>
  <si>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</si>
  <si>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</si>
  <si>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</si>
  <si>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</si>
  <si>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</si>
  <si>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</si>
  <si>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</si>
  <si>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</si>
  <si>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</si>
  <si>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</si>
  <si>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</si>
  <si>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</si>
  <si>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</si>
  <si>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</si>
  <si>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</si>
  <si>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</si>
  <si>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</si>
  <si>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</si>
  <si>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</si>
  <si>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</si>
  <si>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</si>
  <si>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</si>
  <si>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</si>
  <si>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</si>
  <si>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</si>
  <si>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</si>
  <si>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</si>
  <si>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</si>
  <si>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</si>
  <si>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</si>
  <si>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</si>
  <si>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</si>
  <si>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</si>
  <si>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</si>
  <si>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</si>
  <si>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</si>
  <si>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</si>
  <si>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</si>
  <si>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</si>
  <si>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</si>
  <si>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</si>
  <si>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</si>
  <si>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</si>
  <si>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</si>
  <si>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</si>
  <si>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</si>
  <si>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</si>
  <si>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</si>
  <si>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</si>
  <si>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</si>
  <si>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</si>
  <si>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</si>
  <si>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</si>
  <si>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</si>
  <si>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</si>
  <si>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</si>
  <si>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</si>
  <si>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</si>
  <si>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</si>
  <si>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</si>
  <si>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</si>
  <si>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</si>
  <si>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</si>
  <si>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</si>
  <si>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</si>
  <si>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</si>
  <si>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</si>
  <si>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</si>
  <si>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</si>
  <si>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</si>
  <si>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</si>
  <si>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</si>
  <si>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</si>
  <si>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</si>
  <si>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</si>
  <si>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</si>
  <si>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</si>
  <si>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</si>
  <si>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</si>
  <si>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</si>
  <si>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</si>
  <si>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</si>
  <si>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</si>
  <si>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</si>
  <si>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</si>
  <si>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</si>
  <si>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</si>
  <si>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</si>
  <si>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</si>
  <si>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</si>
  <si>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</si>
  <si>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</si>
  <si>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</si>
  <si>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</si>
  <si>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</si>
  <si>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</si>
  <si>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</si>
  <si>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</si>
  <si>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</si>
  <si>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</si>
  <si>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</si>
  <si>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</si>
  <si>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</si>
  <si>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</si>
  <si>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</si>
  <si>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</si>
  <si>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</si>
  <si>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</si>
  <si>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</si>
  <si>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</si>
  <si>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</si>
  <si>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</si>
  <si>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</si>
  <si>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</si>
  <si>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</si>
  <si>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</si>
  <si>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</si>
  <si>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</si>
  <si>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</si>
  <si>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</si>
  <si>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</si>
  <si>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</si>
  <si>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</si>
  <si>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</si>
  <si>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</si>
  <si>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</si>
  <si>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</si>
  <si>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</si>
  <si>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</si>
  <si>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</si>
  <si>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</si>
  <si>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</si>
  <si>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</si>
  <si>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</si>
  <si>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</si>
  <si>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</si>
  <si>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</si>
  <si>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</si>
  <si>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</si>
  <si>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</si>
  <si>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</si>
  <si>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</si>
  <si>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</si>
  <si>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</si>
  <si>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</si>
  <si>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</si>
  <si>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</si>
  <si>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</si>
  <si>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</si>
  <si>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</si>
  <si>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</si>
  <si>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</si>
  <si>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</si>
  <si>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</si>
  <si>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</si>
  <si>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</si>
  <si>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</si>
  <si>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</si>
  <si>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</si>
  <si>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</si>
  <si>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</si>
  <si>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</si>
  <si>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</si>
  <si>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</si>
  <si>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</si>
  <si>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</si>
  <si>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</si>
  <si>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</si>
  <si>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</si>
  <si>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</si>
  <si>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</si>
  <si>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</si>
  <si>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</si>
  <si>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</si>
  <si>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</si>
  <si>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</si>
  <si>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</si>
  <si>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</si>
  <si>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</si>
  <si>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</si>
  <si>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</si>
  <si>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</si>
  <si>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</si>
  <si>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</si>
  <si>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</si>
  <si>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</si>
  <si>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</si>
  <si>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</si>
  <si>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</si>
  <si>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</si>
  <si>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</si>
  <si>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</si>
  <si>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</si>
  <si>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自然人</t>
  </si>
  <si>
    <t>北京市</t>
  </si>
  <si>
    <t>一般</t>
  </si>
  <si>
    <t>楼层修正</t>
  </si>
  <si>
    <t>不用分区数据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</si>
</sst>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4">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28" fillId="3" borderId="1" xfId="0" applyFont="1" applyFill="1" applyBorder="1" applyAlignment="1" applyProtection="1">
      <alignment horizontal="left" vertical="center" wrapText="1"/>
      <protection locked="0"/>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92" fillId="0" borderId="1" xfId="0" applyNumberFormat="1" applyFont="1" applyBorder="1" applyAlignment="1">
      <alignment horizontal="center" vertical="center" wrapText="1"/>
    </xf>
    <xf numFmtId="0" fontId="56"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0" fontId="112" fillId="0" borderId="0" xfId="0" applyNumberFormat="1" applyFont="1" applyAlignment="1">
      <alignment horizontal="left" vertical="center" wrapText="1"/>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0" fontId="109" fillId="2" borderId="1" xfId="0" applyNumberFormat="1" applyFont="1" applyFill="1" applyBorder="1" applyAlignment="1" applyProtection="1">
      <alignment horizontal="center" vertical="center" wrapText="1"/>
      <protection locked="0"/>
    </xf>
    <xf numFmtId="0" fontId="76" fillId="0" borderId="1" xfId="0" applyNumberFormat="1" applyFont="1" applyBorder="1" applyAlignment="1" applyProtection="1">
      <alignment horizontal="center" vertical="center"/>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6"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76" fillId="2" borderId="1" xfId="0" applyNumberFormat="1" applyFont="1" applyFill="1" applyBorder="1" applyAlignment="1">
      <alignment horizontal="left" vertical="center" wrapText="1"/>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52" fillId="2" borderId="62"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04" xfId="0" applyNumberFormat="1" applyFont="1" applyFill="1" applyBorder="1" applyAlignment="1">
      <alignment horizontal="left" vertical="center"/>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4" xfId="0" applyNumberFormat="1" applyFont="1" applyFill="1" applyBorder="1" applyAlignment="1">
      <alignment horizontal="center" vertical="center"/>
    </xf>
    <xf numFmtId="0" fontId="76" fillId="2" borderId="17"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37" fillId="0" borderId="0" xfId="3" applyNumberFormat="1" applyFont="1" applyAlignment="1">
      <alignment horizontal="left" vertical="center"/>
    </xf>
    <xf numFmtId="0" fontId="33" fillId="0" borderId="0" xfId="3" applyNumberFormat="1" applyFont="1" applyAlignment="1">
      <alignment horizontal="left" vertical="center"/>
    </xf>
    <xf numFmtId="0" fontId="9" fillId="0" borderId="0" xfId="3" applyNumberFormat="1" applyFont="1" applyAlignment="1">
      <alignment horizontal="left" vertical="center"/>
    </xf>
    <xf numFmtId="0" fontId="41" fillId="8" borderId="39" xfId="3" applyNumberFormat="1" applyFont="1" applyFill="1" applyBorder="1" applyAlignment="1">
      <alignment horizontal="left" vertical="center" wrapText="1"/>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2022年12月9日</v>
      </c>
    </row>
    <row r="13" spans="1:2">
      <c r="A13" s="2823" t="s">
        <v>13</v>
      </c>
      <c r="B13" s="2824"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70"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0"/>
      <c r="B54" s="2716" t="s">
        <v>327</v>
      </c>
      <c r="C54" s="2707" t="s">
        <v>328</v>
      </c>
    </row>
    <row r="55" spans="1:4">
      <c r="A55" s="2870"/>
      <c r="B55" s="2716" t="s">
        <v>329</v>
      </c>
      <c r="C55" s="2707" t="s">
        <v>330</v>
      </c>
    </row>
    <row r="56" spans="1:4">
      <c r="A56" s="2870"/>
      <c r="B56" s="2716" t="s">
        <v>331</v>
      </c>
      <c r="C56" s="2707" t="s">
        <v>332</v>
      </c>
    </row>
    <row r="57" spans="1:4">
      <c r="A57" s="2870"/>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Normal="100" workbookViewId="0">
      <selection activeCell="F11" sqref="F11"/>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75" t="str">
        <f>IF(B10="北京市","北京市",C10)&amp;F10&amp;IF(结果表!G1="在建","出让国有建设用地使用权及在建建筑物",IF(结果表!G1="土地","出让国有建设用地使用权",))&amp;B9&amp;"预评估"</f>
        <v>北京市预评估</v>
      </c>
      <c r="C1" s="2876"/>
      <c r="D1" s="2876"/>
      <c r="E1" s="2876"/>
      <c r="F1" s="2876"/>
      <c r="G1" s="2876"/>
      <c r="H1" s="2876"/>
      <c r="I1" s="2877"/>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44904</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88" t="s">
        <v>344</v>
      </c>
      <c r="E8" s="2674"/>
      <c r="F8" s="2675"/>
      <c r="G8" s="2648"/>
      <c r="H8" s="2648"/>
      <c r="I8" s="2648"/>
      <c r="J8" s="2172"/>
      <c r="K8" s="2694"/>
      <c r="L8" s="2035"/>
      <c r="M8" s="2035"/>
      <c r="N8" s="2172"/>
      <c r="O8" s="2035"/>
      <c r="P8" s="2172"/>
      <c r="Q8" s="2172"/>
      <c r="R8" s="2172"/>
    </row>
    <row r="9" spans="1:28">
      <c r="A9" s="2623" t="s">
        <v>345</v>
      </c>
      <c r="B9" s="2624"/>
      <c r="C9" s="2625"/>
      <c r="D9" s="2889"/>
      <c r="E9" s="2624"/>
      <c r="F9" s="2676"/>
      <c r="G9" s="2677"/>
      <c r="H9" s="2677"/>
      <c r="I9" s="2677"/>
      <c r="J9" s="2172"/>
      <c r="K9" s="2693"/>
      <c r="L9" s="2035"/>
      <c r="M9" s="2035"/>
      <c r="N9" s="2172"/>
      <c r="O9" s="2035"/>
      <c r="P9" s="2172"/>
      <c r="Q9" s="2172"/>
      <c r="R9" s="2172"/>
    </row>
    <row r="10" spans="1:28">
      <c r="A10" s="2626" t="s">
        <v>346</v>
      </c>
      <c r="B10" s="2627" t="s">
        <v>2652</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2651</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c r="F13" s="2681"/>
      <c r="G13" s="2636"/>
      <c r="H13" s="2636"/>
      <c r="I13" s="2681"/>
      <c r="J13" s="2172"/>
      <c r="K13" s="2693"/>
      <c r="L13" s="2035"/>
      <c r="M13" s="2035"/>
      <c r="N13" s="2172"/>
      <c r="O13" s="2035"/>
      <c r="P13" s="2172"/>
      <c r="Q13" s="2172"/>
      <c r="R13" s="2172"/>
    </row>
    <row r="14" spans="1:28">
      <c r="A14" s="1612"/>
      <c r="B14" s="2634"/>
      <c r="C14" s="2635" t="s">
        <v>359</v>
      </c>
      <c r="D14" s="2637"/>
      <c r="E14" s="2637">
        <v>40</v>
      </c>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78"/>
      <c r="C16" s="2879"/>
      <c r="D16" s="2880"/>
      <c r="E16" s="1637" t="s">
        <v>362</v>
      </c>
      <c r="F16" s="2881"/>
      <c r="G16" s="2879"/>
      <c r="H16" s="2879"/>
      <c r="I16" s="2880"/>
      <c r="J16" s="2172"/>
      <c r="K16" s="2693"/>
      <c r="L16" s="2035"/>
      <c r="M16" s="2035"/>
      <c r="N16" s="2172"/>
      <c r="O16" s="2035"/>
      <c r="P16" s="2172"/>
      <c r="Q16" s="2172"/>
      <c r="R16" s="2172"/>
    </row>
    <row r="17" spans="1:28">
      <c r="A17" s="1692" t="s">
        <v>363</v>
      </c>
      <c r="B17" s="1614" t="s">
        <v>364</v>
      </c>
      <c r="C17" s="343">
        <f>'数据-汇总表'!E3</f>
        <v>0</v>
      </c>
      <c r="D17" s="1626" t="s">
        <v>365</v>
      </c>
      <c r="E17" s="2882" t="s">
        <v>366</v>
      </c>
      <c r="F17" s="2883"/>
      <c r="G17" s="2883"/>
      <c r="H17" s="2883"/>
      <c r="I17" s="2884"/>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85" t="s">
        <v>369</v>
      </c>
      <c r="F18" s="2886"/>
      <c r="G18" s="2886"/>
      <c r="H18" s="2886"/>
      <c r="I18" s="2887"/>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92" t="s">
        <v>375</v>
      </c>
      <c r="C20" s="2893"/>
      <c r="D20" s="2894" t="s">
        <v>376</v>
      </c>
      <c r="E20" s="2895"/>
      <c r="F20" s="2685" t="s">
        <v>377</v>
      </c>
      <c r="G20" s="2648"/>
      <c r="H20" s="2648"/>
      <c r="I20" s="2648"/>
      <c r="J20" s="2172"/>
      <c r="K20" s="2890"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90"/>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90"/>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1" t="s">
        <v>389</v>
      </c>
      <c r="B27" s="1617" t="s">
        <v>390</v>
      </c>
      <c r="C27" s="2655" t="s">
        <v>391</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1"/>
      <c r="B28" s="1614" t="s">
        <v>392</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1"/>
      <c r="B29" s="1614" t="s">
        <v>393</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2"/>
      <c r="B30" s="1614" t="s">
        <v>394</v>
      </c>
      <c r="C30" s="2896"/>
      <c r="D30" s="2897"/>
      <c r="E30" s="2648"/>
      <c r="F30" s="2648"/>
      <c r="G30" s="2648"/>
      <c r="H30" s="2648"/>
      <c r="I30" s="2648"/>
      <c r="J30" s="2172"/>
      <c r="K30" s="2693"/>
      <c r="L30" s="2035"/>
      <c r="M30" s="2035"/>
      <c r="N30" s="2172"/>
      <c r="O30" s="2035"/>
      <c r="P30" s="2172"/>
      <c r="Q30" s="2172"/>
      <c r="R30" s="2172"/>
      <c r="S30" s="2172"/>
      <c r="T30" s="2172"/>
      <c r="U30" s="2172"/>
      <c r="V30" s="2172"/>
    </row>
    <row r="31" spans="1:28">
      <c r="A31" s="2873" t="s">
        <v>395</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74"/>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74"/>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396</v>
      </c>
      <c r="B34" s="2663"/>
      <c r="C34" s="2663"/>
      <c r="D34" s="2663"/>
      <c r="E34" s="2663"/>
      <c r="F34" s="2663"/>
      <c r="G34" s="2663"/>
      <c r="H34" s="2663"/>
      <c r="I34" s="2648"/>
      <c r="J34" s="2172"/>
      <c r="K34" s="343">
        <f>COUNTIF(B34:H34,"——")</f>
        <v>0</v>
      </c>
      <c r="L34" s="1619" t="s">
        <v>397</v>
      </c>
      <c r="M34" s="1619" t="s">
        <v>398</v>
      </c>
      <c r="N34" s="1619" t="s">
        <v>399</v>
      </c>
      <c r="O34" s="1619" t="s">
        <v>400</v>
      </c>
      <c r="P34" s="1619" t="s">
        <v>401</v>
      </c>
      <c r="Q34" s="1619" t="s">
        <v>402</v>
      </c>
      <c r="R34" s="1619" t="s">
        <v>403</v>
      </c>
      <c r="S34" s="2891" t="s">
        <v>404</v>
      </c>
      <c r="T34" s="1619" t="str">
        <f>NUMBERSTRING(7-K34,1)&amp;"通"</f>
        <v>七通</v>
      </c>
      <c r="U34" s="2172"/>
      <c r="V34" s="2172"/>
    </row>
    <row r="35" spans="1:30">
      <c r="A35" s="2664"/>
      <c r="B35" s="2891" t="s">
        <v>405</v>
      </c>
      <c r="C35" s="2891"/>
      <c r="D35" s="2891"/>
      <c r="E35" s="2891"/>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91"/>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406</v>
      </c>
      <c r="B37" s="1850" t="s">
        <v>243</v>
      </c>
      <c r="C37" s="1850" t="s">
        <v>243</v>
      </c>
      <c r="D37" s="1850"/>
      <c r="E37" s="1850" t="s">
        <v>287</v>
      </c>
      <c r="F37" s="1850"/>
      <c r="G37" s="2648"/>
      <c r="H37" s="2648"/>
      <c r="I37" s="2648"/>
      <c r="J37" s="2172"/>
      <c r="K37" s="2693"/>
      <c r="L37" s="2035"/>
      <c r="M37" s="2035"/>
      <c r="N37" s="2172"/>
      <c r="O37" s="2035"/>
      <c r="P37" s="2172"/>
      <c r="Q37" s="2172"/>
      <c r="R37" s="2172"/>
      <c r="S37" s="2172"/>
      <c r="T37" s="2172"/>
      <c r="U37" s="2172"/>
      <c r="V37" s="2172"/>
    </row>
    <row r="38" spans="1:30">
      <c r="A38" s="2667" t="s">
        <v>407</v>
      </c>
      <c r="B38" s="2668" t="s">
        <v>2242</v>
      </c>
      <c r="C38" s="2668" t="s">
        <v>2291</v>
      </c>
      <c r="D38" s="2668"/>
      <c r="E38" s="2668" t="s">
        <v>409</v>
      </c>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410</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411</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412</v>
      </c>
      <c r="B42" s="343" t="s">
        <v>413</v>
      </c>
      <c r="C42" s="343" t="s">
        <v>414</v>
      </c>
      <c r="D42" s="343" t="s">
        <v>415</v>
      </c>
      <c r="E42" s="343" t="s">
        <v>416</v>
      </c>
      <c r="F42" s="343" t="s">
        <v>417</v>
      </c>
      <c r="G42" s="343" t="s">
        <v>418</v>
      </c>
      <c r="H42" s="343" t="s">
        <v>419</v>
      </c>
      <c r="I42" s="343" t="s">
        <v>420</v>
      </c>
      <c r="J42" s="2698" t="s">
        <v>421</v>
      </c>
      <c r="K42" s="2699" t="s">
        <v>422</v>
      </c>
      <c r="L42" s="2699" t="s">
        <v>423</v>
      </c>
      <c r="M42" s="2699" t="s">
        <v>424</v>
      </c>
      <c r="N42" s="2699" t="s">
        <v>425</v>
      </c>
      <c r="O42" s="2699" t="s">
        <v>426</v>
      </c>
      <c r="P42" s="2699" t="s">
        <v>427</v>
      </c>
      <c r="Q42" s="2703" t="s">
        <v>428</v>
      </c>
      <c r="R42" s="2703" t="s">
        <v>429</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430</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431</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432</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433</v>
      </c>
      <c r="AZ2" s="2571" t="s">
        <v>434</v>
      </c>
      <c r="BA2" s="2495" t="s">
        <v>435</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436</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437</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437</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438</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438</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439</v>
      </c>
      <c r="B7" s="2508" t="s">
        <v>440</v>
      </c>
      <c r="C7" s="2508" t="s">
        <v>413</v>
      </c>
      <c r="D7" s="2509" t="s">
        <v>441</v>
      </c>
      <c r="E7" s="2508" t="s">
        <v>438</v>
      </c>
      <c r="F7" s="2508" t="s">
        <v>442</v>
      </c>
      <c r="G7" s="2521" t="s">
        <v>443</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444</v>
      </c>
      <c r="AV7" s="2563" t="s">
        <v>439</v>
      </c>
      <c r="AW7" s="2496" t="s">
        <v>440</v>
      </c>
      <c r="AX7" s="2563" t="s">
        <v>413</v>
      </c>
      <c r="AY7" s="2504" t="s">
        <v>445</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446</v>
      </c>
      <c r="H8" s="2524" t="s">
        <v>447</v>
      </c>
      <c r="I8" s="2537"/>
      <c r="J8" s="2538"/>
      <c r="K8" s="2538"/>
      <c r="L8" s="2538"/>
      <c r="M8" s="2538"/>
      <c r="N8" s="2538"/>
      <c r="O8" s="2538"/>
      <c r="P8" s="2538"/>
      <c r="Q8" s="2538"/>
      <c r="R8" s="2538"/>
      <c r="S8" s="2538"/>
      <c r="T8" s="2538"/>
      <c r="U8" s="2538"/>
      <c r="V8" s="2546"/>
      <c r="W8" s="2538"/>
      <c r="X8" s="2538"/>
      <c r="Y8" s="2538"/>
      <c r="Z8" s="2538"/>
      <c r="AA8" s="2546"/>
      <c r="AB8" s="2549"/>
      <c r="AC8" s="2540" t="s">
        <v>448</v>
      </c>
      <c r="AD8" s="2550"/>
      <c r="AE8" s="2551"/>
      <c r="AF8" s="2538"/>
      <c r="AG8" s="2538"/>
      <c r="AH8" s="2538"/>
      <c r="AI8" s="2538"/>
      <c r="AJ8" s="2538"/>
      <c r="AK8" s="2538"/>
      <c r="AL8" s="2538"/>
      <c r="AM8" s="2538"/>
      <c r="AN8" s="2538"/>
      <c r="AO8" s="2538"/>
      <c r="AP8" s="2538"/>
      <c r="AQ8" s="2538"/>
      <c r="AR8" s="2538"/>
      <c r="AS8" s="2538"/>
      <c r="AT8" s="2525" t="s">
        <v>449</v>
      </c>
      <c r="AU8" s="2510" t="s">
        <v>450</v>
      </c>
      <c r="AV8" s="2525"/>
      <c r="AW8" s="2518"/>
      <c r="AX8" s="2525"/>
      <c r="AY8" s="2496" t="s">
        <v>438</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451</v>
      </c>
      <c r="I9" s="2539"/>
      <c r="J9" s="2540"/>
      <c r="K9" s="2539"/>
      <c r="L9" s="2540"/>
      <c r="M9" s="2539"/>
      <c r="N9" s="2540"/>
      <c r="O9" s="2539"/>
      <c r="P9" s="2540"/>
      <c r="Q9" s="2539"/>
      <c r="R9" s="2540"/>
      <c r="S9" s="2539"/>
      <c r="T9" s="2540"/>
      <c r="U9" s="2539"/>
      <c r="V9" s="2540"/>
      <c r="W9" s="2539"/>
      <c r="X9" s="2547"/>
      <c r="Y9" s="2539"/>
      <c r="Z9" s="2540"/>
      <c r="AA9" s="2539"/>
      <c r="AB9" s="2540"/>
      <c r="AC9" s="2523" t="s">
        <v>451</v>
      </c>
      <c r="AD9" s="2503" t="s">
        <v>452</v>
      </c>
      <c r="AE9" s="2552"/>
      <c r="AF9" s="2503" t="s">
        <v>453</v>
      </c>
      <c r="AG9" s="2552"/>
      <c r="AH9" s="2503" t="s">
        <v>452</v>
      </c>
      <c r="AI9" s="2552"/>
      <c r="AJ9" s="2503" t="s">
        <v>453</v>
      </c>
      <c r="AK9" s="2552"/>
      <c r="AL9" s="2503" t="s">
        <v>452</v>
      </c>
      <c r="AM9" s="2552"/>
      <c r="AN9" s="2503" t="s">
        <v>453</v>
      </c>
      <c r="AO9" s="2552"/>
      <c r="AP9" s="2503" t="s">
        <v>452</v>
      </c>
      <c r="AQ9" s="2552"/>
      <c r="AR9" s="2503" t="s">
        <v>453</v>
      </c>
      <c r="AS9" s="2564"/>
      <c r="AT9" s="2510"/>
      <c r="AU9" s="2510" t="s">
        <v>454</v>
      </c>
      <c r="AV9" s="2525"/>
      <c r="AW9" s="2518"/>
      <c r="AX9" s="2525"/>
      <c r="AY9" s="2527"/>
      <c r="AZ9" s="2527" t="s">
        <v>446</v>
      </c>
      <c r="BA9" s="2579" t="s">
        <v>455</v>
      </c>
      <c r="BB9" s="2580"/>
      <c r="BC9" s="2581"/>
      <c r="BD9" s="2581"/>
      <c r="BE9" s="2581"/>
      <c r="BF9" s="2581"/>
      <c r="BG9" s="2581"/>
      <c r="BH9" s="2581"/>
      <c r="BI9" s="2581"/>
      <c r="BJ9" s="2581"/>
      <c r="BK9" s="2586"/>
      <c r="BL9" s="2503" t="s">
        <v>456</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457</v>
      </c>
      <c r="AE10" s="2553"/>
      <c r="AF10" s="2503" t="s">
        <v>457</v>
      </c>
      <c r="AG10" s="2553"/>
      <c r="AH10" s="2503" t="s">
        <v>458</v>
      </c>
      <c r="AI10" s="2553"/>
      <c r="AJ10" s="2503" t="s">
        <v>458</v>
      </c>
      <c r="AK10" s="2553"/>
      <c r="AL10" s="2503" t="s">
        <v>459</v>
      </c>
      <c r="AM10" s="2552"/>
      <c r="AN10" s="2503" t="s">
        <v>459</v>
      </c>
      <c r="AO10" s="2552"/>
      <c r="AP10" s="2503" t="s">
        <v>460</v>
      </c>
      <c r="AQ10" s="2552"/>
      <c r="AR10" s="2503" t="s">
        <v>460</v>
      </c>
      <c r="AS10" s="2552"/>
      <c r="AT10" s="2510"/>
      <c r="AU10" s="2510"/>
      <c r="AV10" s="2525"/>
      <c r="AW10" s="2518"/>
      <c r="AX10" s="2525"/>
      <c r="AY10" s="2527"/>
      <c r="AZ10" s="2527"/>
      <c r="BA10" s="2528" t="s">
        <v>451</v>
      </c>
      <c r="BB10" s="2582">
        <f>I9</f>
        <v>0</v>
      </c>
      <c r="BC10" s="2583">
        <f>K9</f>
        <v>0</v>
      </c>
      <c r="BD10" s="2583">
        <f>M9</f>
        <v>0</v>
      </c>
      <c r="BE10" s="2583">
        <f>O9</f>
        <v>0</v>
      </c>
      <c r="BF10" s="2583">
        <f>Q9</f>
        <v>0</v>
      </c>
      <c r="BG10" s="2583">
        <f>S9</f>
        <v>0</v>
      </c>
      <c r="BH10" s="2583">
        <f>U9</f>
        <v>0</v>
      </c>
      <c r="BI10" s="2583">
        <f>W9</f>
        <v>0</v>
      </c>
      <c r="BJ10" s="2583">
        <f>Y9</f>
        <v>0</v>
      </c>
      <c r="BK10" s="2583">
        <f>AA9</f>
        <v>0</v>
      </c>
      <c r="BL10" s="2587" t="s">
        <v>451</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461</v>
      </c>
      <c r="AE11" s="2555"/>
      <c r="AF11" s="2554" t="s">
        <v>461</v>
      </c>
      <c r="AG11" s="2555"/>
      <c r="AH11" s="2554" t="s">
        <v>462</v>
      </c>
      <c r="AI11" s="2559"/>
      <c r="AJ11" s="2554" t="s">
        <v>462</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463</v>
      </c>
      <c r="J12" s="2495" t="s">
        <v>464</v>
      </c>
      <c r="K12" s="2495" t="s">
        <v>463</v>
      </c>
      <c r="L12" s="2495" t="s">
        <v>464</v>
      </c>
      <c r="M12" s="2495" t="s">
        <v>463</v>
      </c>
      <c r="N12" s="2495" t="s">
        <v>464</v>
      </c>
      <c r="O12" s="2495" t="s">
        <v>463</v>
      </c>
      <c r="P12" s="2495" t="s">
        <v>464</v>
      </c>
      <c r="Q12" s="2495" t="s">
        <v>463</v>
      </c>
      <c r="R12" s="2495" t="s">
        <v>464</v>
      </c>
      <c r="S12" s="2495" t="s">
        <v>463</v>
      </c>
      <c r="T12" s="2495" t="s">
        <v>464</v>
      </c>
      <c r="U12" s="2495" t="s">
        <v>463</v>
      </c>
      <c r="V12" s="2548" t="s">
        <v>464</v>
      </c>
      <c r="W12" s="2495" t="s">
        <v>463</v>
      </c>
      <c r="X12" s="2495" t="s">
        <v>464</v>
      </c>
      <c r="Y12" s="2495" t="s">
        <v>463</v>
      </c>
      <c r="Z12" s="2495" t="s">
        <v>464</v>
      </c>
      <c r="AA12" s="2495" t="s">
        <v>463</v>
      </c>
      <c r="AB12" s="2495" t="s">
        <v>464</v>
      </c>
      <c r="AC12" s="2556"/>
      <c r="AD12" s="2505" t="s">
        <v>463</v>
      </c>
      <c r="AE12" s="2495" t="s">
        <v>464</v>
      </c>
      <c r="AF12" s="2495" t="s">
        <v>463</v>
      </c>
      <c r="AG12" s="2495" t="s">
        <v>464</v>
      </c>
      <c r="AH12" s="2495" t="s">
        <v>463</v>
      </c>
      <c r="AI12" s="2495" t="s">
        <v>464</v>
      </c>
      <c r="AJ12" s="2495" t="s">
        <v>463</v>
      </c>
      <c r="AK12" s="2495" t="s">
        <v>464</v>
      </c>
      <c r="AL12" s="2495" t="s">
        <v>463</v>
      </c>
      <c r="AM12" s="2495" t="s">
        <v>464</v>
      </c>
      <c r="AN12" s="2495" t="s">
        <v>463</v>
      </c>
      <c r="AO12" s="2495" t="s">
        <v>464</v>
      </c>
      <c r="AP12" s="2495" t="s">
        <v>463</v>
      </c>
      <c r="AQ12" s="2495" t="s">
        <v>464</v>
      </c>
      <c r="AR12" s="2529" t="s">
        <v>463</v>
      </c>
      <c r="AS12" s="2511" t="s">
        <v>464</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G24" sqref="G24"/>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465</v>
      </c>
      <c r="B1" s="1972"/>
      <c r="C1" s="1972"/>
      <c r="D1" s="1972"/>
      <c r="E1" s="1972"/>
      <c r="F1" s="1972"/>
      <c r="G1" s="1972"/>
      <c r="H1" s="1972"/>
      <c r="I1" s="1972"/>
      <c r="J1" s="1972"/>
      <c r="K1" s="1972"/>
      <c r="L1" s="1972"/>
      <c r="M1" s="1972"/>
      <c r="N1" s="1972"/>
      <c r="O1" s="1972"/>
      <c r="P1" s="1972"/>
    </row>
    <row r="2" spans="1:16" ht="14.4">
      <c r="A2" s="2907" t="s">
        <v>466</v>
      </c>
      <c r="B2" s="2907"/>
      <c r="C2" s="2907"/>
      <c r="D2" s="1856" t="s">
        <v>467</v>
      </c>
      <c r="E2" s="2452" t="s">
        <v>468</v>
      </c>
      <c r="F2" s="2421"/>
      <c r="G2" s="2453"/>
      <c r="H2" s="2454"/>
      <c r="I2" s="2076" t="s">
        <v>469</v>
      </c>
      <c r="J2" s="2421"/>
      <c r="K2" s="2421"/>
      <c r="L2" s="2421"/>
      <c r="M2" s="2421"/>
      <c r="N2" s="1055"/>
      <c r="O2" s="2421"/>
      <c r="P2" s="2421"/>
    </row>
    <row r="3" spans="1:16" ht="14.4">
      <c r="A3" s="2908" t="s">
        <v>470</v>
      </c>
      <c r="B3" s="2908"/>
      <c r="C3" s="2908"/>
      <c r="D3" s="2430" t="e">
        <f>'数据-基础表'!AY6</f>
        <v>#DIV/0!</v>
      </c>
      <c r="E3" s="2430">
        <f>'数据-基础表'!AZ5</f>
        <v>0</v>
      </c>
      <c r="F3" s="2421"/>
      <c r="G3" s="2432"/>
      <c r="H3" s="1936" t="s">
        <v>471</v>
      </c>
      <c r="I3" s="1323" t="e">
        <f>ROUND('数据-基础表'!B3/'数据-基础表'!A3,2)</f>
        <v>#DIV/0!</v>
      </c>
      <c r="J3" s="2421"/>
      <c r="K3" s="2421"/>
      <c r="L3" s="2421"/>
      <c r="M3" s="2421"/>
      <c r="N3" s="1055"/>
      <c r="O3" s="2421"/>
      <c r="P3" s="2421"/>
    </row>
    <row r="4" spans="1:16" ht="14.4">
      <c r="A4" s="2909"/>
      <c r="B4" s="2910"/>
      <c r="C4" s="2911"/>
      <c r="D4" s="2431" t="s">
        <v>467</v>
      </c>
      <c r="E4" s="2455" t="s">
        <v>468</v>
      </c>
      <c r="F4" s="2421"/>
      <c r="G4" s="2456" t="s">
        <v>472</v>
      </c>
      <c r="H4" s="1936" t="s">
        <v>473</v>
      </c>
      <c r="I4" s="1323" t="e">
        <f>ROUND(SUMIF('数据-基础表'!I9:AS9,"地上",'数据-基础表'!I5:AS5)/'数据-基础表'!A3,2)</f>
        <v>#DIV/0!</v>
      </c>
      <c r="J4" s="2421"/>
      <c r="K4" s="2421"/>
      <c r="L4" s="2421"/>
      <c r="M4" s="2421"/>
      <c r="N4" s="1055"/>
      <c r="O4" s="2421"/>
      <c r="P4" s="2421"/>
    </row>
    <row r="5" spans="1:16" ht="14.4">
      <c r="A5" s="2432" t="s">
        <v>474</v>
      </c>
      <c r="B5" s="2912" t="s">
        <v>475</v>
      </c>
      <c r="C5" s="2912"/>
      <c r="D5" s="1936" t="e">
        <f>ROUND($D$3*E5/$E$3,2)</f>
        <v>#DIV/0!</v>
      </c>
      <c r="E5" s="2457">
        <f>SUMIF('数据-基础表'!$11:$11,"住宅",'数据-基础表'!$5:$5)</f>
        <v>0</v>
      </c>
      <c r="F5" s="2421"/>
      <c r="G5" s="2432"/>
      <c r="H5" s="1936" t="s">
        <v>471</v>
      </c>
      <c r="I5" s="1323" t="e">
        <f>ROUND(E31/D31,2)</f>
        <v>#DIV/0!</v>
      </c>
      <c r="J5" s="2421"/>
      <c r="K5" s="2421"/>
      <c r="L5" s="2421"/>
      <c r="M5" s="2421"/>
      <c r="N5" s="2421"/>
      <c r="O5" s="2421"/>
      <c r="P5" s="2421"/>
    </row>
    <row r="6" spans="1:16" ht="14.4">
      <c r="A6" s="2433"/>
      <c r="B6" s="2912" t="s">
        <v>476</v>
      </c>
      <c r="C6" s="2912"/>
      <c r="D6" s="1936" t="e">
        <f>ROUND($D$3*E6/$E$3,2)</f>
        <v>#DIV/0!</v>
      </c>
      <c r="E6" s="2457">
        <f>E3-E5</f>
        <v>0</v>
      </c>
      <c r="F6" s="2421"/>
      <c r="G6" s="2435" t="s">
        <v>477</v>
      </c>
      <c r="H6" s="2434" t="s">
        <v>473</v>
      </c>
      <c r="I6" s="2479" t="e">
        <f>ROUND(F31/D31,2)</f>
        <v>#DIV/0!</v>
      </c>
      <c r="J6" s="2421"/>
      <c r="K6" s="2421"/>
      <c r="L6" s="2421"/>
      <c r="M6" s="2421"/>
      <c r="N6" s="2421"/>
      <c r="O6" s="2421"/>
      <c r="P6" s="2421"/>
    </row>
    <row r="7" spans="1:16" ht="14.4">
      <c r="A7" s="2898"/>
      <c r="B7" s="2899"/>
      <c r="C7" s="2900"/>
      <c r="D7" s="2431" t="s">
        <v>467</v>
      </c>
      <c r="E7" s="2458" t="s">
        <v>478</v>
      </c>
      <c r="F7" s="2421"/>
      <c r="G7" s="2459" t="s">
        <v>479</v>
      </c>
      <c r="H7" s="2460"/>
      <c r="I7" s="2480"/>
      <c r="J7" s="2421"/>
      <c r="K7" s="2421"/>
      <c r="L7" s="2421"/>
      <c r="M7" s="2421"/>
      <c r="N7" s="2421"/>
      <c r="O7" s="2421"/>
      <c r="P7" s="2421"/>
    </row>
    <row r="8" spans="1:16" ht="14.4">
      <c r="A8" s="2432" t="s">
        <v>480</v>
      </c>
      <c r="B8" s="2434" t="s">
        <v>481</v>
      </c>
      <c r="C8" s="1936" t="s">
        <v>482</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483</v>
      </c>
      <c r="D9" s="1936" t="e">
        <f t="shared" si="0"/>
        <v>#DIV/0!</v>
      </c>
      <c r="E9" s="2461">
        <v>0</v>
      </c>
      <c r="F9" s="2421"/>
      <c r="G9" s="2421"/>
      <c r="H9" s="2421"/>
      <c r="I9" s="2421"/>
      <c r="J9" s="2421"/>
      <c r="K9" s="2421"/>
      <c r="L9" s="2421"/>
      <c r="M9" s="2421"/>
      <c r="N9" s="2421"/>
      <c r="O9" s="2421"/>
      <c r="P9" s="2421"/>
    </row>
    <row r="10" spans="1:16" ht="14.4">
      <c r="A10" s="2435"/>
      <c r="B10" s="2436"/>
      <c r="C10" s="1936" t="s">
        <v>484</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485</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486</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487</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488</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489</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490</v>
      </c>
      <c r="D16" s="2434" t="e">
        <f>SUM(D8:D15)</f>
        <v>#DIV/0!</v>
      </c>
      <c r="E16" s="2462">
        <f>SUM(E8:E15)</f>
        <v>0</v>
      </c>
      <c r="F16" s="2421"/>
      <c r="G16" s="2421"/>
      <c r="H16" s="2463" t="s">
        <v>491</v>
      </c>
      <c r="I16" s="2481"/>
      <c r="J16" s="1972"/>
      <c r="K16" s="2901" t="s">
        <v>491</v>
      </c>
      <c r="L16" s="2902"/>
      <c r="M16" s="2902"/>
      <c r="N16" s="2902"/>
      <c r="O16" s="2902"/>
      <c r="P16" s="2903"/>
    </row>
    <row r="17" spans="1:19" ht="14.4">
      <c r="A17" s="2437" t="s">
        <v>492</v>
      </c>
      <c r="B17" s="2438" t="s">
        <v>493</v>
      </c>
      <c r="C17" s="1954" t="s">
        <v>494</v>
      </c>
      <c r="D17" s="2439" t="s">
        <v>467</v>
      </c>
      <c r="E17" s="2464" t="s">
        <v>468</v>
      </c>
      <c r="F17" s="2465"/>
      <c r="G17" s="2466"/>
      <c r="H17" s="2467" t="s">
        <v>495</v>
      </c>
      <c r="I17" s="2482" t="s">
        <v>496</v>
      </c>
      <c r="J17" s="1972"/>
      <c r="K17" s="2904" t="s">
        <v>497</v>
      </c>
      <c r="L17" s="2905"/>
      <c r="M17" s="2906"/>
      <c r="N17" s="2904" t="s">
        <v>498</v>
      </c>
      <c r="O17" s="2905"/>
      <c r="P17" s="2906"/>
      <c r="R17" s="1891" t="s">
        <v>499</v>
      </c>
      <c r="S17" s="1928"/>
    </row>
    <row r="18" spans="1:19" ht="14.4">
      <c r="A18" s="2435"/>
      <c r="B18" s="2440"/>
      <c r="C18" s="1931"/>
      <c r="D18" s="2441"/>
      <c r="E18" s="2468" t="s">
        <v>500</v>
      </c>
      <c r="F18" s="2469" t="s">
        <v>473</v>
      </c>
      <c r="G18" s="2470" t="s">
        <v>501</v>
      </c>
      <c r="H18" s="2398" t="s">
        <v>502</v>
      </c>
      <c r="I18" s="1323" t="s">
        <v>503</v>
      </c>
      <c r="J18" s="1972"/>
      <c r="K18" s="2398" t="s">
        <v>504</v>
      </c>
      <c r="L18" s="2115" t="s">
        <v>505</v>
      </c>
      <c r="M18" s="1323" t="s">
        <v>506</v>
      </c>
      <c r="N18" s="2398" t="s">
        <v>504</v>
      </c>
      <c r="O18" s="2115" t="s">
        <v>505</v>
      </c>
      <c r="P18" s="1323" t="s">
        <v>506</v>
      </c>
      <c r="R18" s="1936" t="s">
        <v>502</v>
      </c>
      <c r="S18" s="1936" t="s">
        <v>503</v>
      </c>
    </row>
    <row r="19" spans="1:19" ht="14.4">
      <c r="A19" s="2442"/>
      <c r="B19" s="2434" t="s">
        <v>507</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507</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507</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507</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507</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507</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507</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507</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508</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509</v>
      </c>
      <c r="C28" s="1928" t="s">
        <v>510</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509</v>
      </c>
      <c r="C29" s="1970" t="s">
        <v>511</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508</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512</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513</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M28" sqref="M28"/>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514</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515</v>
      </c>
      <c r="B2" s="2224">
        <f>项目基本情况!D3</f>
        <v>44904</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516</v>
      </c>
      <c r="B4" s="2230"/>
      <c r="C4" s="2231"/>
      <c r="D4" s="2232"/>
      <c r="E4" s="2231" t="s">
        <v>517</v>
      </c>
      <c r="F4" s="2231"/>
      <c r="G4" s="2231"/>
      <c r="H4" s="2231"/>
      <c r="I4" s="2231"/>
      <c r="J4" s="2329"/>
      <c r="K4" s="2330"/>
      <c r="L4" s="2331"/>
      <c r="M4" s="2231"/>
      <c r="N4" s="2231" t="s">
        <v>518</v>
      </c>
      <c r="O4" s="2231"/>
      <c r="P4" s="2231"/>
      <c r="Q4" s="2231"/>
      <c r="R4" s="2231"/>
      <c r="S4" s="2329"/>
      <c r="T4" s="2354" t="str">
        <f>'数据-汇总表'!I17</f>
        <v>按面积比例</v>
      </c>
      <c r="U4" s="2230" t="s">
        <v>519</v>
      </c>
      <c r="V4" s="2231"/>
      <c r="W4" s="2231"/>
      <c r="X4" s="2231"/>
      <c r="Y4" s="2329"/>
      <c r="Z4" s="2384" t="s">
        <v>520</v>
      </c>
      <c r="AA4" s="2384"/>
      <c r="AB4" s="2384"/>
      <c r="AC4" s="2384"/>
      <c r="AD4" s="2384"/>
      <c r="AE4" s="2396" t="s">
        <v>521</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494</v>
      </c>
      <c r="B5" s="2234" t="s">
        <v>493</v>
      </c>
      <c r="C5" s="2235" t="s">
        <v>522</v>
      </c>
      <c r="D5" s="2236" t="s">
        <v>523</v>
      </c>
      <c r="E5" s="2317" t="s">
        <v>524</v>
      </c>
      <c r="F5" s="2318" t="s">
        <v>525</v>
      </c>
      <c r="G5" s="2317" t="s">
        <v>526</v>
      </c>
      <c r="H5" s="2317" t="s">
        <v>527</v>
      </c>
      <c r="I5" s="2317" t="s">
        <v>528</v>
      </c>
      <c r="J5" s="2332" t="s">
        <v>529</v>
      </c>
      <c r="K5" s="2333" t="s">
        <v>503</v>
      </c>
      <c r="L5" s="2334" t="s">
        <v>530</v>
      </c>
      <c r="M5" s="2343" t="s">
        <v>531</v>
      </c>
      <c r="N5" s="2344" t="s">
        <v>532</v>
      </c>
      <c r="O5" s="2334" t="s">
        <v>533</v>
      </c>
      <c r="P5" s="2345" t="s">
        <v>534</v>
      </c>
      <c r="Q5" s="2355" t="s">
        <v>535</v>
      </c>
      <c r="R5" s="2356" t="s">
        <v>536</v>
      </c>
      <c r="S5" s="2357" t="s">
        <v>537</v>
      </c>
      <c r="T5" s="2358" t="s">
        <v>538</v>
      </c>
      <c r="U5" s="2370" t="s">
        <v>539</v>
      </c>
      <c r="V5" s="2317" t="s">
        <v>540</v>
      </c>
      <c r="W5" s="2317" t="s">
        <v>541</v>
      </c>
      <c r="X5" s="2371"/>
      <c r="Y5" s="2385" t="s">
        <v>542</v>
      </c>
      <c r="Z5" s="2386" t="s">
        <v>539</v>
      </c>
      <c r="AA5" s="2317" t="s">
        <v>540</v>
      </c>
      <c r="AB5" s="2317" t="s">
        <v>541</v>
      </c>
      <c r="AC5" s="2371"/>
      <c r="AD5" s="2371" t="s">
        <v>542</v>
      </c>
      <c r="AE5" s="2370" t="s">
        <v>543</v>
      </c>
      <c r="AF5" s="2317" t="s">
        <v>544</v>
      </c>
      <c r="AG5" s="2385" t="s">
        <v>545</v>
      </c>
      <c r="AH5" s="2370" t="s">
        <v>546</v>
      </c>
      <c r="AI5" s="2386" t="s">
        <v>547</v>
      </c>
      <c r="AJ5" s="2386" t="s">
        <v>548</v>
      </c>
      <c r="AK5" s="2317" t="s">
        <v>549</v>
      </c>
      <c r="AL5" s="2317" t="s">
        <v>550</v>
      </c>
      <c r="AM5" s="2385" t="s">
        <v>551</v>
      </c>
      <c r="AN5" s="2407" t="s">
        <v>552</v>
      </c>
      <c r="AO5" s="2417" t="s">
        <v>553</v>
      </c>
      <c r="AP5" s="2418" t="s">
        <v>554</v>
      </c>
      <c r="AQ5" s="2419" t="s">
        <v>555</v>
      </c>
      <c r="AR5" s="2419" t="s">
        <v>556</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510</v>
      </c>
      <c r="B14" s="2238" t="s">
        <v>509</v>
      </c>
      <c r="C14" s="2242" t="s">
        <v>510</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511</v>
      </c>
      <c r="B15" s="2238" t="s">
        <v>509</v>
      </c>
      <c r="C15" s="2242" t="s">
        <v>557</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512</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558</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559</v>
      </c>
      <c r="B19" s="2255"/>
      <c r="C19" s="2256" t="s">
        <v>560</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561</v>
      </c>
      <c r="B20" s="2258"/>
      <c r="C20" s="2259" t="s">
        <v>562</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563</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564</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565</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566</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567</v>
      </c>
      <c r="B26" s="2264" t="s">
        <v>568</v>
      </c>
      <c r="C26" s="2265" t="s">
        <v>569</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570</v>
      </c>
      <c r="B27" s="2267"/>
      <c r="C27" s="2268" t="s">
        <v>571</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572</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573</v>
      </c>
      <c r="B29" s="2274"/>
      <c r="C29" s="2275" t="s">
        <v>574</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575</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576</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577</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578</v>
      </c>
      <c r="B33" s="2282"/>
      <c r="C33" s="2283" t="s">
        <v>579</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580</v>
      </c>
      <c r="B34" s="2284"/>
      <c r="C34" s="2283" t="s">
        <v>581</v>
      </c>
      <c r="D34" s="2285" t="s">
        <v>582</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583</v>
      </c>
      <c r="B35" s="2271"/>
      <c r="C35" s="2283" t="s">
        <v>584</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585</v>
      </c>
      <c r="B36" s="2286"/>
      <c r="C36" s="2283" t="s">
        <v>586</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587</v>
      </c>
      <c r="B37" s="2287"/>
      <c r="C37" s="2283" t="s">
        <v>588</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589</v>
      </c>
      <c r="B38" s="2284"/>
      <c r="C38" s="2283" t="s">
        <v>588</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590</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591</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592</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593</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594</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595</v>
      </c>
      <c r="B44" s="2299"/>
      <c r="C44" s="2283" t="s">
        <v>596</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597</v>
      </c>
      <c r="B45" s="2295"/>
      <c r="C45" s="2275" t="s">
        <v>598</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599</v>
      </c>
      <c r="B46" s="2295"/>
      <c r="C46" s="2275" t="s">
        <v>600</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601</v>
      </c>
      <c r="B47" s="2301"/>
      <c r="C47" s="2302" t="s">
        <v>602</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603</v>
      </c>
      <c r="B48" s="2304"/>
      <c r="C48" s="2275" t="s">
        <v>598</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604</v>
      </c>
      <c r="B49" s="2295"/>
      <c r="C49" s="2275" t="s">
        <v>605</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606</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607</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608</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609</v>
      </c>
      <c r="B53" s="2310"/>
      <c r="C53" s="2307" t="s">
        <v>610</v>
      </c>
      <c r="D53" s="2311" t="s">
        <v>611</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612</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613</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614</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615</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616</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617</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618</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619</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620</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621</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3" t="s">
        <v>622</v>
      </c>
      <c r="B1" s="2914"/>
      <c r="C1" s="2914"/>
      <c r="D1" s="2914"/>
      <c r="E1" s="2914"/>
      <c r="F1" s="2914"/>
      <c r="G1" s="2914"/>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623</v>
      </c>
      <c r="D2" s="2168"/>
      <c r="E2" s="2165"/>
      <c r="F2" s="2196"/>
      <c r="G2" s="2167" t="s">
        <v>624</v>
      </c>
      <c r="H2" s="1834"/>
      <c r="I2" s="1834"/>
      <c r="J2" s="1834"/>
      <c r="K2" s="1834"/>
      <c r="L2" s="1834"/>
      <c r="M2" s="1834"/>
      <c r="N2" s="1834"/>
      <c r="O2" s="1834"/>
      <c r="P2" s="1834"/>
      <c r="Q2" s="1834"/>
    </row>
    <row r="3" spans="1:29" ht="48">
      <c r="A3" s="2169" t="s">
        <v>625</v>
      </c>
      <c r="B3" s="2170" t="s">
        <v>626</v>
      </c>
      <c r="C3" s="2171" t="s">
        <v>627</v>
      </c>
      <c r="D3" s="2172"/>
      <c r="E3" s="2173" t="s">
        <v>625</v>
      </c>
      <c r="F3" s="2197" t="s">
        <v>628</v>
      </c>
      <c r="G3" s="2198" t="s">
        <v>629</v>
      </c>
      <c r="H3" s="1834"/>
      <c r="I3" s="1834"/>
      <c r="J3" s="1834"/>
      <c r="K3" s="1834"/>
      <c r="L3" s="1834"/>
      <c r="M3" s="1834"/>
      <c r="N3" s="1834"/>
      <c r="O3" s="1834"/>
      <c r="P3" s="1834"/>
      <c r="Q3" s="1834"/>
    </row>
    <row r="4" spans="1:29" ht="37.200000000000003">
      <c r="A4" s="2173"/>
      <c r="B4" s="1619" t="s">
        <v>630</v>
      </c>
      <c r="C4" s="2174" t="s">
        <v>631</v>
      </c>
      <c r="D4" s="2172"/>
      <c r="E4" s="2199"/>
      <c r="F4" s="1829" t="s">
        <v>632</v>
      </c>
      <c r="G4" s="2174" t="s">
        <v>633</v>
      </c>
      <c r="H4" s="1834"/>
      <c r="I4" s="1834"/>
      <c r="J4" s="1834"/>
      <c r="K4" s="1834"/>
      <c r="L4" s="1834"/>
      <c r="M4" s="1834"/>
      <c r="N4" s="1834"/>
      <c r="O4" s="1834"/>
      <c r="P4" s="1834"/>
      <c r="Q4" s="1834"/>
    </row>
    <row r="5" spans="1:29" ht="37.200000000000003">
      <c r="A5" s="2173"/>
      <c r="B5" s="1619" t="s">
        <v>634</v>
      </c>
      <c r="C5" s="2174" t="s">
        <v>635</v>
      </c>
      <c r="D5" s="2172"/>
      <c r="E5" s="2199"/>
      <c r="F5" s="1619" t="s">
        <v>457</v>
      </c>
      <c r="G5" s="2174" t="s">
        <v>636</v>
      </c>
      <c r="H5" s="1834"/>
      <c r="I5" s="1834"/>
      <c r="J5" s="1834"/>
      <c r="K5" s="1834"/>
      <c r="L5" s="1834"/>
      <c r="M5" s="1834"/>
      <c r="N5" s="1834"/>
      <c r="O5" s="1834"/>
      <c r="P5" s="1834"/>
      <c r="Q5" s="1834"/>
    </row>
    <row r="6" spans="1:29" ht="48">
      <c r="A6" s="2173"/>
      <c r="B6" s="1619" t="s">
        <v>632</v>
      </c>
      <c r="C6" s="2174" t="s">
        <v>633</v>
      </c>
      <c r="D6" s="2172"/>
      <c r="E6" s="2199"/>
      <c r="F6" s="1619" t="s">
        <v>637</v>
      </c>
      <c r="G6" s="2174" t="s">
        <v>638</v>
      </c>
      <c r="H6" s="1834"/>
      <c r="I6" s="1834"/>
      <c r="J6" s="1834"/>
      <c r="K6" s="1834"/>
      <c r="L6" s="1834"/>
      <c r="M6" s="1834"/>
      <c r="N6" s="1834"/>
      <c r="O6" s="1834"/>
      <c r="P6" s="1834"/>
      <c r="Q6" s="1834"/>
    </row>
    <row r="7" spans="1:29" ht="36">
      <c r="A7" s="2173"/>
      <c r="B7" s="1619" t="s">
        <v>457</v>
      </c>
      <c r="C7" s="2174" t="s">
        <v>636</v>
      </c>
      <c r="D7" s="2172"/>
      <c r="E7" s="2200"/>
      <c r="F7" s="2201" t="s">
        <v>639</v>
      </c>
      <c r="G7" s="2202" t="s">
        <v>640</v>
      </c>
      <c r="H7" s="1834"/>
      <c r="I7" s="1834"/>
      <c r="J7" s="1834"/>
      <c r="K7" s="1834"/>
      <c r="L7" s="1834"/>
      <c r="M7" s="1834"/>
      <c r="N7" s="1834"/>
      <c r="O7" s="1834"/>
      <c r="P7" s="1834"/>
      <c r="Q7" s="1834"/>
    </row>
    <row r="8" spans="1:29" ht="24">
      <c r="A8" s="2173"/>
      <c r="B8" s="1619" t="s">
        <v>637</v>
      </c>
      <c r="C8" s="2174" t="s">
        <v>638</v>
      </c>
      <c r="D8" s="2172"/>
      <c r="E8" s="2172"/>
      <c r="F8" s="333"/>
      <c r="G8" s="333"/>
      <c r="H8" s="1834"/>
      <c r="I8" s="1834"/>
      <c r="J8" s="1834"/>
      <c r="K8" s="1834"/>
      <c r="L8" s="1834"/>
      <c r="M8" s="1834"/>
      <c r="N8" s="1834"/>
      <c r="O8" s="1834"/>
      <c r="P8" s="1834"/>
      <c r="Q8" s="1834"/>
    </row>
    <row r="9" spans="1:29" ht="24">
      <c r="A9" s="2173"/>
      <c r="B9" s="1619" t="s">
        <v>641</v>
      </c>
      <c r="C9" s="2174" t="s">
        <v>642</v>
      </c>
      <c r="D9" s="2172"/>
      <c r="E9" s="2172"/>
      <c r="F9" s="333"/>
      <c r="G9" s="333"/>
      <c r="H9" s="1834"/>
      <c r="I9" s="1834"/>
      <c r="J9" s="1834"/>
      <c r="K9" s="1834"/>
      <c r="L9" s="1834"/>
      <c r="M9" s="1834"/>
      <c r="N9" s="1834"/>
      <c r="O9" s="1834"/>
      <c r="P9" s="1834"/>
      <c r="Q9" s="1834"/>
    </row>
    <row r="10" spans="1:29">
      <c r="A10" s="2175"/>
      <c r="B10" s="2176" t="s">
        <v>643</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644</v>
      </c>
      <c r="B13" s="2179"/>
      <c r="C13" s="2179"/>
      <c r="D13" s="2178"/>
      <c r="E13" s="2179"/>
      <c r="F13" s="2179"/>
      <c r="G13" s="2179"/>
    </row>
    <row r="14" spans="1:29">
      <c r="A14" s="2181"/>
      <c r="B14" s="2181"/>
      <c r="C14" s="2182" t="s">
        <v>623</v>
      </c>
      <c r="D14" s="2172"/>
      <c r="E14" s="2204"/>
      <c r="F14" s="2204"/>
      <c r="G14" s="2167" t="s">
        <v>624</v>
      </c>
    </row>
    <row r="15" spans="1:29" ht="52.8">
      <c r="A15" s="2183" t="s">
        <v>625</v>
      </c>
      <c r="B15" s="2184" t="s">
        <v>626</v>
      </c>
      <c r="C15" s="2185" t="str">
        <f>C3</f>
        <v>估价对象周边居住用地比例、居住小区规模和社区发展完善程度，综合评价居住社区成熟度一般</v>
      </c>
      <c r="D15" s="2172"/>
      <c r="E15" s="2183" t="s">
        <v>625</v>
      </c>
      <c r="F15" s="2184" t="s">
        <v>628</v>
      </c>
      <c r="G15" s="2205" t="str">
        <f>G3</f>
        <v>估价对象位于XX开发区，园区建设成熟度XX，产业集聚程度XX</v>
      </c>
    </row>
    <row r="16" spans="1:29" ht="39.6">
      <c r="A16" s="2186"/>
      <c r="B16" s="2187" t="s">
        <v>630</v>
      </c>
      <c r="C16" s="2188" t="str">
        <f>C4</f>
        <v>估价对象位于XX商圈，周边商业氛围成熟，人流量大，商业繁华度好</v>
      </c>
      <c r="D16" s="2172"/>
      <c r="E16" s="2186"/>
      <c r="F16" s="2189" t="s">
        <v>632</v>
      </c>
      <c r="G16" s="2188" t="str">
        <f>G4</f>
        <v>估价对象周边道路状况、公共交通通达情况、停车便捷程度，综合评价交通便捷度较好</v>
      </c>
    </row>
    <row r="17" spans="1:17" ht="39.6">
      <c r="A17" s="2186"/>
      <c r="B17" s="2187" t="s">
        <v>634</v>
      </c>
      <c r="C17" s="2188" t="str">
        <f>C5</f>
        <v>估价对象位于XX商圈，周边办公楼项目较多，入驻率高，办公集聚程度较好</v>
      </c>
      <c r="D17" s="2172"/>
      <c r="E17" s="2186"/>
      <c r="F17" s="2189" t="s">
        <v>645</v>
      </c>
      <c r="G17" s="2190"/>
    </row>
    <row r="18" spans="1:17" ht="52.8">
      <c r="A18" s="2186"/>
      <c r="B18" s="2189" t="s">
        <v>632</v>
      </c>
      <c r="C18" s="2188" t="str">
        <f>C6</f>
        <v>估价对象周边道路状况、公共交通通达情况、停车便捷程度，综合评价交通便捷度较好</v>
      </c>
      <c r="D18" s="2172"/>
      <c r="E18" s="2186"/>
      <c r="F18" s="2189" t="s">
        <v>639</v>
      </c>
      <c r="G18" s="2188" t="str">
        <f>G7</f>
        <v>该园区内是否有污染型企业，绿化情况，卫生条件，整体环境状况判断</v>
      </c>
    </row>
    <row r="19" spans="1:17" ht="26.4">
      <c r="A19" s="2186"/>
      <c r="B19" s="2189" t="s">
        <v>645</v>
      </c>
      <c r="C19" s="2190"/>
      <c r="D19" s="2172"/>
      <c r="E19" s="2186"/>
      <c r="F19" s="1619" t="s">
        <v>457</v>
      </c>
      <c r="G19" s="2188" t="str">
        <f>G5</f>
        <v>估价对象所在区域公共配套设施齐备情况</v>
      </c>
    </row>
    <row r="20" spans="1:17" ht="26.4">
      <c r="A20" s="2186"/>
      <c r="B20" s="2189" t="s">
        <v>646</v>
      </c>
      <c r="C20" s="2188" t="str">
        <f>C9</f>
        <v>区域自然环境：；人文环境；综合评价环境状况一般</v>
      </c>
      <c r="D20" s="2172"/>
      <c r="E20" s="2186"/>
      <c r="F20" s="1619" t="s">
        <v>637</v>
      </c>
      <c r="G20" s="2188" t="str">
        <f>G6</f>
        <v>估价对象所在区域基础设施水平</v>
      </c>
    </row>
    <row r="21" spans="1:17" ht="26.4">
      <c r="A21" s="2186"/>
      <c r="B21" s="1619" t="s">
        <v>457</v>
      </c>
      <c r="C21" s="2188" t="str">
        <f>C7</f>
        <v>估价对象所在区域公共配套设施齐备情况</v>
      </c>
      <c r="D21" s="2172"/>
      <c r="E21" s="2186"/>
      <c r="F21" s="2189" t="s">
        <v>647</v>
      </c>
      <c r="G21" s="2191"/>
    </row>
    <row r="22" spans="1:17" ht="13.5" customHeight="1">
      <c r="A22" s="2186"/>
      <c r="B22" s="1619" t="s">
        <v>637</v>
      </c>
      <c r="C22" s="2188" t="str">
        <f>C8</f>
        <v>估价对象所在区域基础设施水平</v>
      </c>
      <c r="D22" s="2172"/>
      <c r="E22" s="2186"/>
      <c r="F22" s="2189" t="s">
        <v>643</v>
      </c>
      <c r="G22" s="2190"/>
    </row>
    <row r="23" spans="1:17" s="1834" customFormat="1">
      <c r="A23" s="2186"/>
      <c r="B23" s="2189" t="s">
        <v>647</v>
      </c>
      <c r="C23" s="2191"/>
      <c r="D23" s="2142"/>
      <c r="E23" s="2192"/>
      <c r="F23" s="2193" t="s">
        <v>406</v>
      </c>
      <c r="G23" s="2206"/>
      <c r="H23" s="2164"/>
      <c r="I23" s="2164"/>
      <c r="J23" s="2164"/>
      <c r="K23" s="2164"/>
      <c r="L23" s="2164"/>
      <c r="M23" s="2164"/>
      <c r="N23" s="2164"/>
      <c r="O23" s="2164"/>
      <c r="P23" s="2164"/>
      <c r="Q23" s="2164"/>
    </row>
    <row r="24" spans="1:17" s="1834" customFormat="1">
      <c r="A24" s="2192"/>
      <c r="B24" s="2193" t="s">
        <v>643</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648</v>
      </c>
      <c r="B1" s="2152">
        <f>SUM(B14:B23)</f>
        <v>0</v>
      </c>
      <c r="C1" s="2153"/>
      <c r="D1" s="2153"/>
      <c r="E1" s="2153"/>
      <c r="F1" s="2153"/>
      <c r="G1" s="2161"/>
      <c r="H1" s="2161"/>
      <c r="I1" s="2161"/>
      <c r="J1" s="2161"/>
      <c r="K1" s="2161"/>
    </row>
    <row r="2" spans="1:11" ht="16.2">
      <c r="A2" s="2152" t="s">
        <v>649</v>
      </c>
      <c r="B2" s="2152" t="e">
        <f>SUM(C14:C23)</f>
        <v>#DIV/0!</v>
      </c>
      <c r="C2" s="2153"/>
      <c r="D2" s="2153"/>
      <c r="E2" s="2153"/>
      <c r="F2" s="2153"/>
      <c r="G2" s="2161"/>
      <c r="H2" s="2161"/>
      <c r="I2" s="2161"/>
      <c r="J2" s="2161"/>
      <c r="K2" s="2161"/>
    </row>
    <row r="3" spans="1:11" ht="15.6">
      <c r="A3" s="2152" t="s">
        <v>650</v>
      </c>
      <c r="B3" s="2154">
        <f>项目基本情况!D3</f>
        <v>44904</v>
      </c>
      <c r="C3" s="2153"/>
      <c r="D3" s="2153"/>
      <c r="E3" s="2153"/>
      <c r="F3" s="2153"/>
      <c r="G3" s="2161"/>
      <c r="H3" s="2161"/>
      <c r="I3" s="2161"/>
      <c r="J3" s="2161"/>
      <c r="K3" s="2161"/>
    </row>
    <row r="4" spans="1:11" ht="31.2">
      <c r="A4" s="2152" t="s">
        <v>651</v>
      </c>
      <c r="B4" s="2152" t="s">
        <v>652</v>
      </c>
      <c r="C4" s="2152" t="s">
        <v>653</v>
      </c>
      <c r="D4" s="2152" t="s">
        <v>654</v>
      </c>
      <c r="E4" s="2153"/>
      <c r="F4" s="2161"/>
      <c r="G4" s="2161"/>
      <c r="H4" s="2161"/>
      <c r="I4" s="2161"/>
      <c r="J4" s="2161"/>
      <c r="K4" s="2161"/>
    </row>
    <row r="5" spans="1:11" ht="15.6">
      <c r="A5" s="2152" t="s">
        <v>655</v>
      </c>
      <c r="B5" s="2152" t="e">
        <f ca="1">SUM(D14:D23)</f>
        <v>#REF!</v>
      </c>
      <c r="C5" s="2152" t="e">
        <f ca="1">ROUND(B5*10000/$B$1,0)</f>
        <v>#REF!</v>
      </c>
      <c r="D5" s="2152" t="e">
        <f ca="1">ROUND(B5*10000/$B$2,0)</f>
        <v>#REF!</v>
      </c>
      <c r="E5" s="2153"/>
      <c r="F5" s="2161"/>
      <c r="G5" s="2161"/>
      <c r="H5" s="2161"/>
      <c r="I5" s="2161"/>
      <c r="J5" s="2161"/>
      <c r="K5" s="2161"/>
    </row>
    <row r="6" spans="1:11" ht="15.6">
      <c r="A6" s="2152" t="s">
        <v>656</v>
      </c>
      <c r="B6" s="2152" t="e">
        <f ca="1">SUM(G14:G23)</f>
        <v>#REF!</v>
      </c>
      <c r="C6" s="2152" t="e">
        <f ca="1">ROUND(B6*10000/$B$1,0)</f>
        <v>#REF!</v>
      </c>
      <c r="D6" s="2152" t="e">
        <f ca="1">ROUND(B6*10000/$B$2,0)</f>
        <v>#REF!</v>
      </c>
      <c r="E6" s="2153"/>
      <c r="F6" s="2161"/>
      <c r="G6" s="2161"/>
      <c r="H6" s="2161"/>
      <c r="I6" s="2161"/>
      <c r="J6" s="2161"/>
      <c r="K6" s="2161"/>
    </row>
    <row r="7" spans="1:11" ht="15.6">
      <c r="A7" s="2152" t="s">
        <v>657</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658</v>
      </c>
      <c r="B9" s="2155"/>
      <c r="C9" s="2153"/>
      <c r="D9" s="2153"/>
      <c r="E9" s="2153"/>
      <c r="F9" s="2161"/>
      <c r="G9" s="2161"/>
      <c r="H9" s="2161"/>
      <c r="I9" s="2161"/>
      <c r="J9" s="2161"/>
      <c r="K9" s="2161"/>
    </row>
    <row r="10" spans="1:11" ht="15.6">
      <c r="A10" s="2152" t="s">
        <v>659</v>
      </c>
      <c r="B10" s="2155"/>
      <c r="C10" s="2153"/>
      <c r="D10" s="2153"/>
      <c r="E10" s="2153"/>
      <c r="F10" s="2161"/>
      <c r="G10" s="2161"/>
      <c r="H10" s="2161"/>
      <c r="I10" s="2161"/>
      <c r="J10" s="2161"/>
      <c r="K10" s="2161"/>
    </row>
    <row r="11" spans="1:11" ht="15.6">
      <c r="A11" s="2152" t="s">
        <v>660</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661</v>
      </c>
      <c r="B13" s="2157" t="s">
        <v>648</v>
      </c>
      <c r="C13" s="2157" t="s">
        <v>649</v>
      </c>
      <c r="D13" s="2157" t="s">
        <v>662</v>
      </c>
      <c r="E13" s="2152" t="s">
        <v>653</v>
      </c>
      <c r="F13" s="2152" t="s">
        <v>654</v>
      </c>
      <c r="G13" s="2157" t="s">
        <v>663</v>
      </c>
      <c r="H13" s="2157" t="s">
        <v>664</v>
      </c>
      <c r="I13" s="2157" t="s">
        <v>665</v>
      </c>
      <c r="J13" s="2161"/>
      <c r="K13" s="2161"/>
    </row>
    <row r="14" spans="1:11" ht="15.6">
      <c r="A14" s="2158" t="s">
        <v>666</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667</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668</v>
      </c>
      <c r="B16" s="2160"/>
      <c r="C16" s="2160"/>
      <c r="D16" s="2160"/>
      <c r="E16" s="2159" t="e">
        <f t="shared" si="0"/>
        <v>#DIV/0!</v>
      </c>
      <c r="F16" s="2159" t="e">
        <f t="shared" si="1"/>
        <v>#DIV/0!</v>
      </c>
      <c r="G16" s="2155"/>
      <c r="H16" s="2155"/>
      <c r="I16" s="2160"/>
      <c r="J16" s="2161"/>
      <c r="K16" s="2161"/>
    </row>
    <row r="17" spans="1:11" ht="15.6">
      <c r="A17" s="2158" t="s">
        <v>669</v>
      </c>
      <c r="B17" s="2160"/>
      <c r="C17" s="2160"/>
      <c r="D17" s="2160"/>
      <c r="E17" s="2159" t="e">
        <f t="shared" si="0"/>
        <v>#DIV/0!</v>
      </c>
      <c r="F17" s="2159" t="e">
        <f t="shared" si="1"/>
        <v>#DIV/0!</v>
      </c>
      <c r="G17" s="2155"/>
      <c r="H17" s="2155"/>
      <c r="I17" s="2160"/>
      <c r="J17" s="2161"/>
      <c r="K17" s="2161"/>
    </row>
    <row r="18" spans="1:11" ht="15.6">
      <c r="A18" s="2158" t="s">
        <v>670</v>
      </c>
      <c r="B18" s="2160"/>
      <c r="C18" s="2160"/>
      <c r="D18" s="2160"/>
      <c r="E18" s="2159" t="e">
        <f t="shared" si="0"/>
        <v>#DIV/0!</v>
      </c>
      <c r="F18" s="2159" t="e">
        <f t="shared" si="1"/>
        <v>#DIV/0!</v>
      </c>
      <c r="G18" s="2160"/>
      <c r="H18" s="2160"/>
      <c r="I18" s="2160"/>
      <c r="J18" s="2161"/>
      <c r="K18" s="2161"/>
    </row>
    <row r="19" spans="1:11" ht="15.6">
      <c r="A19" s="2158" t="s">
        <v>671</v>
      </c>
      <c r="B19" s="2160"/>
      <c r="C19" s="2160"/>
      <c r="D19" s="2160"/>
      <c r="E19" s="2159" t="e">
        <f t="shared" si="0"/>
        <v>#DIV/0!</v>
      </c>
      <c r="F19" s="2159" t="e">
        <f t="shared" si="1"/>
        <v>#DIV/0!</v>
      </c>
      <c r="G19" s="2160"/>
      <c r="H19" s="2160"/>
      <c r="I19" s="2160"/>
      <c r="J19" s="2161"/>
      <c r="K19" s="2161"/>
    </row>
    <row r="20" spans="1:11" ht="15.6">
      <c r="A20" s="2158" t="s">
        <v>672</v>
      </c>
      <c r="B20" s="2160"/>
      <c r="C20" s="2160"/>
      <c r="D20" s="2160"/>
      <c r="E20" s="2159" t="e">
        <f t="shared" si="0"/>
        <v>#DIV/0!</v>
      </c>
      <c r="F20" s="2159" t="e">
        <f t="shared" si="1"/>
        <v>#DIV/0!</v>
      </c>
      <c r="G20" s="2160"/>
      <c r="H20" s="2160"/>
      <c r="I20" s="2160"/>
      <c r="J20" s="2161"/>
      <c r="K20" s="2161"/>
    </row>
    <row r="21" spans="1:11" ht="15.6">
      <c r="A21" s="2158" t="s">
        <v>673</v>
      </c>
      <c r="B21" s="2160"/>
      <c r="C21" s="2160"/>
      <c r="D21" s="2160"/>
      <c r="E21" s="2159" t="e">
        <f t="shared" si="0"/>
        <v>#DIV/0!</v>
      </c>
      <c r="F21" s="2159" t="e">
        <f t="shared" si="1"/>
        <v>#DIV/0!</v>
      </c>
      <c r="G21" s="2160"/>
      <c r="H21" s="2160"/>
      <c r="I21" s="2160"/>
      <c r="J21" s="2161"/>
      <c r="K21" s="2161"/>
    </row>
    <row r="22" spans="1:11" ht="15.6">
      <c r="A22" s="2158" t="s">
        <v>674</v>
      </c>
      <c r="B22" s="2160"/>
      <c r="C22" s="2160"/>
      <c r="D22" s="2160"/>
      <c r="E22" s="2159" t="e">
        <f t="shared" si="0"/>
        <v>#DIV/0!</v>
      </c>
      <c r="F22" s="2159" t="e">
        <f t="shared" si="1"/>
        <v>#DIV/0!</v>
      </c>
      <c r="G22" s="2160"/>
      <c r="H22" s="2160"/>
      <c r="I22" s="2160"/>
      <c r="J22" s="2161"/>
      <c r="K22" s="2161"/>
    </row>
    <row r="23" spans="1:11" ht="15.6">
      <c r="A23" s="2158" t="s">
        <v>675</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676</v>
      </c>
      <c r="B1" s="1738"/>
      <c r="C1" s="1923"/>
      <c r="D1" s="1738"/>
      <c r="E1" s="1738"/>
      <c r="F1" s="1999" t="s">
        <v>677</v>
      </c>
      <c r="G1" s="2000"/>
      <c r="H1" s="1999" t="str">
        <f>IF(G1="现房","——","估价对象范围")</f>
        <v>估价对象范围</v>
      </c>
      <c r="I1" s="2039"/>
    </row>
    <row r="2" spans="1:12" ht="21.75" customHeight="1">
      <c r="A2" s="2915" t="str">
        <f>项目基本情况!S2</f>
        <v>北京市房地产</v>
      </c>
      <c r="B2" s="2916"/>
      <c r="C2" s="2916"/>
      <c r="D2" s="2916"/>
      <c r="E2" s="2916"/>
      <c r="F2" s="2916"/>
      <c r="G2" s="2916"/>
      <c r="H2" s="2916"/>
      <c r="I2" s="2917"/>
    </row>
    <row r="3" spans="1:12" ht="13.2">
      <c r="A3" s="2918" t="s">
        <v>678</v>
      </c>
      <c r="B3" s="2919"/>
      <c r="C3" s="2919"/>
      <c r="D3" s="2919"/>
      <c r="E3" s="2919"/>
      <c r="F3" s="2919"/>
      <c r="G3" s="2919"/>
      <c r="H3" s="2919"/>
      <c r="I3" s="2919"/>
    </row>
    <row r="4" spans="1:12" ht="14.4">
      <c r="A4" s="1924" t="s">
        <v>679</v>
      </c>
      <c r="B4" s="1925" t="s">
        <v>680</v>
      </c>
      <c r="C4" s="1926"/>
      <c r="D4" s="1926"/>
      <c r="E4" s="2920" t="s">
        <v>681</v>
      </c>
      <c r="F4" s="2921"/>
      <c r="G4" s="2921"/>
      <c r="H4" s="2921"/>
      <c r="I4" s="2922"/>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64" t="s">
        <v>682</v>
      </c>
      <c r="B5" s="2998">
        <v>25</v>
      </c>
      <c r="C5" s="2935"/>
      <c r="D5" s="2934"/>
      <c r="E5" s="1618" t="s">
        <v>683</v>
      </c>
      <c r="F5" s="2001"/>
      <c r="G5" s="2001"/>
      <c r="H5" s="2001"/>
      <c r="I5" s="1829"/>
    </row>
    <row r="6" spans="1:12" ht="13.2">
      <c r="A6" s="2964"/>
      <c r="B6" s="2998"/>
      <c r="C6" s="2936"/>
      <c r="D6" s="2934"/>
      <c r="E6" s="1618" t="s">
        <v>684</v>
      </c>
      <c r="F6" s="2001"/>
      <c r="G6" s="2001"/>
      <c r="H6" s="2001"/>
      <c r="I6" s="1829"/>
    </row>
    <row r="7" spans="1:12" ht="13.2">
      <c r="A7" s="2964"/>
      <c r="B7" s="2998"/>
      <c r="C7" s="2937"/>
      <c r="D7" s="2934"/>
      <c r="E7" s="1618" t="s">
        <v>685</v>
      </c>
      <c r="F7" s="2001"/>
      <c r="G7" s="2001"/>
      <c r="H7" s="2001"/>
      <c r="I7" s="1829"/>
    </row>
    <row r="8" spans="1:12" ht="13.2">
      <c r="A8" s="2964" t="s">
        <v>686</v>
      </c>
      <c r="B8" s="2998">
        <v>15</v>
      </c>
      <c r="C8" s="2935"/>
      <c r="D8" s="2934"/>
      <c r="E8" s="1618" t="s">
        <v>687</v>
      </c>
      <c r="F8" s="2001"/>
      <c r="G8" s="2001"/>
      <c r="H8" s="2001"/>
      <c r="I8" s="1829"/>
    </row>
    <row r="9" spans="1:12" ht="13.2">
      <c r="A9" s="2964"/>
      <c r="B9" s="2998"/>
      <c r="C9" s="2937"/>
      <c r="D9" s="2934"/>
      <c r="E9" s="1618" t="s">
        <v>688</v>
      </c>
      <c r="F9" s="2001"/>
      <c r="G9" s="2001"/>
      <c r="H9" s="2001"/>
      <c r="I9" s="1829"/>
    </row>
    <row r="10" spans="1:12" ht="13.2">
      <c r="A10" s="2964" t="s">
        <v>689</v>
      </c>
      <c r="B10" s="2998">
        <v>15</v>
      </c>
      <c r="C10" s="2935"/>
      <c r="D10" s="2934"/>
      <c r="E10" s="1618" t="s">
        <v>690</v>
      </c>
      <c r="F10" s="2001"/>
      <c r="G10" s="2001"/>
      <c r="H10" s="2001"/>
      <c r="I10" s="1829"/>
    </row>
    <row r="11" spans="1:12" ht="13.2">
      <c r="A11" s="2964"/>
      <c r="B11" s="2998"/>
      <c r="C11" s="2937"/>
      <c r="D11" s="2934"/>
      <c r="E11" s="1618" t="s">
        <v>691</v>
      </c>
      <c r="F11" s="2001"/>
      <c r="G11" s="2001"/>
      <c r="H11" s="2001"/>
      <c r="I11" s="1829"/>
    </row>
    <row r="12" spans="1:12" ht="13.2">
      <c r="A12" s="2964" t="s">
        <v>692</v>
      </c>
      <c r="B12" s="2998">
        <v>15</v>
      </c>
      <c r="C12" s="2935"/>
      <c r="D12" s="2934"/>
      <c r="E12" s="1618" t="s">
        <v>693</v>
      </c>
      <c r="F12" s="2001"/>
      <c r="G12" s="2001"/>
      <c r="H12" s="2001"/>
      <c r="I12" s="1829"/>
    </row>
    <row r="13" spans="1:12" ht="13.2">
      <c r="A13" s="2964"/>
      <c r="B13" s="2998"/>
      <c r="C13" s="2937"/>
      <c r="D13" s="2934"/>
      <c r="E13" s="1618" t="s">
        <v>694</v>
      </c>
      <c r="F13" s="2001"/>
      <c r="G13" s="2001"/>
      <c r="H13" s="2001"/>
      <c r="I13" s="1829"/>
    </row>
    <row r="14" spans="1:12" ht="13.2">
      <c r="A14" s="2964" t="s">
        <v>695</v>
      </c>
      <c r="B14" s="2998">
        <v>30</v>
      </c>
      <c r="C14" s="2935"/>
      <c r="D14" s="2934"/>
      <c r="E14" s="1618" t="s">
        <v>696</v>
      </c>
      <c r="F14" s="2001"/>
      <c r="G14" s="2001"/>
      <c r="H14" s="2001"/>
      <c r="I14" s="1829"/>
    </row>
    <row r="15" spans="1:12" ht="13.2">
      <c r="A15" s="2964"/>
      <c r="B15" s="2998"/>
      <c r="C15" s="2936"/>
      <c r="D15" s="2934"/>
      <c r="E15" s="1618" t="s">
        <v>697</v>
      </c>
      <c r="F15" s="2001"/>
      <c r="G15" s="2001"/>
      <c r="H15" s="2001"/>
      <c r="I15" s="1829"/>
    </row>
    <row r="16" spans="1:12" ht="13.2">
      <c r="A16" s="2964"/>
      <c r="B16" s="2998"/>
      <c r="C16" s="2937"/>
      <c r="D16" s="2934"/>
      <c r="E16" s="1618" t="s">
        <v>698</v>
      </c>
      <c r="F16" s="2001"/>
      <c r="G16" s="2001"/>
      <c r="H16" s="2001"/>
      <c r="I16" s="1829"/>
    </row>
    <row r="17" spans="1:36" ht="14.4">
      <c r="A17" s="1927" t="s">
        <v>699</v>
      </c>
      <c r="B17" s="1928"/>
      <c r="C17" s="1929">
        <f>SUM(C5:C16)</f>
        <v>0</v>
      </c>
      <c r="D17" s="1929">
        <f>SUM(D5:D16)</f>
        <v>0</v>
      </c>
      <c r="E17" s="333"/>
      <c r="F17" s="333"/>
      <c r="G17" s="333"/>
      <c r="H17" s="333"/>
      <c r="I17" s="333"/>
      <c r="K17" s="1614"/>
      <c r="L17" s="1614" t="s">
        <v>700</v>
      </c>
      <c r="M17" s="1614" t="s">
        <v>701</v>
      </c>
    </row>
    <row r="18" spans="1:36" ht="31.95" customHeight="1">
      <c r="A18" s="1930" t="s">
        <v>702</v>
      </c>
      <c r="B18" s="1931"/>
      <c r="C18" s="1932" t="e">
        <f>ROUND(C17/SUM(C17:D17),2)</f>
        <v>#DIV/0!</v>
      </c>
      <c r="D18" s="1932" t="e">
        <f>1-C18</f>
        <v>#DIV/0!</v>
      </c>
      <c r="E18" s="2923" t="s">
        <v>703</v>
      </c>
      <c r="F18" s="2924"/>
      <c r="G18" s="2924"/>
      <c r="H18" s="2924"/>
      <c r="I18" s="2924"/>
      <c r="K18" s="1614" t="s">
        <v>364</v>
      </c>
      <c r="L18" s="1614">
        <f>IF(C1="",'数据-汇总表'!E3,SUMIF(项目类型,C1,'数据-汇总表'!E17:E26)+SUMIF(项目类型,C1,'数据-汇总表'!I17:I26))</f>
        <v>0</v>
      </c>
      <c r="M18" s="1614">
        <f>IF(C1="",'数据-汇总表'!E3,SUMIF(项目类型,C1,'数据-汇总表'!E17:E26))</f>
        <v>0</v>
      </c>
    </row>
    <row r="19" spans="1:36" ht="14.4">
      <c r="A19" s="1080" t="s">
        <v>704</v>
      </c>
      <c r="B19" s="1933" t="s">
        <v>705</v>
      </c>
      <c r="C19" s="1934" t="e">
        <f ca="1">SUMIF(INDIRECT("'"&amp;C4&amp;"'"&amp;"!A:A"),结果表!B19,INDIRECT("'"&amp;C4&amp;"'"&amp;"!B:B"))</f>
        <v>#REF!</v>
      </c>
      <c r="D19" s="1183" t="e">
        <f ca="1">SUMIF(INDIRECT("'"&amp;D4&amp;"'"&amp;"!A:A"),结果表!B19,INDIRECT("'"&amp;D4&amp;"'"&amp;"!B:B"))</f>
        <v>#REF!</v>
      </c>
      <c r="E19" s="1080" t="s">
        <v>706</v>
      </c>
      <c r="F19" s="1933" t="s">
        <v>705</v>
      </c>
      <c r="G19" s="1944" t="e">
        <f ca="1">ROUND(C19*$C$18+D19*$D$18,0)</f>
        <v>#REF!</v>
      </c>
      <c r="H19" s="2002" t="s">
        <v>707</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708</v>
      </c>
      <c r="C20" s="1389" t="e">
        <f ca="1">SUMIF(INDIRECT("'"&amp;C4&amp;"'"&amp;"!A:A"),结果表!B20,INDIRECT("'"&amp;C4&amp;"'"&amp;"!B:B"))</f>
        <v>#REF!</v>
      </c>
      <c r="D20" s="1403" t="e">
        <f ca="1">SUMIF(INDIRECT("'"&amp;D4&amp;"'"&amp;"!A:A"),结果表!B20,INDIRECT("'"&amp;D4&amp;"'"&amp;"!B:B"))</f>
        <v>#REF!</v>
      </c>
      <c r="E20" s="1935"/>
      <c r="F20" s="1936" t="s">
        <v>708</v>
      </c>
      <c r="G20" s="2003" t="e">
        <f ca="1">ROUND(C20*$C$18+D20*$D$18,0)</f>
        <v>#REF!</v>
      </c>
      <c r="H20" s="1791" t="s">
        <v>709</v>
      </c>
      <c r="I20" s="333"/>
    </row>
    <row r="21" spans="1:36" ht="15" customHeight="1">
      <c r="A21" s="1086"/>
      <c r="B21" s="1937" t="s">
        <v>710</v>
      </c>
      <c r="C21" s="1938" t="e">
        <f ca="1">ROUND(C19*10000/L19,0)</f>
        <v>#REF!</v>
      </c>
      <c r="D21" s="1939" t="e">
        <f ca="1">ROUND(D19*10000/L19,0)</f>
        <v>#REF!</v>
      </c>
      <c r="E21" s="1086"/>
      <c r="F21" s="1937" t="s">
        <v>710</v>
      </c>
      <c r="G21" s="2004" t="e">
        <f ca="1">ROUND(G19*10000/L19,0)</f>
        <v>#REF!</v>
      </c>
      <c r="H21" s="2005" t="s">
        <v>709</v>
      </c>
      <c r="I21" s="333"/>
    </row>
    <row r="22" spans="1:36" ht="14.4">
      <c r="A22" s="1940" t="s">
        <v>711</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91" t="s">
        <v>712</v>
      </c>
      <c r="B24" s="1933" t="s">
        <v>705</v>
      </c>
      <c r="C24" s="1944">
        <f>IF(B30=0,0,D30)</f>
        <v>0</v>
      </c>
      <c r="D24" s="1945"/>
      <c r="E24" s="333"/>
      <c r="F24" s="333"/>
      <c r="G24" s="333"/>
      <c r="H24" s="333"/>
      <c r="I24" s="333"/>
    </row>
    <row r="25" spans="1:36" ht="14.4">
      <c r="A25" s="2992"/>
      <c r="B25" s="1936" t="s">
        <v>708</v>
      </c>
      <c r="C25" s="1946">
        <f>IF(B30=0,0,C30)</f>
        <v>0</v>
      </c>
      <c r="D25" s="1947"/>
      <c r="E25" s="333"/>
      <c r="F25" s="333"/>
      <c r="G25" s="333"/>
      <c r="H25" s="333"/>
      <c r="I25" s="333"/>
    </row>
    <row r="26" spans="1:36" ht="13.5" customHeight="1">
      <c r="A26" s="1948" t="s">
        <v>713</v>
      </c>
      <c r="B26" s="1949" t="s">
        <v>714</v>
      </c>
      <c r="C26" s="1949" t="s">
        <v>715</v>
      </c>
      <c r="D26" s="1950" t="s">
        <v>716</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717</v>
      </c>
      <c r="B30" s="1949"/>
      <c r="C30" s="1949"/>
      <c r="D30" s="1949"/>
      <c r="E30" s="2006" t="s">
        <v>718</v>
      </c>
      <c r="F30" s="333"/>
      <c r="G30" s="333"/>
      <c r="H30" s="333"/>
      <c r="I30" s="333"/>
    </row>
    <row r="31" spans="1:36" s="1919" customFormat="1" ht="26.4" customHeight="1">
      <c r="A31" s="1951"/>
      <c r="B31" s="1952"/>
      <c r="C31" s="1952"/>
      <c r="D31" s="1952"/>
      <c r="E31" s="1952"/>
      <c r="F31" s="1952"/>
      <c r="G31" s="1952"/>
      <c r="H31" s="1952"/>
      <c r="I31" s="2040" t="s">
        <v>719</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720</v>
      </c>
      <c r="B32" s="1954"/>
      <c r="C32" s="1955" t="e">
        <f ca="1">IF(D32="总价",G19-C24,G20-C25)</f>
        <v>#REF!</v>
      </c>
      <c r="D32" s="1956"/>
      <c r="E32" s="333"/>
      <c r="F32" s="333"/>
      <c r="G32" s="333"/>
      <c r="H32" s="333"/>
      <c r="I32" s="333"/>
    </row>
    <row r="33" spans="1:15" ht="14.4">
      <c r="A33" s="1848" t="s">
        <v>721</v>
      </c>
      <c r="B33" s="1618"/>
      <c r="C33" s="1957"/>
      <c r="D33" s="1958"/>
      <c r="E33" s="2007" t="s">
        <v>722</v>
      </c>
      <c r="F33" s="2008" t="str">
        <f>IF(D32="楼面单价","取值（单价）","取值（总价）")</f>
        <v>取值（总价）</v>
      </c>
      <c r="G33" s="333"/>
      <c r="H33" s="333"/>
      <c r="I33" s="333"/>
    </row>
    <row r="34" spans="1:15" ht="14.4">
      <c r="A34" s="1959"/>
      <c r="B34" s="1960" t="s">
        <v>723</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724</v>
      </c>
      <c r="F34" s="2010"/>
      <c r="G34" s="333"/>
      <c r="H34" s="333"/>
      <c r="I34" s="333"/>
    </row>
    <row r="35" spans="1:15" ht="14.4">
      <c r="A35" s="1963"/>
      <c r="B35" s="1964" t="s">
        <v>725</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726</v>
      </c>
      <c r="F35" s="2012"/>
      <c r="G35" s="333"/>
      <c r="H35" s="333"/>
      <c r="I35" s="333"/>
    </row>
    <row r="36" spans="1:15" ht="14.4">
      <c r="A36" s="2993" t="s">
        <v>727</v>
      </c>
      <c r="B36" s="1967" t="s">
        <v>728</v>
      </c>
      <c r="C36" s="1968"/>
      <c r="D36" s="1969"/>
      <c r="E36" s="2013"/>
      <c r="F36" s="2014"/>
      <c r="G36" s="333"/>
      <c r="H36" s="333"/>
      <c r="I36" s="333"/>
    </row>
    <row r="37" spans="1:15" ht="14.4">
      <c r="A37" s="2994"/>
      <c r="B37" s="1970" t="s">
        <v>729</v>
      </c>
      <c r="C37" s="1971"/>
      <c r="D37" s="1972"/>
      <c r="E37" s="1972"/>
      <c r="F37" s="2014"/>
      <c r="G37" s="333"/>
      <c r="H37" s="333"/>
      <c r="I37" s="333"/>
    </row>
    <row r="38" spans="1:15" ht="14.4">
      <c r="A38" s="2995"/>
      <c r="B38" s="1973" t="s">
        <v>730</v>
      </c>
      <c r="C38" s="1974"/>
      <c r="D38" s="1975" t="s">
        <v>731</v>
      </c>
      <c r="E38" s="1972"/>
      <c r="F38" s="2014"/>
      <c r="G38" s="333"/>
      <c r="H38" s="333"/>
      <c r="I38" s="333"/>
    </row>
    <row r="39" spans="1:15" ht="14.4">
      <c r="A39" s="1935" t="s">
        <v>732</v>
      </c>
      <c r="B39" s="1976" t="s">
        <v>714</v>
      </c>
      <c r="C39" s="1977" t="s">
        <v>715</v>
      </c>
      <c r="D39" s="1977" t="s">
        <v>733</v>
      </c>
      <c r="E39" s="2015" t="s">
        <v>716</v>
      </c>
      <c r="F39" s="2014"/>
      <c r="G39" s="333"/>
      <c r="H39" s="333"/>
      <c r="I39" s="333"/>
    </row>
    <row r="40" spans="1:15" ht="13.8">
      <c r="A40" s="1978" t="s">
        <v>734</v>
      </c>
      <c r="B40" s="1979"/>
      <c r="C40" s="347"/>
      <c r="D40" s="347"/>
      <c r="E40" s="1898"/>
      <c r="F40" s="2014"/>
      <c r="G40" s="333"/>
      <c r="H40" s="333"/>
      <c r="I40" s="333"/>
    </row>
    <row r="41" spans="1:15" ht="13.8">
      <c r="A41" s="1978" t="s">
        <v>735</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736</v>
      </c>
      <c r="B44" s="1984"/>
      <c r="C44" s="1984"/>
      <c r="D44" s="1985"/>
      <c r="E44" s="1985"/>
      <c r="F44" s="2017"/>
      <c r="G44" s="2017"/>
      <c r="H44" s="2017"/>
      <c r="I44" s="2017"/>
      <c r="J44" s="854" t="s">
        <v>737</v>
      </c>
      <c r="K44" s="504"/>
      <c r="L44" s="504"/>
      <c r="M44" s="504"/>
      <c r="N44" s="504"/>
      <c r="O44" s="504"/>
    </row>
    <row r="45" spans="1:15" ht="14.25" customHeight="1">
      <c r="A45" s="2925" t="s">
        <v>738</v>
      </c>
      <c r="B45" s="2926"/>
      <c r="C45" s="2927"/>
      <c r="D45" s="1594" t="e">
        <f ca="1">ROUND(H101*F45,0)</f>
        <v>#REF!</v>
      </c>
      <c r="E45" s="2018" t="s">
        <v>739</v>
      </c>
      <c r="F45" s="2019">
        <v>1</v>
      </c>
      <c r="G45" s="1601" t="s">
        <v>740</v>
      </c>
      <c r="H45" s="333"/>
      <c r="I45" s="333"/>
      <c r="J45" s="2928" t="s">
        <v>741</v>
      </c>
      <c r="K45" s="2928"/>
      <c r="L45" s="2928"/>
      <c r="M45" s="2928"/>
      <c r="N45" s="2928"/>
      <c r="O45" s="2928"/>
    </row>
    <row r="46" spans="1:15" ht="14.25" customHeight="1">
      <c r="A46" s="2929" t="s">
        <v>742</v>
      </c>
      <c r="B46" s="2930"/>
      <c r="C46" s="2930"/>
      <c r="D46" s="2930"/>
      <c r="E46" s="2930"/>
      <c r="F46" s="2930"/>
      <c r="G46" s="2931"/>
      <c r="H46" s="334"/>
      <c r="I46" s="334"/>
      <c r="J46" s="699">
        <v>1</v>
      </c>
      <c r="K46" s="2932" t="s">
        <v>743</v>
      </c>
      <c r="L46" s="2932"/>
      <c r="M46" s="2933"/>
      <c r="N46" s="2933"/>
      <c r="O46" s="2933"/>
    </row>
    <row r="47" spans="1:15" ht="12" customHeight="1">
      <c r="A47" s="1986" t="s">
        <v>744</v>
      </c>
      <c r="B47" s="1987"/>
      <c r="C47" s="1988"/>
      <c r="D47" s="1624" t="s">
        <v>745</v>
      </c>
      <c r="E47" s="1614" t="s">
        <v>746</v>
      </c>
      <c r="F47" s="2020" t="s">
        <v>747</v>
      </c>
      <c r="G47" s="2021" t="s">
        <v>748</v>
      </c>
      <c r="H47" s="1753"/>
      <c r="I47" s="334"/>
      <c r="J47" s="699">
        <v>2</v>
      </c>
      <c r="K47" s="2932" t="s">
        <v>749</v>
      </c>
      <c r="L47" s="2932"/>
      <c r="M47" s="2938">
        <f>'数据-取费表'!B2</f>
        <v>44904</v>
      </c>
      <c r="N47" s="2938"/>
      <c r="O47" s="2938"/>
    </row>
    <row r="48" spans="1:15" ht="26.4">
      <c r="A48" s="2939" t="s">
        <v>750</v>
      </c>
      <c r="B48" s="2940"/>
      <c r="C48" s="2940"/>
      <c r="D48" s="1742" t="b">
        <f>IF(H48="情况1",0,IF(H48="情况2",D52,IF(H48="情况3",D53,IF(H48="情况4",D54))))</f>
        <v>0</v>
      </c>
      <c r="E48" s="1626" t="str">
        <f>IF(H48="情况4","(销售额-原购置价)×税（费）率","销售额×税（费）率")</f>
        <v>销售额×税（费）率</v>
      </c>
      <c r="F48" s="1617">
        <f>IF(H48="情况1","免征",'数据-取费表'!B41)</f>
        <v>0</v>
      </c>
      <c r="G48" s="2022" t="s">
        <v>751</v>
      </c>
      <c r="H48" s="2023"/>
      <c r="I48" s="334"/>
      <c r="J48" s="699">
        <v>3</v>
      </c>
      <c r="K48" s="2932" t="s">
        <v>752</v>
      </c>
      <c r="L48" s="2932"/>
      <c r="M48" s="2938" t="e">
        <f ca="1">H101</f>
        <v>#REF!</v>
      </c>
      <c r="N48" s="2938"/>
      <c r="O48" s="2938"/>
    </row>
    <row r="49" spans="1:35" ht="25.5" customHeight="1">
      <c r="A49" s="1989" t="s">
        <v>753</v>
      </c>
      <c r="B49" s="2941" t="s">
        <v>754</v>
      </c>
      <c r="C49" s="2941"/>
      <c r="D49" s="1990">
        <v>0</v>
      </c>
      <c r="E49" s="1629" t="s">
        <v>755</v>
      </c>
      <c r="F49" s="1595" t="s">
        <v>124</v>
      </c>
      <c r="G49" s="2947"/>
      <c r="H49" s="2024" t="s">
        <v>756</v>
      </c>
      <c r="I49" s="2025"/>
      <c r="J49" s="699">
        <v>4</v>
      </c>
      <c r="K49" s="2932" t="str">
        <f>IF(项目基本情况!E8="房地产抵押价值","房地产抵押价值","抵押担保权已注销时的房地产抵押价值")</f>
        <v>抵押担保权已注销时的房地产抵押价值</v>
      </c>
      <c r="L49" s="2932"/>
      <c r="M49" s="2938" t="str">
        <f>IF(项目基本情况!E8="房地产抵押价值",H107,H109)</f>
        <v>——</v>
      </c>
      <c r="N49" s="2938"/>
      <c r="O49" s="2938"/>
    </row>
    <row r="50" spans="1:35" ht="25.5" customHeight="1">
      <c r="A50" s="1991"/>
      <c r="B50" s="2941" t="s">
        <v>757</v>
      </c>
      <c r="C50" s="2941"/>
      <c r="D50" s="1992"/>
      <c r="E50" s="1637"/>
      <c r="F50" s="1595"/>
      <c r="G50" s="2948"/>
      <c r="H50" s="2025" t="s">
        <v>758</v>
      </c>
      <c r="I50" s="2025"/>
      <c r="J50" s="2928" t="s">
        <v>759</v>
      </c>
      <c r="K50" s="2928"/>
      <c r="L50" s="2928"/>
      <c r="M50" s="2928"/>
      <c r="N50" s="2928"/>
      <c r="O50" s="2928"/>
    </row>
    <row r="51" spans="1:35" ht="20.399999999999999" customHeight="1">
      <c r="A51" s="1993"/>
      <c r="B51" s="2941" t="s">
        <v>760</v>
      </c>
      <c r="C51" s="2941"/>
      <c r="D51" s="1624"/>
      <c r="E51" s="723"/>
      <c r="F51" s="1595"/>
      <c r="G51" s="2949"/>
      <c r="H51" s="2025" t="s">
        <v>761</v>
      </c>
      <c r="I51" s="2025"/>
      <c r="J51" s="2044" t="s">
        <v>762</v>
      </c>
      <c r="K51" s="2932" t="s">
        <v>763</v>
      </c>
      <c r="L51" s="2932"/>
      <c r="M51" s="2044" t="s">
        <v>764</v>
      </c>
      <c r="N51" s="2044" t="s">
        <v>765</v>
      </c>
      <c r="O51" s="2044" t="s">
        <v>766</v>
      </c>
    </row>
    <row r="52" spans="1:35" ht="24" customHeight="1">
      <c r="A52" s="1994" t="s">
        <v>767</v>
      </c>
      <c r="B52" s="2941" t="s">
        <v>768</v>
      </c>
      <c r="C52" s="2941"/>
      <c r="D52" s="1624" t="e">
        <f ca="1">ROUND(D45*'数据-取费表'!B41/(1+'数据-取费表'!C42),0)</f>
        <v>#REF!</v>
      </c>
      <c r="E52" s="1626" t="s">
        <v>769</v>
      </c>
      <c r="F52" s="1614">
        <f>'数据-取费表'!B41</f>
        <v>0</v>
      </c>
      <c r="G52" s="2021"/>
      <c r="H52" s="1753"/>
      <c r="I52" s="334"/>
      <c r="J52" s="699">
        <v>1</v>
      </c>
      <c r="K52" s="2943" t="s">
        <v>770</v>
      </c>
      <c r="L52" s="2943"/>
      <c r="M52" s="2048" t="b">
        <f>D48</f>
        <v>0</v>
      </c>
      <c r="N52" s="699" t="str">
        <f>E48</f>
        <v>销售额×税（费）率</v>
      </c>
      <c r="O52" s="2049">
        <f>F48</f>
        <v>0</v>
      </c>
    </row>
    <row r="53" spans="1:35" ht="12" customHeight="1">
      <c r="A53" s="1994" t="s">
        <v>771</v>
      </c>
      <c r="B53" s="2944" t="s">
        <v>772</v>
      </c>
      <c r="C53" s="2945"/>
      <c r="D53" s="1624" t="e">
        <f ca="1">ROUND(D45*'数据-取费表'!B41/(1+'数据-取费表'!C42),0)</f>
        <v>#REF!</v>
      </c>
      <c r="E53" s="1626" t="s">
        <v>769</v>
      </c>
      <c r="F53" s="1614">
        <f>'数据-取费表'!B41</f>
        <v>0</v>
      </c>
      <c r="G53" s="2021"/>
      <c r="H53" s="1753"/>
      <c r="I53" s="334"/>
      <c r="J53" s="699">
        <v>2</v>
      </c>
      <c r="K53" s="2943" t="s">
        <v>773</v>
      </c>
      <c r="L53" s="2943"/>
      <c r="M53" s="2048" t="e">
        <f t="shared" ref="M53:O54" ca="1" si="0">D55</f>
        <v>#REF!</v>
      </c>
      <c r="N53" s="699" t="str">
        <f t="shared" si="0"/>
        <v>销售额×税（费）率</v>
      </c>
      <c r="O53" s="2049" t="str">
        <f t="shared" si="0"/>
        <v>免征</v>
      </c>
    </row>
    <row r="54" spans="1:35" ht="12" customHeight="1">
      <c r="A54" s="1994" t="s">
        <v>774</v>
      </c>
      <c r="B54" s="2944" t="s">
        <v>775</v>
      </c>
      <c r="C54" s="2945"/>
      <c r="D54" s="1624" t="e">
        <f ca="1">C68</f>
        <v>#REF!</v>
      </c>
      <c r="E54" s="723" t="s">
        <v>776</v>
      </c>
      <c r="F54" s="1614">
        <f>'数据-取费表'!B41</f>
        <v>0</v>
      </c>
      <c r="G54" s="2021"/>
      <c r="H54" s="2026"/>
      <c r="I54" s="334"/>
      <c r="J54" s="699">
        <v>3</v>
      </c>
      <c r="K54" s="2943" t="s">
        <v>777</v>
      </c>
      <c r="L54" s="2943"/>
      <c r="M54" s="2048" t="e">
        <f t="shared" ca="1" si="0"/>
        <v>#REF!</v>
      </c>
      <c r="N54" s="699" t="str">
        <f t="shared" si="0"/>
        <v>增值额×税（费）率</v>
      </c>
      <c r="O54" s="2049" t="str">
        <f t="shared" si="0"/>
        <v>免征</v>
      </c>
    </row>
    <row r="55" spans="1:35" ht="24" customHeight="1">
      <c r="A55" s="2946" t="s">
        <v>778</v>
      </c>
      <c r="B55" s="2940"/>
      <c r="C55" s="2940"/>
      <c r="D55" s="1742" t="e">
        <f ca="1">IF(H55="个人住宅",0,ROUND(D45*I55,0))</f>
        <v>#REF!</v>
      </c>
      <c r="E55" s="1626" t="s">
        <v>779</v>
      </c>
      <c r="F55" s="1614" t="str">
        <f>IF(H55="正常",I55,"免征")</f>
        <v>免征</v>
      </c>
      <c r="G55" s="2021"/>
      <c r="H55" s="2023"/>
      <c r="I55" s="341">
        <f>'数据-取费表'!B49</f>
        <v>0</v>
      </c>
      <c r="J55" s="699">
        <f>IF(H59="非个人房产","",4)</f>
        <v>4</v>
      </c>
      <c r="K55" s="2943" t="str">
        <f>IF(H59="非个人房产","——","个人所得税")</f>
        <v>个人所得税</v>
      </c>
      <c r="L55" s="2943"/>
      <c r="M55" s="2050" t="e">
        <f ca="1">D59</f>
        <v>#REF!</v>
      </c>
      <c r="N55" s="624" t="str">
        <f>E59</f>
        <v>差额计税</v>
      </c>
      <c r="O55" s="2051">
        <f>F59</f>
        <v>0.01</v>
      </c>
    </row>
    <row r="56" spans="1:35" ht="25.2">
      <c r="A56" s="2946" t="s">
        <v>780</v>
      </c>
      <c r="B56" s="2940"/>
      <c r="C56" s="2940"/>
      <c r="D56" s="1742" t="e">
        <f ca="1">IF(H56="个人住宅",D57,D58)</f>
        <v>#REF!</v>
      </c>
      <c r="E56" s="1626" t="s">
        <v>781</v>
      </c>
      <c r="F56" s="1614" t="str">
        <f>IF(H56="正常",F58,"免征")</f>
        <v>免征</v>
      </c>
      <c r="G56" s="2027" t="s">
        <v>782</v>
      </c>
      <c r="H56" s="2028"/>
      <c r="I56" s="2035"/>
      <c r="J56" s="699" t="str">
        <f>IF(项目基本情况!K6="上海银行",IF(J55="",4,J55+1),"")</f>
        <v/>
      </c>
      <c r="K56" s="2950" t="str">
        <f>IF(项目基本情况!K6="上海银行","其他处置费用","")</f>
        <v/>
      </c>
      <c r="L56" s="2951"/>
      <c r="M56" s="2048" t="str">
        <f>IF(项目基本情况!K6="上海银行",M69,"")</f>
        <v/>
      </c>
      <c r="N56" s="2950" t="str">
        <f>IF(项目基本情况!K6="上海银行","包含处置中涉及的律师、诉讼、拍卖、评估等费用","")</f>
        <v/>
      </c>
      <c r="O56" s="2952"/>
    </row>
    <row r="57" spans="1:35" ht="13.2">
      <c r="A57" s="1994" t="s">
        <v>753</v>
      </c>
      <c r="B57" s="2944" t="s">
        <v>783</v>
      </c>
      <c r="C57" s="2945"/>
      <c r="D57" s="1990">
        <v>0</v>
      </c>
      <c r="E57" s="1629" t="s">
        <v>755</v>
      </c>
      <c r="F57" s="1614"/>
      <c r="G57" s="2021"/>
      <c r="H57" s="2029"/>
      <c r="I57" s="2035"/>
      <c r="J57" s="2943">
        <f>IF(AND(J55="",J56=""),4,IF(项目基本情况!K6="上海银行",结果表!J56+1,结果表!J55+1))</f>
        <v>5</v>
      </c>
      <c r="K57" s="2943" t="s">
        <v>784</v>
      </c>
      <c r="L57" s="2045" t="s">
        <v>785</v>
      </c>
      <c r="M57" s="2052"/>
      <c r="N57" s="2053">
        <f ca="1">SUMIF(M52:M56,"&lt;9e307")</f>
        <v>0</v>
      </c>
      <c r="O57" s="2054"/>
      <c r="P57" s="333" t="e">
        <f ca="1">N57/M49</f>
        <v>#VALUE!</v>
      </c>
    </row>
    <row r="58" spans="1:35" ht="25.2">
      <c r="A58" s="1994" t="s">
        <v>767</v>
      </c>
      <c r="B58" s="2944" t="s">
        <v>786</v>
      </c>
      <c r="C58" s="2941"/>
      <c r="D58" s="1742" t="e">
        <f ca="1">IF(H58="转让取得",C81,C97)</f>
        <v>#REF!</v>
      </c>
      <c r="E58" s="1626" t="s">
        <v>781</v>
      </c>
      <c r="F58" s="1614" t="s">
        <v>124</v>
      </c>
      <c r="G58" s="2021"/>
      <c r="H58" s="2028"/>
      <c r="I58" s="2035"/>
      <c r="J58" s="2943"/>
      <c r="K58" s="2943"/>
      <c r="L58" s="2045" t="s">
        <v>787</v>
      </c>
      <c r="M58" s="2055"/>
      <c r="N58" s="2056" t="str">
        <f ca="1">NUMBERSTRING(INT(N57*10000),2)&amp;"元整"</f>
        <v>零元整</v>
      </c>
      <c r="O58" s="2057"/>
    </row>
    <row r="59" spans="1:35" ht="24">
      <c r="A59" s="2953" t="s">
        <v>788</v>
      </c>
      <c r="B59" s="2954"/>
      <c r="C59" s="2954"/>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782</v>
      </c>
      <c r="H59" s="2033"/>
      <c r="I59" s="2046" t="s">
        <v>789</v>
      </c>
      <c r="J59" s="2958">
        <f>J57+1</f>
        <v>6</v>
      </c>
      <c r="K59" s="2943" t="s">
        <v>790</v>
      </c>
      <c r="L59" s="699" t="s">
        <v>785</v>
      </c>
      <c r="M59" s="2058"/>
      <c r="N59" s="2059" t="e">
        <f ca="1">M49-N57</f>
        <v>#VALUE!</v>
      </c>
      <c r="O59" s="2060"/>
    </row>
    <row r="60" spans="1:35" ht="12" customHeight="1">
      <c r="A60" s="1996"/>
      <c r="B60" s="1738"/>
      <c r="C60" s="1738"/>
      <c r="D60" s="1738"/>
      <c r="E60" s="2034"/>
      <c r="F60" s="2035"/>
      <c r="G60" s="2035"/>
      <c r="H60" s="334"/>
      <c r="I60" s="333"/>
      <c r="J60" s="2959"/>
      <c r="K60" s="2943"/>
      <c r="L60" s="2045" t="s">
        <v>787</v>
      </c>
      <c r="M60" s="2055"/>
      <c r="N60" s="2056" t="e">
        <f ca="1">NUMBERSTRING(INT(N59*10000),2)&amp;"元整"</f>
        <v>#VALUE!</v>
      </c>
      <c r="O60" s="2057"/>
    </row>
    <row r="61" spans="1:35" ht="13.2">
      <c r="A61" s="2955" t="s">
        <v>791</v>
      </c>
      <c r="B61" s="2955"/>
      <c r="C61" s="2955"/>
      <c r="D61" s="2955"/>
      <c r="E61" s="2955"/>
      <c r="F61" s="2035"/>
      <c r="G61" s="2035"/>
      <c r="H61" s="334"/>
      <c r="I61" s="333"/>
      <c r="J61" s="699">
        <f>J59+1</f>
        <v>7</v>
      </c>
      <c r="K61" s="2943" t="s">
        <v>792</v>
      </c>
      <c r="L61" s="2943"/>
      <c r="M61" s="2061"/>
      <c r="N61" s="2062" t="e">
        <f ca="1">ROUND(N59*10000/'数据-汇总表'!E3,0)</f>
        <v>#VALUE!</v>
      </c>
      <c r="O61" s="2063"/>
    </row>
    <row r="62" spans="1:35" ht="13.2">
      <c r="A62" s="2956" t="s">
        <v>793</v>
      </c>
      <c r="B62" s="2957"/>
      <c r="C62" s="609"/>
      <c r="D62" s="609" t="s">
        <v>794</v>
      </c>
      <c r="E62" s="2036" t="s">
        <v>748</v>
      </c>
      <c r="F62" s="2035"/>
      <c r="G62" s="2035"/>
      <c r="H62" s="334"/>
      <c r="I62" s="333"/>
    </row>
    <row r="63" spans="1:35" ht="13.2">
      <c r="A63" s="1997" t="s">
        <v>795</v>
      </c>
      <c r="B63" s="1998" t="s">
        <v>796</v>
      </c>
      <c r="C63" s="1998" t="e">
        <f ca="1">ROUND((C64+C65)/(1+'数据-取费表'!C42),0)</f>
        <v>#REF!</v>
      </c>
      <c r="D63" s="1998"/>
      <c r="E63" s="2037"/>
      <c r="F63" s="2035"/>
      <c r="G63" s="2035"/>
      <c r="H63" s="334"/>
      <c r="I63" s="333"/>
      <c r="J63" s="2942" t="s">
        <v>797</v>
      </c>
      <c r="K63" s="2047" t="s">
        <v>798</v>
      </c>
      <c r="L63" s="2047" t="e">
        <f>IF(M49&gt;10000,M49*0.5%,IF(AND(M49&gt;1000,M49&lt;=10000),M49*1%,IF(AND(M49&gt;100,M49&lt;=1000),M49*3%,IF(AND(M49&gt;10,M49&lt;=100),M49*5%,M49*8%))))</f>
        <v>#VALUE!</v>
      </c>
      <c r="M63" s="1614" t="e">
        <f>ROUND(L63,1)</f>
        <v>#VALUE!</v>
      </c>
      <c r="N63" s="2064"/>
      <c r="Z63" s="1921"/>
      <c r="AI63" s="1920"/>
    </row>
    <row r="64" spans="1:35" ht="14.25" customHeight="1">
      <c r="A64" s="1994" t="s">
        <v>799</v>
      </c>
      <c r="B64" s="598" t="s">
        <v>800</v>
      </c>
      <c r="C64" s="598" t="e">
        <f ca="1">D45</f>
        <v>#REF!</v>
      </c>
      <c r="D64" s="598" t="s">
        <v>124</v>
      </c>
      <c r="E64" s="2038"/>
      <c r="F64" s="2035"/>
      <c r="G64" s="2035"/>
      <c r="H64" s="334"/>
      <c r="I64" s="333"/>
      <c r="J64" s="2942"/>
      <c r="K64" s="2047" t="s">
        <v>801</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802</v>
      </c>
      <c r="Z64" s="1921"/>
      <c r="AI64" s="1920"/>
    </row>
    <row r="65" spans="1:35" ht="14.25" customHeight="1">
      <c r="A65" s="1994" t="s">
        <v>803</v>
      </c>
      <c r="B65" s="598" t="s">
        <v>804</v>
      </c>
      <c r="C65" s="678"/>
      <c r="D65" s="598"/>
      <c r="E65" s="2038"/>
      <c r="F65" s="2035"/>
      <c r="G65" s="2035"/>
      <c r="H65" s="334"/>
      <c r="I65" s="333"/>
      <c r="J65" s="2942"/>
      <c r="K65" s="2047" t="s">
        <v>805</v>
      </c>
      <c r="L65" s="2047" t="e">
        <f>IF(M49&gt;1000,M49*0.1%,IF(AND(M49&gt;500,M49&lt;=1000),M49*0.5%,IF(AND(M49&gt;50,M49&lt;=500),M49*1%,IF(AND(M49&gt;1,M49&lt;=50),M49*1.5%))))</f>
        <v>#VALUE!</v>
      </c>
      <c r="M65" s="1614" t="e">
        <f t="shared" si="1"/>
        <v>#VALUE!</v>
      </c>
      <c r="N65" s="1753" t="s">
        <v>802</v>
      </c>
      <c r="Z65" s="1921"/>
      <c r="AI65" s="1920"/>
    </row>
    <row r="66" spans="1:35" ht="14.25" customHeight="1">
      <c r="A66" s="1997" t="s">
        <v>806</v>
      </c>
      <c r="B66" s="677" t="s">
        <v>807</v>
      </c>
      <c r="C66" s="2066"/>
      <c r="D66" s="677" t="s">
        <v>124</v>
      </c>
      <c r="E66" s="2089" t="s">
        <v>808</v>
      </c>
      <c r="F66" s="2035"/>
      <c r="G66" s="2035"/>
      <c r="H66" s="334"/>
      <c r="I66" s="333"/>
      <c r="J66" s="2942"/>
      <c r="K66" s="2047" t="s">
        <v>809</v>
      </c>
      <c r="L66" s="2047" t="e">
        <f>M49*0.5%</f>
        <v>#VALUE!</v>
      </c>
      <c r="M66" s="1614" t="e">
        <f>IF(L66&gt;0.5,0.5,ROUND(L66,0))</f>
        <v>#VALUE!</v>
      </c>
      <c r="N66" s="1753" t="s">
        <v>810</v>
      </c>
      <c r="Z66" s="1921"/>
      <c r="AI66" s="1920"/>
    </row>
    <row r="67" spans="1:35" ht="14.25" customHeight="1">
      <c r="A67" s="1997" t="s">
        <v>811</v>
      </c>
      <c r="B67" s="677" t="s">
        <v>812</v>
      </c>
      <c r="C67" s="677" t="e">
        <f ca="1">C63-C66</f>
        <v>#REF!</v>
      </c>
      <c r="D67" s="598" t="s">
        <v>124</v>
      </c>
      <c r="E67" s="2038"/>
      <c r="F67" s="2035"/>
      <c r="G67" s="2035"/>
      <c r="H67" s="334"/>
      <c r="I67" s="333"/>
      <c r="J67" s="2942"/>
      <c r="K67" s="2047" t="s">
        <v>813</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814</v>
      </c>
      <c r="B68" s="752" t="s">
        <v>815</v>
      </c>
      <c r="C68" s="752" t="e">
        <f ca="1">IF(C67&lt;=0,0,ROUND(C67*D68,0))</f>
        <v>#REF!</v>
      </c>
      <c r="D68" s="644">
        <f>'数据-取费表'!B41</f>
        <v>0</v>
      </c>
      <c r="E68" s="2090"/>
      <c r="F68" s="2035"/>
      <c r="G68" s="2035"/>
      <c r="H68" s="334"/>
      <c r="I68" s="333"/>
      <c r="J68" s="2942"/>
      <c r="K68" s="2047" t="s">
        <v>816</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42"/>
      <c r="K69" s="2047" t="s">
        <v>817</v>
      </c>
      <c r="L69" s="2047"/>
      <c r="M69" s="1614" t="e">
        <f>ROUND(SUM(M63:M68),0)</f>
        <v>#VALUE!</v>
      </c>
      <c r="N69" s="2091" t="e">
        <f>M69/M49</f>
        <v>#VALUE!</v>
      </c>
      <c r="Z69" s="1921"/>
      <c r="AI69" s="1920"/>
    </row>
    <row r="70" spans="1:35" s="502" customFormat="1" ht="13.8">
      <c r="A70" s="2980" t="s">
        <v>818</v>
      </c>
      <c r="B70" s="2981"/>
      <c r="C70" s="2981"/>
      <c r="D70" s="2981"/>
      <c r="E70" s="2981"/>
      <c r="F70" s="2981"/>
      <c r="G70" s="2981"/>
      <c r="H70" s="2981"/>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6" t="s">
        <v>793</v>
      </c>
      <c r="B71" s="2957"/>
      <c r="C71" s="609"/>
      <c r="D71" s="609" t="s">
        <v>794</v>
      </c>
      <c r="E71" s="2092" t="s">
        <v>748</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795</v>
      </c>
      <c r="B72" s="677" t="s">
        <v>819</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806</v>
      </c>
      <c r="B73" s="2020" t="s">
        <v>820</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799</v>
      </c>
      <c r="B74" s="598" t="s">
        <v>821</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822</v>
      </c>
      <c r="B75" s="598" t="s">
        <v>823</v>
      </c>
      <c r="C75" s="678"/>
      <c r="D75" s="598" t="s">
        <v>124</v>
      </c>
      <c r="E75" s="2096" t="s">
        <v>824</v>
      </c>
      <c r="F75" s="2097"/>
      <c r="G75" s="2096" t="s">
        <v>825</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826</v>
      </c>
      <c r="B76" s="614" t="s">
        <v>827</v>
      </c>
      <c r="C76" s="598">
        <f>IF(F75="购房发票",ROUND(C75*H75*D76,0),0)</f>
        <v>0</v>
      </c>
      <c r="D76" s="2071">
        <v>0.05</v>
      </c>
      <c r="E76" s="2944" t="s">
        <v>828</v>
      </c>
      <c r="F76" s="2941"/>
      <c r="G76" s="2941"/>
      <c r="H76" s="2982"/>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829</v>
      </c>
      <c r="B77" s="598" t="s">
        <v>830</v>
      </c>
      <c r="C77" s="598">
        <f>ROUND(IF(G77="个人住宅",0,IF(G77="2016年5月1日前购买",C75*D77,C75*D77/(1+'数据-取费表'!C42))),0)</f>
        <v>0</v>
      </c>
      <c r="D77" s="598">
        <f>'数据-取费表'!B48+'数据-取费表'!B49</f>
        <v>0</v>
      </c>
      <c r="E77" s="1742" t="s">
        <v>831</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803</v>
      </c>
      <c r="B78" s="598" t="s">
        <v>832</v>
      </c>
      <c r="C78" s="598" t="e">
        <f ca="1">ROUND(D45*D78/(1+'数据-取费表'!C42),0)</f>
        <v>#REF!</v>
      </c>
      <c r="D78" s="2072">
        <f>'数据-取费表'!B43</f>
        <v>0</v>
      </c>
      <c r="E78" s="2944" t="s">
        <v>833</v>
      </c>
      <c r="F78" s="2941"/>
      <c r="G78" s="2941"/>
      <c r="H78" s="2982"/>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811</v>
      </c>
      <c r="B79" s="677" t="s">
        <v>834</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814</v>
      </c>
      <c r="B80" s="677" t="s">
        <v>835</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836</v>
      </c>
      <c r="B81" s="752" t="s">
        <v>837</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80" t="s">
        <v>838</v>
      </c>
      <c r="B83" s="2981"/>
      <c r="C83" s="2981"/>
      <c r="D83" s="2981"/>
      <c r="E83" s="2981"/>
      <c r="F83" s="2981"/>
      <c r="G83" s="2981"/>
      <c r="H83" s="2981"/>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6" t="s">
        <v>793</v>
      </c>
      <c r="B84" s="2957"/>
      <c r="C84" s="609"/>
      <c r="D84" s="609" t="s">
        <v>794</v>
      </c>
      <c r="E84" s="2092" t="s">
        <v>748</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795</v>
      </c>
      <c r="B85" s="677" t="s">
        <v>819</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806</v>
      </c>
      <c r="B86" s="2020" t="s">
        <v>820</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799</v>
      </c>
      <c r="B87" s="598" t="s">
        <v>839</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822</v>
      </c>
      <c r="B88" s="598" t="s">
        <v>840</v>
      </c>
      <c r="C88" s="678"/>
      <c r="D88" s="2072"/>
      <c r="E88" s="1742" t="s">
        <v>841</v>
      </c>
      <c r="F88" s="1698"/>
      <c r="G88" s="2107" t="s">
        <v>842</v>
      </c>
      <c r="H88" s="2108"/>
      <c r="I88" s="2125"/>
      <c r="J88" s="2127" t="s">
        <v>843</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826</v>
      </c>
      <c r="B89" s="598" t="s">
        <v>830</v>
      </c>
      <c r="C89" s="598">
        <f>ROUND(C88*D89,0)</f>
        <v>0</v>
      </c>
      <c r="D89" s="2072">
        <f>'数据-取费表'!B48+'数据-取费表'!B49</f>
        <v>0</v>
      </c>
      <c r="E89" s="1742" t="s">
        <v>844</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803</v>
      </c>
      <c r="B90" s="598" t="s">
        <v>845</v>
      </c>
      <c r="C90" s="678"/>
      <c r="D90" s="2072"/>
      <c r="E90" s="1742" t="str">
        <f>IF(H88="-","土地取得成本中已包含该笔费用"," ")</f>
        <v xml:space="preserve"> </v>
      </c>
      <c r="F90" s="1698"/>
      <c r="G90" s="2989" t="s">
        <v>846</v>
      </c>
      <c r="H90" s="2940"/>
      <c r="I90" s="2125"/>
      <c r="J90" s="2127" t="s">
        <v>847</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848</v>
      </c>
      <c r="B91" s="598" t="s">
        <v>849</v>
      </c>
      <c r="C91" s="598">
        <f>IF(H91="——",成本法!C33,I91)</f>
        <v>0</v>
      </c>
      <c r="D91" s="2072"/>
      <c r="E91" s="2944" t="s">
        <v>850</v>
      </c>
      <c r="F91" s="2941"/>
      <c r="G91" s="2941"/>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851</v>
      </c>
      <c r="B92" s="598" t="s">
        <v>852</v>
      </c>
      <c r="C92" s="598">
        <f>ROUND((C87+C90+C91)*D92,0)</f>
        <v>0</v>
      </c>
      <c r="D92" s="2075"/>
      <c r="E92" s="2944" t="s">
        <v>853</v>
      </c>
      <c r="F92" s="2941"/>
      <c r="G92" s="2941"/>
      <c r="H92" s="2982"/>
      <c r="I92" s="2125"/>
      <c r="J92" s="2129" t="s">
        <v>854</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855</v>
      </c>
      <c r="B93" s="598" t="s">
        <v>832</v>
      </c>
      <c r="C93" s="598" t="e">
        <f ca="1">ROUND(D45*D93/(1+'数据-取费表'!C42),0)</f>
        <v>#REF!</v>
      </c>
      <c r="D93" s="2072">
        <f>'数据-取费表'!B43</f>
        <v>0</v>
      </c>
      <c r="E93" s="2944" t="s">
        <v>833</v>
      </c>
      <c r="F93" s="2941"/>
      <c r="G93" s="2941"/>
      <c r="H93" s="2982"/>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856</v>
      </c>
      <c r="B94" s="598" t="s">
        <v>857</v>
      </c>
      <c r="C94" s="678">
        <f>ROUND((C87+C90+C91)*D94,0)</f>
        <v>0</v>
      </c>
      <c r="D94" s="2072">
        <v>0.2</v>
      </c>
      <c r="E94" s="3001" t="s">
        <v>858</v>
      </c>
      <c r="F94" s="3002"/>
      <c r="G94" s="3002"/>
      <c r="H94" s="3003"/>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811</v>
      </c>
      <c r="B95" s="677" t="s">
        <v>834</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814</v>
      </c>
      <c r="B96" s="677" t="s">
        <v>835</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836</v>
      </c>
      <c r="B97" s="752" t="s">
        <v>837</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859</v>
      </c>
      <c r="B99" s="1738"/>
      <c r="C99" s="1738"/>
      <c r="D99" s="1738"/>
      <c r="E99" s="2034"/>
      <c r="F99" s="2034"/>
      <c r="G99" s="2034"/>
      <c r="H99" s="1867"/>
      <c r="I99" s="333"/>
    </row>
    <row r="100" spans="1:35" ht="18.75" customHeight="1">
      <c r="A100" s="2909" t="s">
        <v>860</v>
      </c>
      <c r="B100" s="2910"/>
      <c r="C100" s="2910"/>
      <c r="D100" s="2968"/>
      <c r="E100" s="2910" t="s">
        <v>861</v>
      </c>
      <c r="F100" s="2910"/>
      <c r="G100" s="2910"/>
      <c r="H100" s="2968"/>
      <c r="I100" s="333"/>
    </row>
    <row r="101" spans="1:35" ht="18.75" customHeight="1">
      <c r="A101" s="2969" t="s">
        <v>862</v>
      </c>
      <c r="B101" s="2970"/>
      <c r="C101" s="2077">
        <f>C4</f>
        <v>0</v>
      </c>
      <c r="D101" s="2078">
        <f>D4</f>
        <v>0</v>
      </c>
      <c r="E101" s="2983" t="s">
        <v>863</v>
      </c>
      <c r="F101" s="2984"/>
      <c r="G101" s="2112" t="s">
        <v>864</v>
      </c>
      <c r="H101" s="2113" t="e">
        <f ca="1">H118</f>
        <v>#REF!</v>
      </c>
      <c r="I101" s="333"/>
    </row>
    <row r="102" spans="1:35" ht="18.75" customHeight="1">
      <c r="A102" s="2996" t="s">
        <v>865</v>
      </c>
      <c r="B102" s="2079" t="s">
        <v>864</v>
      </c>
      <c r="C102" s="2077" t="e">
        <f ca="1">C19</f>
        <v>#REF!</v>
      </c>
      <c r="D102" s="2078" t="e">
        <f ca="1">D19</f>
        <v>#REF!</v>
      </c>
      <c r="E102" s="2983"/>
      <c r="F102" s="2984"/>
      <c r="G102" s="2112" t="s">
        <v>99</v>
      </c>
      <c r="H102" s="2021" t="e">
        <f ca="1">I118</f>
        <v>#REF!</v>
      </c>
      <c r="I102" s="333"/>
    </row>
    <row r="103" spans="1:35" ht="42.75" customHeight="1">
      <c r="A103" s="2996"/>
      <c r="B103" s="2079" t="s">
        <v>99</v>
      </c>
      <c r="C103" s="2080" t="e">
        <f ca="1">C20</f>
        <v>#REF!</v>
      </c>
      <c r="D103" s="2081" t="e">
        <f ca="1">D20</f>
        <v>#REF!</v>
      </c>
      <c r="E103" s="2971" t="s">
        <v>866</v>
      </c>
      <c r="F103" s="2972"/>
      <c r="G103" s="2114" t="s">
        <v>102</v>
      </c>
      <c r="H103" s="2113">
        <f>IF(D36="正常操作",H104+H105+H106,H105+H106)</f>
        <v>0</v>
      </c>
      <c r="I103" s="333"/>
    </row>
    <row r="104" spans="1:35" ht="18.75" customHeight="1">
      <c r="A104" s="2996" t="s">
        <v>867</v>
      </c>
      <c r="B104" s="2082" t="s">
        <v>864</v>
      </c>
      <c r="C104" s="2083" t="e">
        <f ca="1">H118</f>
        <v>#REF!</v>
      </c>
      <c r="D104" s="2084"/>
      <c r="E104" s="1970" t="s">
        <v>868</v>
      </c>
      <c r="F104" s="2115"/>
      <c r="G104" s="2114" t="s">
        <v>102</v>
      </c>
      <c r="H104" s="2116">
        <f>IF(D36="同一抵押权人同一抵押物续贷",C36&amp;"（续贷，未扣减，详见特别提示）",C36)</f>
        <v>0</v>
      </c>
      <c r="I104" s="333"/>
    </row>
    <row r="105" spans="1:35" ht="18.75" customHeight="1">
      <c r="A105" s="2997"/>
      <c r="B105" s="2085" t="s">
        <v>99</v>
      </c>
      <c r="C105" s="2086" t="e">
        <f ca="1">I118</f>
        <v>#REF!</v>
      </c>
      <c r="D105" s="2087"/>
      <c r="E105" s="1970" t="s">
        <v>869</v>
      </c>
      <c r="F105" s="2115"/>
      <c r="G105" s="2114" t="s">
        <v>102</v>
      </c>
      <c r="H105" s="2117">
        <f>C37</f>
        <v>0</v>
      </c>
      <c r="I105" s="333"/>
    </row>
    <row r="106" spans="1:35" ht="18.75" customHeight="1">
      <c r="A106" s="1738" t="s">
        <v>870</v>
      </c>
      <c r="B106" s="1738"/>
      <c r="C106" s="1738"/>
      <c r="D106" s="1738"/>
      <c r="E106" s="2118" t="s">
        <v>871</v>
      </c>
      <c r="F106" s="2115"/>
      <c r="G106" s="2114" t="s">
        <v>102</v>
      </c>
      <c r="H106" s="2117">
        <f>C38</f>
        <v>0</v>
      </c>
      <c r="I106" s="333"/>
    </row>
    <row r="107" spans="1:35" ht="18.75" customHeight="1">
      <c r="A107" s="333"/>
      <c r="B107" s="333"/>
      <c r="C107" s="333"/>
      <c r="D107" s="333"/>
      <c r="E107" s="2985" t="str">
        <f>IF(项目基本情况!E8="已注销","——","3.房地产抵押价值")</f>
        <v>3.房地产抵押价值</v>
      </c>
      <c r="F107" s="2984"/>
      <c r="G107" s="2112" t="s">
        <v>864</v>
      </c>
      <c r="H107" s="2113" t="e">
        <f ca="1">IF(E107="——","——",H101-H103)</f>
        <v>#REF!</v>
      </c>
      <c r="I107" s="333"/>
    </row>
    <row r="108" spans="1:35" ht="18.75" customHeight="1">
      <c r="A108" s="333"/>
      <c r="B108" s="333"/>
      <c r="C108" s="333"/>
      <c r="D108" s="333"/>
      <c r="E108" s="2985"/>
      <c r="F108" s="2984"/>
      <c r="G108" s="2112" t="s">
        <v>99</v>
      </c>
      <c r="H108" s="2021" t="e">
        <f ca="1">ROUND(H107*10000/'数据-汇总表'!E3,0)</f>
        <v>#REF!</v>
      </c>
      <c r="I108" s="333"/>
    </row>
    <row r="109" spans="1:35" ht="18.75" customHeight="1">
      <c r="A109" s="333"/>
      <c r="B109" s="333"/>
      <c r="C109" s="333"/>
      <c r="D109" s="333"/>
      <c r="E109" s="2985" t="str">
        <f>IF(项目基本情况!E8="已注销及未注销","4.抵押担保权已注销时的房地产抵押价值",IF(项目基本情况!E8="已注销","3.抵押担保权已注销时的房地产抵押价值","——"))</f>
        <v>——</v>
      </c>
      <c r="F109" s="2984"/>
      <c r="G109" s="2112" t="s">
        <v>864</v>
      </c>
      <c r="H109" s="2119" t="str">
        <f>IF(E109="——","——",H101-H105-H106)</f>
        <v>——</v>
      </c>
      <c r="I109" s="333"/>
    </row>
    <row r="110" spans="1:35" ht="18.75" customHeight="1">
      <c r="A110" s="333"/>
      <c r="B110" s="333"/>
      <c r="C110" s="333"/>
      <c r="D110" s="333"/>
      <c r="E110" s="2985"/>
      <c r="F110" s="2984"/>
      <c r="G110" s="2112" t="s">
        <v>99</v>
      </c>
      <c r="H110" s="2021" t="str">
        <f>IF(H109="——","——",ROUND(H109*10000/'数据-汇总表'!E3,0))</f>
        <v>——</v>
      </c>
      <c r="I110" s="333"/>
    </row>
    <row r="111" spans="1:35" ht="18.75" customHeight="1">
      <c r="A111" s="333"/>
      <c r="B111" s="333"/>
      <c r="C111" s="333"/>
      <c r="D111" s="333"/>
      <c r="E111" s="2986" t="str">
        <f>IF(项目基本情况!E9="抵押净值",IF(OR(项目基本情况!E8="已注销",项目基本情况!E8="房地产抵押价值"),"4.抵押净值","5.抵押净值"),"——")</f>
        <v>——</v>
      </c>
      <c r="F111" s="2960"/>
      <c r="G111" s="2112" t="s">
        <v>864</v>
      </c>
      <c r="H111" s="2113" t="str">
        <f>IF(E111="——","——",N59)</f>
        <v>——</v>
      </c>
      <c r="I111" s="333"/>
    </row>
    <row r="112" spans="1:35" ht="18.75" customHeight="1">
      <c r="A112" s="333"/>
      <c r="B112" s="333"/>
      <c r="C112" s="333"/>
      <c r="D112" s="333"/>
      <c r="E112" s="2987"/>
      <c r="F112" s="2988"/>
      <c r="G112" s="2120" t="s">
        <v>99</v>
      </c>
      <c r="H112" s="2121" t="str">
        <f>IF(E111="——","——",N61)</f>
        <v>——</v>
      </c>
      <c r="I112" s="333"/>
    </row>
    <row r="113" spans="1:27" ht="18.75" customHeight="1">
      <c r="A113" s="333"/>
      <c r="B113" s="333"/>
      <c r="C113" s="333"/>
      <c r="D113" s="333"/>
      <c r="E113" s="2973" t="s">
        <v>870</v>
      </c>
      <c r="F113" s="2973"/>
      <c r="G113" s="2973"/>
      <c r="H113" s="2973"/>
      <c r="I113" s="333"/>
    </row>
    <row r="114" spans="1:27" ht="3.75" customHeight="1">
      <c r="A114" s="1738"/>
      <c r="B114" s="1738"/>
      <c r="C114" s="1738"/>
      <c r="D114" s="1738"/>
      <c r="E114" s="1996"/>
      <c r="F114" s="1996"/>
      <c r="G114" s="1996"/>
      <c r="H114" s="1996"/>
      <c r="I114" s="1738"/>
    </row>
    <row r="115" spans="1:27" ht="18.75" customHeight="1">
      <c r="A115" s="2974" t="s">
        <v>872</v>
      </c>
      <c r="B115" s="2975"/>
      <c r="C115" s="2975"/>
      <c r="D115" s="2975"/>
      <c r="E115" s="2975"/>
      <c r="F115" s="2975"/>
      <c r="G115" s="2975"/>
      <c r="H115" s="2975"/>
      <c r="I115" s="2976"/>
    </row>
    <row r="116" spans="1:27" ht="27" customHeight="1">
      <c r="A116" s="2964" t="s">
        <v>873</v>
      </c>
      <c r="B116" s="2999" t="s">
        <v>874</v>
      </c>
      <c r="C116" s="2999" t="s">
        <v>875</v>
      </c>
      <c r="D116" s="2977" t="s">
        <v>876</v>
      </c>
      <c r="E116" s="2978"/>
      <c r="F116" s="2979" t="s">
        <v>877</v>
      </c>
      <c r="G116" s="2979"/>
      <c r="H116" s="2964" t="s">
        <v>878</v>
      </c>
      <c r="I116" s="2964"/>
    </row>
    <row r="117" spans="1:27" ht="18.75" customHeight="1">
      <c r="A117" s="2964"/>
      <c r="B117" s="3000"/>
      <c r="C117" s="3000"/>
      <c r="D117" s="812" t="s">
        <v>879</v>
      </c>
      <c r="E117" s="812" t="s">
        <v>708</v>
      </c>
      <c r="F117" s="812" t="s">
        <v>879</v>
      </c>
      <c r="G117" s="812" t="s">
        <v>708</v>
      </c>
      <c r="H117" s="812" t="s">
        <v>879</v>
      </c>
      <c r="I117" s="812" t="s">
        <v>708</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64" t="s">
        <v>880</v>
      </c>
      <c r="B119" s="2964"/>
      <c r="C119" s="2964"/>
      <c r="D119" s="2965" t="e">
        <f ca="1">NUMBERSTRING(INT(D118*10000),2)&amp;"元整"</f>
        <v>#REF!</v>
      </c>
      <c r="E119" s="2967"/>
      <c r="F119" s="2965" t="e">
        <f ca="1">NUMBERSTRING(INT(F118*10000),2)&amp;"元整"</f>
        <v>#REF!</v>
      </c>
      <c r="G119" s="2967"/>
      <c r="H119" s="2965" t="e">
        <f ca="1">NUMBERSTRING(INT(H118*10000),2)&amp;"元整"</f>
        <v>#REF!</v>
      </c>
      <c r="I119" s="2967"/>
    </row>
    <row r="120" spans="1:27" ht="18.75" customHeight="1">
      <c r="A120" s="2961" t="str">
        <f>IF(项目基本情况!B9="房地产市场价值","",MID(E103,3,LEN(E103)-2))</f>
        <v>估价师知悉的法定优先受偿款</v>
      </c>
      <c r="B120" s="2962"/>
      <c r="C120" s="2963"/>
      <c r="D120" s="2961">
        <f>H103</f>
        <v>0</v>
      </c>
      <c r="E120" s="2962"/>
      <c r="F120" s="2962"/>
      <c r="G120" s="2962"/>
      <c r="H120" s="2962"/>
      <c r="I120" s="2963"/>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65" t="s">
        <v>880</v>
      </c>
      <c r="B121" s="2966"/>
      <c r="C121" s="2967"/>
      <c r="D121" s="2965" t="str">
        <f>IF(D120=0,"零元整",NUMBERSTRING(INT(D120*10000),2)&amp;"元整")</f>
        <v>零元整</v>
      </c>
      <c r="E121" s="2966"/>
      <c r="F121" s="2966"/>
      <c r="G121" s="2966"/>
      <c r="H121" s="2966"/>
      <c r="I121" s="2967"/>
      <c r="AA121" s="296"/>
    </row>
    <row r="122" spans="1:27" ht="18.75" customHeight="1">
      <c r="A122" s="2960" t="str">
        <f>IF(项目基本情况!B9="房地产市场价值","",MID(E107,3,LEN(E107)-2))</f>
        <v>房地产抵押价值</v>
      </c>
      <c r="B122" s="2960"/>
      <c r="C122" s="2960"/>
      <c r="D122" s="2961" t="e">
        <f ca="1">H107</f>
        <v>#REF!</v>
      </c>
      <c r="E122" s="2962"/>
      <c r="F122" s="2962"/>
      <c r="G122" s="2962"/>
      <c r="H122" s="2962"/>
      <c r="I122" s="2963"/>
      <c r="AA122" s="296"/>
    </row>
    <row r="123" spans="1:27" ht="18.75" customHeight="1">
      <c r="A123" s="2964" t="s">
        <v>880</v>
      </c>
      <c r="B123" s="2964"/>
      <c r="C123" s="2964"/>
      <c r="D123" s="2965" t="e">
        <f ca="1">NUMBERSTRING(INT(D122*10000),2)&amp;"元整"</f>
        <v>#REF!</v>
      </c>
      <c r="E123" s="2966"/>
      <c r="F123" s="2966"/>
      <c r="G123" s="2966"/>
      <c r="H123" s="2966"/>
      <c r="I123" s="2967"/>
      <c r="AA123" s="296"/>
    </row>
    <row r="124" spans="1:27" ht="18.75" customHeight="1">
      <c r="A124" s="2960" t="str">
        <f>IF(项目基本情况!B9="房地产市场价值","",MID(E109,3,LEN(E109)-2))</f>
        <v/>
      </c>
      <c r="B124" s="2960"/>
      <c r="C124" s="2960"/>
      <c r="D124" s="2961" t="str">
        <f>H109</f>
        <v>——</v>
      </c>
      <c r="E124" s="2962"/>
      <c r="F124" s="2962"/>
      <c r="G124" s="2962"/>
      <c r="H124" s="2962"/>
      <c r="I124" s="2963"/>
      <c r="AA124" s="296"/>
    </row>
    <row r="125" spans="1:27" ht="18.75" customHeight="1">
      <c r="A125" s="2964" t="s">
        <v>880</v>
      </c>
      <c r="B125" s="2964"/>
      <c r="C125" s="2964"/>
      <c r="D125" s="2965" t="e">
        <f>NUMBERSTRING(INT(D124*10000),2)&amp;"元整"</f>
        <v>#VALUE!</v>
      </c>
      <c r="E125" s="2966"/>
      <c r="F125" s="2966"/>
      <c r="G125" s="2966"/>
      <c r="H125" s="2966"/>
      <c r="I125" s="2967"/>
      <c r="AA125" s="296"/>
    </row>
    <row r="126" spans="1:27" ht="18.75" customHeight="1">
      <c r="A126" s="2960" t="str">
        <f>IF(项目基本情况!B9="房地产市场价值","",MID(E111,3,LEN(E111)-2))</f>
        <v/>
      </c>
      <c r="B126" s="2960"/>
      <c r="C126" s="2960"/>
      <c r="D126" s="2961" t="str">
        <f>H111</f>
        <v>——</v>
      </c>
      <c r="E126" s="2962"/>
      <c r="F126" s="2962"/>
      <c r="G126" s="2962"/>
      <c r="H126" s="2962"/>
      <c r="I126" s="2963"/>
      <c r="AA126" s="296"/>
    </row>
    <row r="127" spans="1:27" ht="18.75" customHeight="1">
      <c r="A127" s="2964" t="s">
        <v>880</v>
      </c>
      <c r="B127" s="2964"/>
      <c r="C127" s="2964"/>
      <c r="D127" s="2965" t="e">
        <f>NUMBERSTRING(INT(D126*10000),2)&amp;"元整"</f>
        <v>#VALUE!</v>
      </c>
      <c r="E127" s="2966"/>
      <c r="F127" s="2966"/>
      <c r="G127" s="2966"/>
      <c r="H127" s="2966"/>
      <c r="I127" s="2967"/>
      <c r="AA127" s="296"/>
    </row>
    <row r="128" spans="1:27" ht="21.75" customHeight="1">
      <c r="A128" s="2990" t="s">
        <v>113</v>
      </c>
      <c r="B128" s="2990"/>
      <c r="C128" s="2990"/>
      <c r="D128" s="2990"/>
      <c r="E128" s="2990"/>
      <c r="F128" s="2990"/>
      <c r="G128" s="2990"/>
      <c r="H128" s="2990"/>
      <c r="I128" s="2990"/>
      <c r="AA128" s="296"/>
    </row>
    <row r="129" spans="1:35" ht="21.75" customHeight="1">
      <c r="A129" s="2131" t="s">
        <v>881</v>
      </c>
      <c r="B129" s="2132"/>
      <c r="C129" s="2133" t="s">
        <v>882</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883</v>
      </c>
      <c r="G135" s="2141"/>
      <c r="H135" s="2141"/>
      <c r="I135" s="2150" t="s">
        <v>884</v>
      </c>
    </row>
    <row r="136" spans="1:35" ht="21.75" customHeight="1">
      <c r="A136" s="296"/>
      <c r="B136" s="2140" t="s">
        <v>885</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886</v>
      </c>
    </row>
    <row r="139" spans="1:35" ht="21.75" customHeight="1">
      <c r="A139" s="296"/>
      <c r="B139" s="2140" t="s">
        <v>887</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886</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888</v>
      </c>
      <c r="B1" s="1906"/>
      <c r="C1" s="225"/>
      <c r="D1" s="225"/>
      <c r="E1" s="225"/>
      <c r="F1" s="225"/>
      <c r="G1" s="1909">
        <f>MATCH(B1,'数据-取费表'!A6:A16,0)+5</f>
        <v>6</v>
      </c>
    </row>
    <row r="2" spans="1:9" s="215" customFormat="1" ht="18" customHeight="1">
      <c r="A2" s="226" t="s">
        <v>889</v>
      </c>
      <c r="B2" s="227" t="e">
        <f ca="1">IF(D2="——",C52,C52-E2)</f>
        <v>#VALUE!</v>
      </c>
      <c r="C2" s="229" t="s">
        <v>890</v>
      </c>
      <c r="D2" s="1908" t="s">
        <v>124</v>
      </c>
      <c r="E2" s="1910" t="e">
        <f ca="1">SUMIF(INDIRECT("'"&amp;G2&amp;"'"&amp;"!A:A"),"承租人权益价值",INDIRECT("'"&amp;G2&amp;"'"&amp;"!c:c"))</f>
        <v>#REF!</v>
      </c>
      <c r="F2" s="1911" t="s">
        <v>890</v>
      </c>
      <c r="G2" s="1912"/>
    </row>
    <row r="3" spans="1:9" s="215" customFormat="1" ht="18" customHeight="1">
      <c r="A3" s="230" t="s">
        <v>891</v>
      </c>
      <c r="B3" s="231" t="e">
        <f ca="1">ROUND(B2*10000/(IF(B1="",'数据-汇总表'!E3,INDIRECT("'数据-取费表'!k"&amp;$G$1))),0)</f>
        <v>#VALUE!</v>
      </c>
      <c r="C3" s="229" t="s">
        <v>892</v>
      </c>
      <c r="D3" s="229"/>
      <c r="E3" s="229"/>
      <c r="F3" s="229"/>
      <c r="G3" s="229"/>
    </row>
    <row r="4" spans="1:9" s="216" customFormat="1" ht="16.2">
      <c r="A4" s="232" t="s">
        <v>893</v>
      </c>
      <c r="B4" s="233"/>
      <c r="C4" s="233"/>
      <c r="D4" s="233"/>
      <c r="E4" s="233"/>
      <c r="F4" s="233"/>
      <c r="G4" s="268"/>
    </row>
    <row r="5" spans="1:9" s="217" customFormat="1" ht="13.5" customHeight="1">
      <c r="A5" s="234" t="s">
        <v>894</v>
      </c>
      <c r="B5" s="235" t="s">
        <v>895</v>
      </c>
      <c r="C5" s="236">
        <f>C6+C7+C8</f>
        <v>0</v>
      </c>
      <c r="D5" s="236" t="s">
        <v>896</v>
      </c>
      <c r="E5" s="236" t="s">
        <v>897</v>
      </c>
      <c r="F5" s="236" t="s">
        <v>794</v>
      </c>
      <c r="G5" s="269"/>
    </row>
    <row r="6" spans="1:9" s="217" customFormat="1" ht="13.5" customHeight="1">
      <c r="A6" s="237" t="s">
        <v>898</v>
      </c>
      <c r="B6" s="238" t="s">
        <v>899</v>
      </c>
      <c r="C6" s="239"/>
      <c r="D6" s="240"/>
      <c r="E6" s="240"/>
      <c r="F6" s="240"/>
      <c r="G6" s="270"/>
    </row>
    <row r="7" spans="1:9" s="217" customFormat="1" ht="13.5" customHeight="1">
      <c r="A7" s="237" t="s">
        <v>900</v>
      </c>
      <c r="B7" s="238" t="s">
        <v>901</v>
      </c>
      <c r="C7" s="240">
        <f>ROUND(C6*F7,0)</f>
        <v>0</v>
      </c>
      <c r="D7" s="240"/>
      <c r="E7" s="240"/>
      <c r="F7" s="240">
        <f>IF(项目基本情况!B8="出让",0,'数据-取费表'!B48+'数据-取费表'!B49)</f>
        <v>0</v>
      </c>
      <c r="G7" s="270"/>
    </row>
    <row r="8" spans="1:9" s="218" customFormat="1">
      <c r="A8" s="237" t="s">
        <v>902</v>
      </c>
      <c r="B8" s="238" t="s">
        <v>903</v>
      </c>
      <c r="C8" s="240">
        <f>IF(G8="已包含在土地购买价格中","0",IF(B1="",'数据-取费表'!B29,IF(G9="全部缴纳",C9+C10,H9)))</f>
        <v>0</v>
      </c>
      <c r="D8" s="241"/>
      <c r="E8" s="240"/>
      <c r="F8" s="240"/>
      <c r="G8" s="1913"/>
    </row>
    <row r="9" spans="1:9" s="217" customFormat="1" ht="13.5" customHeight="1">
      <c r="A9" s="242" t="s">
        <v>904</v>
      </c>
      <c r="B9" s="243" t="s">
        <v>905</v>
      </c>
      <c r="C9" s="244">
        <f ca="1">ROUND(D9*E9/10000,0)</f>
        <v>0</v>
      </c>
      <c r="D9" s="245">
        <f ca="1">IF(B1="",'数据-汇总表'!E5,IF(INDIRECT("'数据-取费表'!c"&amp;$G$1)="住宅",INDIRECT("'数据-取费表'!k"&amp;$G$1),0))</f>
        <v>0</v>
      </c>
      <c r="E9" s="244">
        <f>'数据-取费表'!B27</f>
        <v>0</v>
      </c>
      <c r="F9" s="240"/>
      <c r="G9" s="1916"/>
      <c r="H9" s="1917"/>
      <c r="I9" s="1918" t="s">
        <v>906</v>
      </c>
    </row>
    <row r="10" spans="1:9" s="217" customFormat="1" ht="13.5" customHeight="1">
      <c r="A10" s="242" t="s">
        <v>907</v>
      </c>
      <c r="B10" s="243" t="s">
        <v>908</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909</v>
      </c>
      <c r="B11" s="238" t="s">
        <v>910</v>
      </c>
      <c r="C11" s="236"/>
      <c r="D11" s="240"/>
      <c r="E11" s="240"/>
      <c r="F11" s="240"/>
      <c r="G11" s="270"/>
    </row>
    <row r="12" spans="1:9" s="217" customFormat="1" ht="13.5" hidden="1" customHeight="1">
      <c r="A12" s="246" t="s">
        <v>911</v>
      </c>
      <c r="B12" s="238" t="s">
        <v>830</v>
      </c>
      <c r="C12" s="236">
        <v>0</v>
      </c>
      <c r="D12" s="240"/>
      <c r="E12" s="273"/>
      <c r="F12" s="240">
        <v>3.0499999999999999E-2</v>
      </c>
      <c r="G12" s="270"/>
    </row>
    <row r="13" spans="1:9" s="217" customFormat="1" ht="13.5" hidden="1" customHeight="1">
      <c r="A13" s="246" t="s">
        <v>912</v>
      </c>
      <c r="B13" s="238" t="s">
        <v>913</v>
      </c>
      <c r="C13" s="236"/>
      <c r="D13" s="240"/>
      <c r="E13" s="240"/>
      <c r="F13" s="240"/>
      <c r="G13" s="270"/>
    </row>
    <row r="14" spans="1:9" s="217" customFormat="1" ht="13.5" hidden="1" customHeight="1">
      <c r="A14" s="246" t="s">
        <v>914</v>
      </c>
      <c r="B14" s="238" t="s">
        <v>903</v>
      </c>
      <c r="C14" s="236"/>
      <c r="D14" s="240"/>
      <c r="E14" s="240"/>
      <c r="F14" s="240"/>
      <c r="G14" s="270" t="s">
        <v>915</v>
      </c>
    </row>
    <row r="15" spans="1:9" s="217" customFormat="1" ht="13.5" hidden="1" customHeight="1">
      <c r="A15" s="246" t="s">
        <v>916</v>
      </c>
      <c r="B15" s="238" t="s">
        <v>917</v>
      </c>
      <c r="C15" s="240"/>
      <c r="D15" s="240"/>
      <c r="E15" s="240"/>
      <c r="F15" s="240"/>
      <c r="G15" s="270" t="s">
        <v>918</v>
      </c>
    </row>
    <row r="16" spans="1:9"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IF(G19="已包含在土地取得成本中","0",ROUND(D19*E19/10000,0))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ROUND(IF('数据-取费表'!B22&lt;=1,C5*F22*'数据-取费表'!B23,C5*(POWER((1+F22),'数据-取费表'!B23)-1)),0)</f>
        <v>#VALUE!</v>
      </c>
      <c r="D23" s="253"/>
      <c r="E23" s="253"/>
      <c r="F23" s="278"/>
      <c r="G23" s="279" t="s">
        <v>937</v>
      </c>
    </row>
    <row r="24" spans="1:7" s="217" customFormat="1" ht="13.5" customHeight="1">
      <c r="A24" s="252" t="s">
        <v>900</v>
      </c>
      <c r="B24" s="238" t="s">
        <v>938</v>
      </c>
      <c r="C24" s="253" t="e">
        <f ca="1">ROUND(IF('数据-取费表'!B22&lt;=1,C19*F22*('数据-取费表'!B19/2+'数据-取费表'!B21),C19*(POWER((1+F22),('数据-取费表'!B19/2+'数据-取费表'!B21))-1)),0)</f>
        <v>#VALUE!</v>
      </c>
      <c r="D24" s="253"/>
      <c r="E24" s="253"/>
      <c r="F24" s="278"/>
      <c r="G24" s="279" t="s">
        <v>939</v>
      </c>
    </row>
    <row r="25" spans="1:7" s="217" customFormat="1" ht="24">
      <c r="A25" s="252" t="s">
        <v>902</v>
      </c>
      <c r="B25" s="238" t="s">
        <v>940</v>
      </c>
      <c r="C25" s="253" t="e">
        <f ca="1">ROUND(IF('数据-取费表'!B22&lt;=1,C20*F22*'数据-取费表'!B23/2,C20*(POWER((1+F22),'数据-取费表'!B23/2)-1)),0)</f>
        <v>#VALUE!</v>
      </c>
      <c r="D25" s="253"/>
      <c r="E25" s="280"/>
      <c r="F25" s="278"/>
      <c r="G25" s="281" t="s">
        <v>941</v>
      </c>
    </row>
    <row r="26" spans="1:7" s="217" customFormat="1">
      <c r="A26" s="252" t="s">
        <v>942</v>
      </c>
      <c r="B26" s="238" t="s">
        <v>943</v>
      </c>
      <c r="C26" s="253" t="e">
        <f ca="1">ROUND(IF('数据-取费表'!B22&lt;=1,F21*F22*'数据-取费表'!B23/2,F21*(POWER((1+F22),'数据-取费表'!B23/2)-1)),4)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ROUND((C5+C19+C20)*F27*'数据-取费表'!B21/'数据-取费表'!B20,0)</f>
        <v>#DIV/0!</v>
      </c>
      <c r="D28" s="250"/>
      <c r="E28" s="251"/>
      <c r="F28" s="277"/>
      <c r="G28" s="283"/>
    </row>
    <row r="29" spans="1:7" s="217" customFormat="1" ht="13.5" customHeight="1">
      <c r="A29" s="252" t="s">
        <v>900</v>
      </c>
      <c r="B29" s="256" t="s">
        <v>948</v>
      </c>
      <c r="C29" s="253" t="e">
        <f ca="1">ROUND(C21*F27*'数据-取费表'!B21/'数据-取费表'!B20,4)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954</v>
      </c>
      <c r="B32" s="259"/>
      <c r="C32" s="259"/>
      <c r="D32" s="259"/>
      <c r="E32" s="259"/>
      <c r="F32" s="259"/>
      <c r="G32" s="284"/>
    </row>
    <row r="33" spans="1:7" s="217" customFormat="1" ht="13.5" customHeight="1">
      <c r="A33" s="234" t="s">
        <v>894</v>
      </c>
      <c r="B33" s="235" t="s">
        <v>955</v>
      </c>
      <c r="C33" s="249">
        <f ca="1">SUM(C34:C38)</f>
        <v>0</v>
      </c>
      <c r="D33" s="249"/>
      <c r="E33" s="236"/>
      <c r="F33" s="280"/>
      <c r="G33" s="276"/>
    </row>
    <row r="34" spans="1:7" s="219" customFormat="1" ht="13.5" customHeight="1">
      <c r="A34" s="252" t="s">
        <v>898</v>
      </c>
      <c r="B34" s="238" t="s">
        <v>956</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957</v>
      </c>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961</v>
      </c>
    </row>
    <row r="37" spans="1:7" s="219" customFormat="1" ht="13.5" customHeight="1">
      <c r="A37" s="252" t="s">
        <v>942</v>
      </c>
      <c r="B37" s="238" t="s">
        <v>962</v>
      </c>
      <c r="C37" s="257">
        <f ca="1">ROUND(E37*D37*F34/10000,0)</f>
        <v>0</v>
      </c>
      <c r="D37" s="240">
        <f ca="1">D19</f>
        <v>0</v>
      </c>
      <c r="E37" s="257">
        <f>'数据-取费表'!B35</f>
        <v>0</v>
      </c>
      <c r="F37" s="285"/>
      <c r="G37" s="287" t="s">
        <v>963</v>
      </c>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ROUND(IF('数据-取费表'!B22&lt;=1,C33*F22*'数据-取费表'!B21/2,C33*(POWER((1+F22),'数据-取费表'!B21/2)-1)),0)</f>
        <v>#VALUE!</v>
      </c>
      <c r="D42" s="253"/>
      <c r="E42" s="253"/>
      <c r="F42" s="278"/>
      <c r="G42" s="3004" t="s">
        <v>968</v>
      </c>
    </row>
    <row r="43" spans="1:7" ht="13.5" customHeight="1">
      <c r="A43" s="252" t="s">
        <v>900</v>
      </c>
      <c r="B43" s="238" t="s">
        <v>938</v>
      </c>
      <c r="C43" s="253" t="e">
        <f ca="1">ROUND(IF('数据-取费表'!B22&lt;=1,C39*F22*'数据-取费表'!B21/2,C39*(POWER((1+F22),'数据-取费表'!B21/2)-1)),0)</f>
        <v>#VALUE!</v>
      </c>
      <c r="D43" s="253"/>
      <c r="E43" s="253"/>
      <c r="F43" s="278"/>
      <c r="G43" s="3005"/>
    </row>
    <row r="44" spans="1:7" ht="13.5" customHeight="1">
      <c r="A44" s="252" t="s">
        <v>902</v>
      </c>
      <c r="B44" s="238" t="s">
        <v>940</v>
      </c>
      <c r="C44" s="253" t="e">
        <f ca="1">ROUND(IF('数据-取费表'!B22&lt;=1,C40*F22*'数据-取费表'!B21/2,C40*(POWER((1+F22),'数据-取费表'!B21/2)-1)),4)</f>
        <v>#VALUE!</v>
      </c>
      <c r="D44" s="253"/>
      <c r="E44" s="253"/>
      <c r="F44" s="278"/>
      <c r="G44" s="3006"/>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973</v>
      </c>
      <c r="C49" s="249" t="e">
        <f ca="1">ROUND((C33+C39+C41+C45)/(1-C40-D41-D45-C48),0)</f>
        <v>#VALUE!</v>
      </c>
      <c r="D49" s="249"/>
      <c r="E49" s="249"/>
      <c r="F49" s="255"/>
      <c r="G49" s="276" t="s">
        <v>974</v>
      </c>
    </row>
    <row r="50" spans="1:7" s="219" customFormat="1" ht="24">
      <c r="A50" s="234" t="s">
        <v>975</v>
      </c>
      <c r="B50" s="235" t="s">
        <v>976</v>
      </c>
      <c r="C50" s="249"/>
      <c r="D50" s="249"/>
      <c r="E50" s="249"/>
      <c r="F50" s="255" t="e">
        <f>IF('数据-取费表'!B24=0,'数据-取费表'!N16,1)</f>
        <v>#DIV/0!</v>
      </c>
      <c r="G50" s="283" t="s">
        <v>977</v>
      </c>
    </row>
    <row r="51" spans="1:7" ht="16.5" customHeight="1">
      <c r="A51" s="234" t="s">
        <v>978</v>
      </c>
      <c r="B51" s="235" t="s">
        <v>979</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888</v>
      </c>
      <c r="B1" s="1906"/>
      <c r="C1" s="1907" t="s">
        <v>985</v>
      </c>
      <c r="D1" s="225"/>
      <c r="E1" s="225"/>
      <c r="F1" s="225"/>
      <c r="G1" s="1909">
        <f>MATCH(B1,'数据-取费表'!A6:A16,0)+5</f>
        <v>6</v>
      </c>
      <c r="H1" s="1378" t="str">
        <f>IF(ISERROR(FIND("住宅",B1)),"非住宅","住宅")</f>
        <v>非住宅</v>
      </c>
    </row>
    <row r="2" spans="1:8" s="215" customFormat="1" ht="18" customHeight="1">
      <c r="A2" s="226" t="s">
        <v>889</v>
      </c>
      <c r="B2" s="227" t="e">
        <f ca="1">ROUND(IF(D2="——",C52/10000,C52/10000-E2),0)</f>
        <v>#VALUE!</v>
      </c>
      <c r="C2" s="229" t="s">
        <v>890</v>
      </c>
      <c r="D2" s="1908" t="s">
        <v>124</v>
      </c>
      <c r="E2" s="1910" t="e">
        <f ca="1">SUMIF(INDIRECT("'"&amp;G2&amp;"'"&amp;"!A:A"),"承租人权益价值",INDIRECT("'"&amp;G2&amp;"'"&amp;"!c:c"))</f>
        <v>#REF!</v>
      </c>
      <c r="F2" s="1911" t="s">
        <v>890</v>
      </c>
      <c r="G2" s="1912"/>
    </row>
    <row r="3" spans="1:8" s="215" customFormat="1" ht="18" customHeight="1">
      <c r="A3" s="230" t="s">
        <v>891</v>
      </c>
      <c r="B3" s="231" t="e">
        <f ca="1">ROUND(B2*10000/(IF(B1="",'数据-汇总表'!E3,INDIRECT("'数据-取费表'!k"&amp;$G$1))),0)</f>
        <v>#VALUE!</v>
      </c>
      <c r="C3" s="229" t="s">
        <v>892</v>
      </c>
      <c r="D3" s="229"/>
      <c r="E3" s="229"/>
      <c r="F3" s="229"/>
      <c r="G3" s="229"/>
    </row>
    <row r="4" spans="1:8" s="216" customFormat="1" ht="16.2">
      <c r="A4" s="232" t="s">
        <v>893</v>
      </c>
      <c r="B4" s="233"/>
      <c r="C4" s="233"/>
      <c r="D4" s="233"/>
      <c r="E4" s="233"/>
      <c r="F4" s="233"/>
      <c r="G4" s="268"/>
    </row>
    <row r="5" spans="1:8" s="217" customFormat="1" ht="13.5" customHeight="1">
      <c r="A5" s="234" t="s">
        <v>894</v>
      </c>
      <c r="B5" s="235" t="s">
        <v>895</v>
      </c>
      <c r="C5" s="236">
        <f ca="1">C6+C7+C8</f>
        <v>0</v>
      </c>
      <c r="D5" s="236" t="s">
        <v>896</v>
      </c>
      <c r="E5" s="236" t="s">
        <v>897</v>
      </c>
      <c r="F5" s="236" t="s">
        <v>794</v>
      </c>
      <c r="G5" s="269"/>
    </row>
    <row r="6" spans="1:8" s="217" customFormat="1" ht="13.5" customHeight="1">
      <c r="A6" s="237" t="s">
        <v>898</v>
      </c>
      <c r="B6" s="238" t="s">
        <v>899</v>
      </c>
      <c r="C6" s="239"/>
      <c r="D6" s="240"/>
      <c r="E6" s="240"/>
      <c r="F6" s="240"/>
      <c r="G6" s="270"/>
    </row>
    <row r="7" spans="1:8" s="217" customFormat="1" ht="13.5" customHeight="1">
      <c r="A7" s="237" t="s">
        <v>900</v>
      </c>
      <c r="B7" s="238" t="s">
        <v>901</v>
      </c>
      <c r="C7" s="240">
        <f>ROUND(C6*F7,0)</f>
        <v>0</v>
      </c>
      <c r="D7" s="240"/>
      <c r="E7" s="240"/>
      <c r="F7" s="240">
        <f>IF(项目基本情况!B8="出让",0,'数据-取费表'!B48+'数据-取费表'!B49)</f>
        <v>0</v>
      </c>
      <c r="G7" s="270"/>
    </row>
    <row r="8" spans="1:8" s="218" customFormat="1">
      <c r="A8" s="237" t="s">
        <v>902</v>
      </c>
      <c r="B8" s="238" t="s">
        <v>903</v>
      </c>
      <c r="C8" s="240">
        <f ca="1">IF(G8="已包含在土地购买价格中",0,C9+C10)</f>
        <v>0</v>
      </c>
      <c r="D8" s="241"/>
      <c r="E8" s="240"/>
      <c r="F8" s="240"/>
      <c r="G8" s="1913"/>
    </row>
    <row r="9" spans="1:8" s="217" customFormat="1" ht="13.5" customHeight="1">
      <c r="A9" s="242" t="s">
        <v>904</v>
      </c>
      <c r="B9" s="243" t="s">
        <v>905</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907</v>
      </c>
      <c r="B10" s="243" t="s">
        <v>908</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909</v>
      </c>
      <c r="B11" s="238" t="s">
        <v>910</v>
      </c>
      <c r="C11" s="236"/>
      <c r="D11" s="240"/>
      <c r="E11" s="240"/>
      <c r="F11" s="240"/>
      <c r="G11" s="270"/>
    </row>
    <row r="12" spans="1:8" s="217" customFormat="1" ht="13.5" hidden="1" customHeight="1">
      <c r="A12" s="246" t="s">
        <v>911</v>
      </c>
      <c r="B12" s="238" t="s">
        <v>830</v>
      </c>
      <c r="C12" s="236">
        <v>0</v>
      </c>
      <c r="D12" s="240"/>
      <c r="E12" s="273"/>
      <c r="F12" s="240">
        <v>3.0499999999999999E-2</v>
      </c>
      <c r="G12" s="270"/>
    </row>
    <row r="13" spans="1:8" s="217" customFormat="1" ht="13.5" hidden="1" customHeight="1">
      <c r="A13" s="246" t="s">
        <v>912</v>
      </c>
      <c r="B13" s="238" t="s">
        <v>913</v>
      </c>
      <c r="C13" s="236"/>
      <c r="D13" s="240"/>
      <c r="E13" s="240"/>
      <c r="F13" s="240"/>
      <c r="G13" s="270"/>
    </row>
    <row r="14" spans="1:8" s="217" customFormat="1" ht="13.5" hidden="1" customHeight="1">
      <c r="A14" s="246" t="s">
        <v>914</v>
      </c>
      <c r="B14" s="238" t="s">
        <v>903</v>
      </c>
      <c r="C14" s="236"/>
      <c r="D14" s="240"/>
      <c r="E14" s="240"/>
      <c r="F14" s="240"/>
      <c r="G14" s="270" t="s">
        <v>915</v>
      </c>
    </row>
    <row r="15" spans="1:8" s="217" customFormat="1" ht="13.5" hidden="1" customHeight="1">
      <c r="A15" s="246" t="s">
        <v>916</v>
      </c>
      <c r="B15" s="238" t="s">
        <v>917</v>
      </c>
      <c r="C15" s="240"/>
      <c r="D15" s="240"/>
      <c r="E15" s="240"/>
      <c r="F15" s="240"/>
      <c r="G15" s="270" t="s">
        <v>918</v>
      </c>
    </row>
    <row r="16" spans="1:8"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ROUND(IF('数据-取费表'!B22&lt;=1,C5*F22*'数据-取费表'!B22,C5*(POWER((1+F22),'数据-取费表'!B22)-1)),0)</f>
        <v>#VALUE!</v>
      </c>
      <c r="D23" s="253"/>
      <c r="E23" s="253"/>
      <c r="F23" s="278"/>
      <c r="G23" s="279" t="s">
        <v>937</v>
      </c>
    </row>
    <row r="24" spans="1:7" s="217" customFormat="1" ht="13.5" customHeight="1">
      <c r="A24" s="252" t="s">
        <v>900</v>
      </c>
      <c r="B24" s="238" t="s">
        <v>938</v>
      </c>
      <c r="C24" s="253" t="e">
        <f ca="1">ROUND(IF('数据-取费表'!B22&lt;=1,C19*F22*('数据-取费表'!B19/2+'数据-取费表'!B20),C19*(POWER((1+F22),('数据-取费表'!B19/2+'数据-取费表'!B20))-1)),0)</f>
        <v>#VALUE!</v>
      </c>
      <c r="D24" s="253"/>
      <c r="E24" s="253"/>
      <c r="F24" s="278"/>
      <c r="G24" s="279" t="s">
        <v>939</v>
      </c>
    </row>
    <row r="25" spans="1:7" s="217" customFormat="1" ht="24">
      <c r="A25" s="252" t="s">
        <v>902</v>
      </c>
      <c r="B25" s="238" t="s">
        <v>940</v>
      </c>
      <c r="C25" s="253" t="e">
        <f ca="1">ROUND(IF('数据-取费表'!B22&lt;=1,C20*F22*'数据-取费表'!B22/2,C20*(POWER((1+F22),'数据-取费表'!B22/2)-1)),0)</f>
        <v>#VALUE!</v>
      </c>
      <c r="D25" s="253"/>
      <c r="E25" s="280"/>
      <c r="F25" s="278"/>
      <c r="G25" s="281" t="s">
        <v>941</v>
      </c>
    </row>
    <row r="26" spans="1:7" s="217" customFormat="1">
      <c r="A26" s="252" t="s">
        <v>942</v>
      </c>
      <c r="B26" s="238" t="s">
        <v>943</v>
      </c>
      <c r="C26" s="253" t="e">
        <f ca="1">ROUND(IF('数据-取费表'!B22&lt;=1,F21*F22*'数据-取费表'!B22/2,F21*(POWER((1+F22),'数据-取费表'!B22/2)-1)),4)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ROUND((C5+C19+C20)*F27,0)</f>
        <v>#DIV/0!</v>
      </c>
      <c r="D28" s="250"/>
      <c r="E28" s="251"/>
      <c r="F28" s="277"/>
      <c r="G28" s="283"/>
    </row>
    <row r="29" spans="1:7" s="217" customFormat="1" ht="13.5" customHeight="1">
      <c r="A29" s="252" t="s">
        <v>900</v>
      </c>
      <c r="B29" s="256" t="s">
        <v>948</v>
      </c>
      <c r="C29" s="253" t="e">
        <f ca="1">ROUND(C21*F27,4)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986</v>
      </c>
      <c r="B32" s="259"/>
      <c r="C32" s="259"/>
      <c r="D32" s="259"/>
      <c r="E32" s="259"/>
      <c r="F32" s="259"/>
      <c r="G32" s="284"/>
    </row>
    <row r="33" spans="1:7" s="217" customFormat="1" ht="13.5" customHeight="1">
      <c r="A33" s="234" t="s">
        <v>894</v>
      </c>
      <c r="B33" s="235" t="s">
        <v>987</v>
      </c>
      <c r="C33" s="249">
        <f ca="1">SUM(C34:C38)</f>
        <v>0</v>
      </c>
      <c r="D33" s="249"/>
      <c r="E33" s="236"/>
      <c r="F33" s="280"/>
      <c r="G33" s="276"/>
    </row>
    <row r="34" spans="1:7" s="219" customFormat="1" ht="13.5" customHeight="1">
      <c r="A34" s="252" t="s">
        <v>898</v>
      </c>
      <c r="B34" s="238" t="s">
        <v>956</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ROUND(IF(B1="",SUM('数据-取费表'!AP6:AP13)*F36,IF(INDIRECT("'数据-取费表'!c"&amp;$G$1)="住宅",INDIRECT("'数据-取费表'!k"&amp;$G$1)*INDIRECT("'数据-取费表'!l"&amp;$G$1)*F36,0)),0)</f>
        <v>0</v>
      </c>
      <c r="D36" s="240"/>
      <c r="E36" s="240"/>
      <c r="F36" s="285">
        <f>'数据-取费表'!B34</f>
        <v>0</v>
      </c>
      <c r="G36" s="286" t="s">
        <v>961</v>
      </c>
    </row>
    <row r="37" spans="1:7" s="219" customFormat="1" ht="13.5" customHeight="1">
      <c r="A37" s="252" t="s">
        <v>942</v>
      </c>
      <c r="B37" s="238" t="s">
        <v>962</v>
      </c>
      <c r="C37" s="257">
        <f ca="1">ROUND(E37*D37,0)</f>
        <v>0</v>
      </c>
      <c r="D37" s="240">
        <f ca="1">D19</f>
        <v>0</v>
      </c>
      <c r="E37" s="257">
        <f>'数据-取费表'!B35</f>
        <v>0</v>
      </c>
      <c r="F37" s="285"/>
      <c r="G37" s="287"/>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ROUND(IF('数据-取费表'!B22&lt;=1,C33*F22*'数据-取费表'!B20/2,C33*(POWER((1+F22),'数据-取费表'!B20/2)-1)),0)</f>
        <v>#VALUE!</v>
      </c>
      <c r="D42" s="253"/>
      <c r="E42" s="253"/>
      <c r="F42" s="278"/>
      <c r="G42" s="3004" t="s">
        <v>988</v>
      </c>
    </row>
    <row r="43" spans="1:7" ht="13.5" customHeight="1">
      <c r="A43" s="252" t="s">
        <v>900</v>
      </c>
      <c r="B43" s="238" t="s">
        <v>938</v>
      </c>
      <c r="C43" s="253" t="e">
        <f ca="1">ROUND(IF('数据-取费表'!B22&lt;=1,C39*F22*'数据-取费表'!B20/2,C39*(POWER((1+F22),'数据-取费表'!B20/2)-1)),0)</f>
        <v>#VALUE!</v>
      </c>
      <c r="D43" s="253"/>
      <c r="E43" s="253"/>
      <c r="F43" s="278"/>
      <c r="G43" s="3005"/>
    </row>
    <row r="44" spans="1:7" ht="13.5" customHeight="1">
      <c r="A44" s="252" t="s">
        <v>902</v>
      </c>
      <c r="B44" s="238" t="s">
        <v>940</v>
      </c>
      <c r="C44" s="253" t="e">
        <f ca="1">ROUND(IF('数据-取费表'!B22&lt;=1,C40*F22*'数据-取费表'!B20/2,C40*(POWER((1+F22),'数据-取费表'!B20/2)-1)),4)</f>
        <v>#VALUE!</v>
      </c>
      <c r="D44" s="253"/>
      <c r="E44" s="253"/>
      <c r="F44" s="278"/>
      <c r="G44" s="3006"/>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989</v>
      </c>
      <c r="C49" s="249" t="e">
        <f ca="1">ROUND((C33+C39+C41+C45)/(1-C40-D41-D45-C48),0)</f>
        <v>#VALUE!</v>
      </c>
      <c r="D49" s="249"/>
      <c r="E49" s="249"/>
      <c r="F49" s="255"/>
      <c r="G49" s="276" t="s">
        <v>974</v>
      </c>
    </row>
    <row r="50" spans="1:7" s="219" customFormat="1">
      <c r="A50" s="234" t="s">
        <v>975</v>
      </c>
      <c r="B50" s="235" t="s">
        <v>976</v>
      </c>
      <c r="C50" s="249"/>
      <c r="D50" s="249"/>
      <c r="E50" s="249"/>
      <c r="F50" s="255" t="e">
        <f>IF('数据-取费表'!B24=0,'数据-取费表'!N16,1)</f>
        <v>#DIV/0!</v>
      </c>
      <c r="G50" s="283"/>
    </row>
    <row r="51" spans="1:7" ht="16.5" customHeight="1">
      <c r="A51" s="234" t="s">
        <v>978</v>
      </c>
      <c r="B51" s="235" t="s">
        <v>990</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30" t="str">
        <f>项目基本情况!B1</f>
        <v>北京市预评估</v>
      </c>
      <c r="C37" s="2830"/>
      <c r="D37" s="2830"/>
      <c r="E37" s="2830"/>
      <c r="F37" s="2830"/>
      <c r="G37" s="2830"/>
      <c r="H37" s="2830"/>
      <c r="I37" s="2830"/>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991</v>
      </c>
      <c r="B1" s="333"/>
      <c r="C1" s="1842"/>
      <c r="D1" s="1843"/>
      <c r="E1" s="1877"/>
      <c r="F1" s="1877"/>
      <c r="G1" s="1878"/>
      <c r="H1" s="1877"/>
      <c r="I1" s="1877"/>
      <c r="J1" s="1877"/>
      <c r="K1" s="1895">
        <f>MATCH(C1,'数据-取费表'!A6:A16,0)+5</f>
        <v>6</v>
      </c>
    </row>
    <row r="2" spans="1:33" ht="18" customHeight="1">
      <c r="A2" s="226" t="s">
        <v>889</v>
      </c>
      <c r="B2" s="231" t="e">
        <f ca="1">C32</f>
        <v>#VALUE!</v>
      </c>
      <c r="C2" s="1844" t="s">
        <v>992</v>
      </c>
      <c r="D2" s="1844"/>
      <c r="E2" s="1877"/>
      <c r="F2" s="1877"/>
      <c r="G2" s="1877"/>
      <c r="H2" s="1877"/>
      <c r="I2" s="1877"/>
      <c r="J2" s="1877"/>
      <c r="K2" s="1877"/>
    </row>
    <row r="3" spans="1:33" ht="18" customHeight="1">
      <c r="A3" s="230" t="s">
        <v>891</v>
      </c>
      <c r="B3" s="231" t="e">
        <f ca="1">ROUND(B2*10000/IF(C1="",'数据-汇总表'!E3,INDIRECT("'数据-取费表'!K"&amp;$K$1)),0)</f>
        <v>#VALUE!</v>
      </c>
      <c r="C3" s="1844" t="s">
        <v>993</v>
      </c>
      <c r="D3" s="1844"/>
      <c r="E3" s="1877"/>
      <c r="F3" s="1877"/>
      <c r="G3" s="1877"/>
      <c r="H3" s="1877"/>
      <c r="I3" s="1877"/>
      <c r="J3" s="1877"/>
      <c r="K3" s="1877"/>
    </row>
    <row r="4" spans="1:33" s="1832" customFormat="1" ht="16.5" customHeight="1">
      <c r="A4" s="1845" t="s">
        <v>994</v>
      </c>
      <c r="B4" s="1846"/>
      <c r="C4" s="1847">
        <f>SUM(C8:K8)</f>
        <v>0</v>
      </c>
      <c r="D4" s="1846"/>
      <c r="E4" s="1846"/>
      <c r="F4" s="1846"/>
      <c r="G4" s="1846"/>
      <c r="H4" s="1846"/>
      <c r="I4" s="1846"/>
      <c r="J4" s="1846"/>
      <c r="K4" s="1896"/>
    </row>
    <row r="5" spans="1:33" s="1833" customFormat="1" ht="25.2">
      <c r="A5" s="1848" t="s">
        <v>995</v>
      </c>
      <c r="B5" s="1849" t="s">
        <v>996</v>
      </c>
      <c r="C5" s="1850" t="s">
        <v>997</v>
      </c>
      <c r="D5" s="1850" t="s">
        <v>998</v>
      </c>
      <c r="E5" s="1850" t="s">
        <v>999</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799</v>
      </c>
      <c r="B6" s="1618" t="s">
        <v>1000</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803</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848</v>
      </c>
      <c r="B8" s="1853" t="s">
        <v>1001</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1002</v>
      </c>
      <c r="B9" s="1846"/>
      <c r="C9" s="1846"/>
      <c r="D9" s="1846"/>
      <c r="E9" s="1846"/>
      <c r="F9" s="1846"/>
      <c r="G9" s="1846"/>
      <c r="H9" s="1846"/>
      <c r="I9" s="1846"/>
      <c r="J9" s="1846"/>
      <c r="K9" s="1896"/>
    </row>
    <row r="10" spans="1:33" s="1834" customFormat="1" ht="13.5" customHeight="1">
      <c r="A10" s="1848" t="s">
        <v>995</v>
      </c>
      <c r="B10" s="1855" t="s">
        <v>996</v>
      </c>
      <c r="C10" s="1856" t="s">
        <v>1003</v>
      </c>
      <c r="D10" s="1856" t="s">
        <v>1004</v>
      </c>
      <c r="E10" s="1856" t="s">
        <v>1005</v>
      </c>
      <c r="F10" s="1856" t="s">
        <v>1006</v>
      </c>
      <c r="G10" s="1855"/>
      <c r="H10" s="1880"/>
      <c r="I10" s="1880"/>
      <c r="J10" s="1880"/>
      <c r="K10" s="1900"/>
    </row>
    <row r="11" spans="1:33" s="1835" customFormat="1" ht="13.5" customHeight="1">
      <c r="A11" s="1857" t="s">
        <v>904</v>
      </c>
      <c r="B11" s="1858" t="s">
        <v>1007</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907</v>
      </c>
      <c r="B12" s="1858" t="s">
        <v>1008</v>
      </c>
      <c r="C12" s="340">
        <f ca="1">ROUND(C11*F12,0)</f>
        <v>0</v>
      </c>
      <c r="D12" s="1859"/>
      <c r="E12" s="297"/>
      <c r="F12" s="1859">
        <f>'数据-取费表'!B33</f>
        <v>0</v>
      </c>
      <c r="G12" s="1855" t="s">
        <v>1009</v>
      </c>
      <c r="H12" s="1880"/>
      <c r="I12" s="1880"/>
      <c r="J12" s="1880"/>
      <c r="K12" s="1900"/>
    </row>
    <row r="13" spans="1:33" s="1835" customFormat="1" ht="13.5" customHeight="1">
      <c r="A13" s="1857" t="s">
        <v>1010</v>
      </c>
      <c r="B13" s="1858" t="s">
        <v>1011</v>
      </c>
      <c r="C13" s="340">
        <f ca="1">ROUND(IF(C1="",SUMIF('数据-取费表'!C:C,"住宅",'数据-取费表'!P:P)*F13,IF(INDIRECT("'数据-取费表'!c"&amp;$K$1)="住宅",INDIRECT("'数据-取费表'!P"&amp;$K$1)*F13,0)),0)</f>
        <v>0</v>
      </c>
      <c r="D13" s="1859"/>
      <c r="E13" s="297"/>
      <c r="F13" s="1859">
        <f>'数据-取费表'!B34</f>
        <v>0</v>
      </c>
      <c r="G13" s="1855" t="s">
        <v>1012</v>
      </c>
      <c r="H13" s="1880"/>
      <c r="I13" s="1880"/>
      <c r="J13" s="1880"/>
      <c r="K13" s="1900"/>
    </row>
    <row r="14" spans="1:33" s="1836" customFormat="1" ht="13.5" customHeight="1">
      <c r="A14" s="1857" t="s">
        <v>1013</v>
      </c>
      <c r="B14" s="1858" t="s">
        <v>1014</v>
      </c>
      <c r="C14" s="340">
        <f ca="1">ROUND(D14*E14*F11/10000,0)</f>
        <v>0</v>
      </c>
      <c r="D14" s="1859">
        <f ca="1">IF(C1="",'数据-汇总表'!E3,INDIRECT("'数据-取费表'!K"&amp;$K$1)+INDIRECT("'数据-取费表'!S"&amp;$K$1))</f>
        <v>0</v>
      </c>
      <c r="E14" s="340">
        <f>'数据-取费表'!B35</f>
        <v>0</v>
      </c>
      <c r="F14" s="1859"/>
      <c r="G14" s="1855" t="s">
        <v>1015</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1016</v>
      </c>
      <c r="B15" s="1858" t="s">
        <v>1017</v>
      </c>
      <c r="C15" s="1859">
        <f ca="1">ROUND(C11*F15,0)</f>
        <v>0</v>
      </c>
      <c r="D15" s="1860"/>
      <c r="E15" s="1859"/>
      <c r="F15" s="1859">
        <f>'数据-取费表'!B36</f>
        <v>0</v>
      </c>
      <c r="G15" s="1618" t="s">
        <v>1018</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822</v>
      </c>
      <c r="B16" s="1858" t="s">
        <v>1019</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826</v>
      </c>
      <c r="B17" s="1858" t="s">
        <v>1020</v>
      </c>
      <c r="C17" s="340">
        <f ca="1">ROUND(D17*E17/10000,0)</f>
        <v>0</v>
      </c>
      <c r="D17" s="1859">
        <f ca="1">D14</f>
        <v>0</v>
      </c>
      <c r="E17" s="340">
        <f>'数据-取费表'!B32</f>
        <v>0</v>
      </c>
      <c r="F17" s="1860"/>
      <c r="G17" s="1618" t="s">
        <v>1021</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1022</v>
      </c>
      <c r="B18" s="1858" t="s">
        <v>1023</v>
      </c>
      <c r="C18" s="340">
        <f ca="1">C19+C20-IF(C1="",'数据-取费表'!B29,IF(G18="已全部缴纳",C19+C20,H18))</f>
        <v>0</v>
      </c>
      <c r="D18" s="1859"/>
      <c r="E18" s="340"/>
      <c r="F18" s="1859"/>
      <c r="G18" s="1882"/>
      <c r="H18" s="1883"/>
      <c r="I18" s="1901" t="s">
        <v>1024</v>
      </c>
      <c r="J18" s="1743"/>
      <c r="K18" s="1791"/>
    </row>
    <row r="19" spans="1:33" s="1835" customFormat="1" ht="13.5" customHeight="1">
      <c r="A19" s="1857" t="s">
        <v>904</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907</v>
      </c>
      <c r="B20" s="1858" t="s">
        <v>1025</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799</v>
      </c>
      <c r="B21" s="1861" t="s">
        <v>1026</v>
      </c>
      <c r="C21" s="1862">
        <f ca="1">C16+C17+C18</f>
        <v>0</v>
      </c>
      <c r="D21" s="1863"/>
      <c r="E21" s="1863"/>
      <c r="F21" s="1863"/>
      <c r="G21" s="1618" t="s">
        <v>1027</v>
      </c>
      <c r="H21" s="1743"/>
      <c r="I21" s="1743"/>
      <c r="J21" s="1743"/>
      <c r="K21" s="1791"/>
    </row>
    <row r="22" spans="1:33" s="1835" customFormat="1" ht="13.5" customHeight="1">
      <c r="A22" s="1851" t="s">
        <v>803</v>
      </c>
      <c r="B22" s="1861" t="s">
        <v>1028</v>
      </c>
      <c r="C22" s="1862">
        <f ca="1">ROUND(C21*F22,0)</f>
        <v>0</v>
      </c>
      <c r="D22" s="1863"/>
      <c r="E22" s="1863"/>
      <c r="F22" s="1862">
        <f>'数据-取费表'!B37</f>
        <v>0</v>
      </c>
      <c r="G22" s="1855" t="s">
        <v>1029</v>
      </c>
      <c r="H22" s="1880"/>
      <c r="I22" s="1880"/>
      <c r="J22" s="1880"/>
      <c r="K22" s="1900"/>
    </row>
    <row r="23" spans="1:33" s="1835" customFormat="1" ht="13.5" customHeight="1">
      <c r="A23" s="1851" t="s">
        <v>848</v>
      </c>
      <c r="B23" s="1861" t="s">
        <v>1030</v>
      </c>
      <c r="C23" s="1862">
        <f ca="1">ROUND(C4*F23*F11,0)</f>
        <v>0</v>
      </c>
      <c r="D23" s="1863"/>
      <c r="E23" s="1863"/>
      <c r="F23" s="1862">
        <f>'数据-取费表'!B38</f>
        <v>0</v>
      </c>
      <c r="G23" s="1855" t="s">
        <v>1031</v>
      </c>
      <c r="H23" s="1880"/>
      <c r="I23" s="1880"/>
      <c r="J23" s="1880"/>
      <c r="K23" s="1900"/>
    </row>
    <row r="24" spans="1:33" s="1835" customFormat="1" ht="13.5" customHeight="1">
      <c r="A24" s="1851" t="s">
        <v>851</v>
      </c>
      <c r="B24" s="1861" t="s">
        <v>1032</v>
      </c>
      <c r="C24" s="1864">
        <f>ROUND(F24/(1+'数据-取费表'!C42),4)</f>
        <v>0</v>
      </c>
      <c r="D24" s="1863" t="s">
        <v>1033</v>
      </c>
      <c r="E24" s="1863"/>
      <c r="F24" s="1862">
        <f>IF(项目基本情况!B8="出让",0,'数据-取费表'!B48+'数据-取费表'!B49)</f>
        <v>0</v>
      </c>
      <c r="G24" s="1855" t="s">
        <v>1034</v>
      </c>
      <c r="H24" s="1886"/>
      <c r="I24" s="1886"/>
      <c r="J24" s="1886"/>
      <c r="K24" s="1903"/>
    </row>
    <row r="25" spans="1:33" s="1835" customFormat="1" ht="13.5" customHeight="1">
      <c r="A25" s="1851" t="s">
        <v>855</v>
      </c>
      <c r="B25" s="1863" t="s">
        <v>1035</v>
      </c>
      <c r="C25" s="1865" t="e">
        <f ca="1">C27</f>
        <v>#VALUE!</v>
      </c>
      <c r="D25" s="1864" t="e">
        <f ca="1">C26</f>
        <v>#VALUE!</v>
      </c>
      <c r="E25" s="1887" t="s">
        <v>1033</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822</v>
      </c>
      <c r="B26" s="1866" t="s">
        <v>1036</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826</v>
      </c>
      <c r="B27" s="1866" t="s">
        <v>1037</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856</v>
      </c>
      <c r="B28" s="1868" t="s">
        <v>1038</v>
      </c>
      <c r="C28" s="1869" t="e">
        <f ca="1">C30</f>
        <v>#DIV/0!</v>
      </c>
      <c r="D28" s="1864" t="e">
        <f ca="1">C29</f>
        <v>#DIV/0!</v>
      </c>
      <c r="E28" s="1887" t="s">
        <v>1033</v>
      </c>
      <c r="F28" s="1084" t="e">
        <f ca="1">IF(C1="",'数据-取费表'!Q16,INDIRECT("'数据-取费表'!q"&amp;$K$1))</f>
        <v>#DIV/0!</v>
      </c>
      <c r="G28" s="1891"/>
      <c r="H28" s="1886"/>
      <c r="I28" s="1886"/>
      <c r="J28" s="1886"/>
      <c r="K28" s="1903"/>
    </row>
    <row r="29" spans="1:33" s="1839" customFormat="1" ht="13.5" customHeight="1">
      <c r="A29" s="1857" t="s">
        <v>822</v>
      </c>
      <c r="B29" s="1870" t="s">
        <v>1039</v>
      </c>
      <c r="C29" s="340" t="e">
        <f ca="1">ROUND((1+C24)*F28*'数据-取费表'!B24/'数据-取费表'!B20,4)</f>
        <v>#DIV/0!</v>
      </c>
      <c r="D29" s="340"/>
      <c r="E29" s="1889"/>
      <c r="F29" s="343"/>
      <c r="G29" s="1618" t="s">
        <v>1040</v>
      </c>
      <c r="H29" s="1743"/>
      <c r="I29" s="1743"/>
      <c r="J29" s="1743"/>
      <c r="K29" s="1791"/>
    </row>
    <row r="30" spans="1:33" s="1839" customFormat="1" ht="13.5" customHeight="1">
      <c r="A30" s="1857" t="s">
        <v>826</v>
      </c>
      <c r="B30" s="1870" t="s">
        <v>1041</v>
      </c>
      <c r="C30" s="343" t="e">
        <f ca="1">ROUND((C21+C22+C23)*F28,0)</f>
        <v>#DIV/0!</v>
      </c>
      <c r="D30" s="340"/>
      <c r="E30" s="1889"/>
      <c r="F30" s="343"/>
      <c r="G30" s="1618"/>
      <c r="H30" s="1743"/>
      <c r="I30" s="1743"/>
      <c r="J30" s="1743"/>
      <c r="K30" s="1791"/>
    </row>
    <row r="31" spans="1:33" s="1835" customFormat="1" ht="13.5" customHeight="1">
      <c r="A31" s="1871" t="s">
        <v>1042</v>
      </c>
      <c r="B31" s="1872" t="s">
        <v>1043</v>
      </c>
      <c r="C31" s="1873">
        <f>ROUND(C4*F31/(1+'数据-取费表'!C42),0)</f>
        <v>0</v>
      </c>
      <c r="D31" s="1874"/>
      <c r="E31" s="1874"/>
      <c r="F31" s="1873">
        <f>'数据-取费表'!B41</f>
        <v>0</v>
      </c>
      <c r="G31" s="1892" t="s">
        <v>1044</v>
      </c>
      <c r="H31" s="1893"/>
      <c r="I31" s="1893"/>
      <c r="J31" s="1893"/>
      <c r="K31" s="1904"/>
    </row>
    <row r="32" spans="1:33" s="1834" customFormat="1" ht="13.5" customHeight="1">
      <c r="A32" s="1086" t="s">
        <v>1045</v>
      </c>
      <c r="B32" s="1875"/>
      <c r="C32" s="1876" t="e">
        <f ca="1">ROUND((C4-C21-C22-C23-C25-C28-C31)/(1+C24+D25+D28),0)</f>
        <v>#VALUE!</v>
      </c>
      <c r="D32" s="1875"/>
      <c r="E32" s="1875"/>
      <c r="F32" s="1875"/>
      <c r="G32" s="1894" t="s">
        <v>1046</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C40+J29+L46</f>
        <v>#VALUE!</v>
      </c>
      <c r="C2" s="1582" t="s">
        <v>1050</v>
      </c>
      <c r="D2" s="1582"/>
      <c r="E2" s="1189"/>
      <c r="F2" s="1682"/>
      <c r="G2" s="1683"/>
      <c r="H2" s="1684"/>
      <c r="I2" s="1684"/>
      <c r="J2" s="1684"/>
      <c r="K2" s="1733"/>
      <c r="L2" s="1684"/>
      <c r="M2" s="1684"/>
    </row>
    <row r="3" spans="1:37" ht="18" customHeight="1">
      <c r="A3" s="1584" t="s">
        <v>1051</v>
      </c>
      <c r="B3" s="1585">
        <f ca="1">IF(ISERROR(B2*10000/F43),0,ROUND(B2*10000/F43,0))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9" t="s">
        <v>1061</v>
      </c>
      <c r="C6" s="1593">
        <f ca="1">ROUND(F6*F8*F7*(1-F9)/10000,0)</f>
        <v>0</v>
      </c>
      <c r="D6" s="1594" t="s">
        <v>1062</v>
      </c>
      <c r="E6" s="1614" t="s">
        <v>1063</v>
      </c>
      <c r="F6" s="1690">
        <f ca="1">INDIRECT("'数据-取费表'!u"&amp;$G$1)</f>
        <v>0</v>
      </c>
      <c r="G6" s="1576"/>
      <c r="H6" s="1592" t="s">
        <v>799</v>
      </c>
      <c r="I6" s="3009" t="s">
        <v>1061</v>
      </c>
      <c r="J6" s="1635">
        <f ca="1">ROUND(M6*M8*M7*(1-M9)/10000,0)</f>
        <v>0</v>
      </c>
      <c r="K6" s="1594" t="s">
        <v>1064</v>
      </c>
      <c r="L6" s="1614" t="s">
        <v>1063</v>
      </c>
      <c r="M6" s="1690">
        <f ca="1">INDIRECT("'数据-取费表'!z"&amp;$G$1)</f>
        <v>0</v>
      </c>
    </row>
    <row r="7" spans="1:37" ht="18" customHeight="1">
      <c r="A7" s="1595"/>
      <c r="B7" s="3010"/>
      <c r="C7" s="1596"/>
      <c r="D7" s="1597"/>
      <c r="E7" s="1691" t="s">
        <v>1065</v>
      </c>
      <c r="F7" s="1690">
        <f ca="1">IF(INDIRECT("'数据-取费表'!ah"&amp;$G$1)="",INDIRECT("'数据-取费表'!k"&amp;$G$1),INDIRECT("'数据-取费表'!ah"&amp;$G$1))</f>
        <v>0</v>
      </c>
      <c r="G7" s="1576"/>
      <c r="H7" s="1598"/>
      <c r="I7" s="3010"/>
      <c r="J7" s="1599"/>
      <c r="K7" s="1597"/>
      <c r="L7" s="1614" t="s">
        <v>1065</v>
      </c>
      <c r="M7" s="1690">
        <f ca="1">F7</f>
        <v>0</v>
      </c>
    </row>
    <row r="8" spans="1:37" ht="18" customHeight="1">
      <c r="A8" s="1598"/>
      <c r="B8" s="3010"/>
      <c r="C8" s="1599"/>
      <c r="D8" s="1597"/>
      <c r="E8" s="1614" t="s">
        <v>1066</v>
      </c>
      <c r="F8" s="1690">
        <f ca="1">INDIRECT("'数据-取费表'!ai"&amp;$G$1)</f>
        <v>0</v>
      </c>
      <c r="G8" s="1576"/>
      <c r="H8" s="1598"/>
      <c r="I8" s="3010"/>
      <c r="J8" s="1599"/>
      <c r="K8" s="1597"/>
      <c r="L8" s="1614" t="s">
        <v>1066</v>
      </c>
      <c r="M8" s="1690">
        <f ca="1">INDIRECT("'数据-取费表'!ai"&amp;$G$1)</f>
        <v>0</v>
      </c>
    </row>
    <row r="9" spans="1:37" ht="18" customHeight="1">
      <c r="A9" s="1598"/>
      <c r="B9" s="3011"/>
      <c r="C9" s="1599"/>
      <c r="D9" s="1597"/>
      <c r="E9" s="1614" t="s">
        <v>1067</v>
      </c>
      <c r="F9" s="1690">
        <f ca="1">INDIRECT("'数据-取费表'!w"&amp;$G$1)</f>
        <v>0</v>
      </c>
      <c r="G9" s="1576"/>
      <c r="H9" s="1598"/>
      <c r="I9" s="3011"/>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601" t="s">
        <v>1069</v>
      </c>
      <c r="L10" s="1692" t="s">
        <v>1070</v>
      </c>
      <c r="M10" s="1693" t="s">
        <v>1071</v>
      </c>
    </row>
    <row r="11" spans="1:37" ht="18" customHeight="1">
      <c r="A11" s="1602"/>
      <c r="B11" s="1603" t="s">
        <v>1072</v>
      </c>
      <c r="C11" s="1604"/>
      <c r="D11" s="1825"/>
      <c r="E11" s="1692" t="s">
        <v>1073</v>
      </c>
      <c r="F11" s="1694">
        <f ca="1">'数据-取费表'!B39</f>
        <v>1.4999999999999999E-2</v>
      </c>
      <c r="G11" s="1576"/>
      <c r="H11" s="1695"/>
      <c r="I11" s="1603" t="s">
        <v>1072</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INDIRECT("'数据-取费表'!m"&amp;$G$1)+INDIRECT("'数据-取费表'!t"&amp;$G$1)</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ROUND(INDIRECT("'数据-取费表'!m"&amp;$G$1)*F16,0)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ROUND(F17*(F43+INDIRECT("'数据-取费表'!S"&amp;$G$1))/10000,0)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ROUND(J6*M18/(1+'数据-取费表'!C42),2)</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IF(K19="按租金收入计税",ROUND(J6*M19/(1+'数据-取费表'!C42),2),ROUND(C29*M19*0.7,2))</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ROUND(M20*M21/10000,2)</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ROUND(J14*M22,1)</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ROUND(J13*M23,1)</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ROUND(J5*M24,1)</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IF(项目基本情况!B11="自然人","——",ROUND(C6*F32/(1+'数据-取费表'!C42),2))</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IF(项目基本情况!B11="自然人","——",IF(D33="按租金收入计税",ROUND(C6*F33/(1+'数据-取费表'!C42),2),IF(D33="按房产原值计税",ROUND(C29*F33*0.7,2),INDIRECT("'数据-取费表'!Aj"&amp;$G$1))))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IF(项目基本情况!B11="自然人","——",ROUND(F34*F35/10000,2))</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ROUND(C29*F36,1)</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ROUND(C13*F37,1)</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ROUND(C40*10000/F43,0)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1148</v>
      </c>
      <c r="P45" s="1712"/>
      <c r="Q45" s="1712"/>
      <c r="R45" s="1712"/>
    </row>
    <row r="46" spans="1:18" s="1576" customFormat="1">
      <c r="A46" s="1647" t="s">
        <v>1149</v>
      </c>
      <c r="C46" s="1648" t="e">
        <f ca="1">C68-C40</f>
        <v>#VALUE!</v>
      </c>
      <c r="D46" s="1649" t="str">
        <f>C2</f>
        <v>万元</v>
      </c>
      <c r="E46" s="1643"/>
      <c r="F46" s="1643"/>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826"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ROUND(F49*F51*F50*(1-F52)/10000,0)</f>
        <v>0</v>
      </c>
      <c r="D49" s="1657" t="s">
        <v>1064</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827"/>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6">
      <c r="A53" s="1828" t="s">
        <v>1184</v>
      </c>
      <c r="B53" s="1829" t="s">
        <v>1068</v>
      </c>
      <c r="C53" s="339">
        <f ca="1">ROUND(IF(F53="押一",C49/12*F11,IF(F53="押二",C49/12*2*F11,IF(F53="押三",C49/12*3*F11,C54*F11))),0)</f>
        <v>0</v>
      </c>
      <c r="D53" s="1601" t="s">
        <v>1069</v>
      </c>
      <c r="E53" s="1692" t="s">
        <v>1070</v>
      </c>
      <c r="F53" s="1693"/>
      <c r="I53" s="1772" t="s">
        <v>1185</v>
      </c>
      <c r="J53" s="1773">
        <f ca="1">IF(M47="住宅",IF(D1="——",MAX(J51,L48),MAX(J51,L48-'数据-取费表'!B24)),IF(D1="——",MIN(J51,L48),MIN(J51,L48-'数据-取费表'!B24)))</f>
        <v>0</v>
      </c>
      <c r="K53" s="3007" t="s">
        <v>1186</v>
      </c>
      <c r="L53" s="3008"/>
      <c r="O53" s="1797" t="s">
        <v>1010</v>
      </c>
      <c r="P53" s="1798" t="s">
        <v>1187</v>
      </c>
      <c r="Q53" s="1804" t="e">
        <f ca="1">Q47+Q48</f>
        <v>#VALUE!</v>
      </c>
      <c r="R53" s="1804" t="s">
        <v>1188</v>
      </c>
    </row>
    <row r="54" spans="1:18" s="1576" customFormat="1" ht="24">
      <c r="A54" s="1830"/>
      <c r="B54" s="1603" t="s">
        <v>1072</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t="s">
        <v>1192</v>
      </c>
      <c r="O55" s="1794" t="s">
        <v>1151</v>
      </c>
      <c r="P55" s="1795" t="s">
        <v>1152</v>
      </c>
      <c r="Q55" s="1803" t="s">
        <v>1153</v>
      </c>
      <c r="R55" s="1803" t="s">
        <v>1154</v>
      </c>
    </row>
    <row r="56" spans="1:18" s="1576" customFormat="1" ht="36">
      <c r="A56" s="1664">
        <v>2</v>
      </c>
      <c r="B56" s="1665" t="s">
        <v>1075</v>
      </c>
      <c r="C56" s="249" t="e">
        <f ca="1">C13</f>
        <v>#VALUE!</v>
      </c>
      <c r="D56" s="1666"/>
      <c r="E56" s="1727"/>
      <c r="F56" s="1726"/>
      <c r="I56" s="1780" t="s">
        <v>1193</v>
      </c>
      <c r="J56" s="1781"/>
      <c r="K56" s="1762" t="s">
        <v>1194</v>
      </c>
      <c r="L56" s="1765">
        <f ca="1">IF(L48&lt;J51,"——",L48-J53)</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1196</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1200</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IF(项目基本情况!B11="自然人","——",ROUND(C48*F60/(1+'数据-取费表'!C42),2))</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IF(项目基本情况!B11="自然人","——",IF(D61="按租金收入计税",ROUND(C49*F61/(1+'数据-取费表'!C42),2),IF(D61="按房产原值计税",ROUND(C57*F61*0.7,2),INDIRECT("'数据-取费表'!Aj"&amp;$G$1))))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IF(项目基本情况!B11="自然人","——",ROUND(F62*F63/10000,2))</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ROUND(C57*F64,1)</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ROUND(C56*F65,1)</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ROUND(C48*F66,1)</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c r="O70" s="1799" t="s">
        <v>1223</v>
      </c>
      <c r="P70" s="1824" t="s">
        <v>1224</v>
      </c>
      <c r="Q70" s="1804" t="e">
        <f ca="1">C13</f>
        <v>#VALUE!</v>
      </c>
      <c r="R70" s="1804" t="s">
        <v>1158</v>
      </c>
    </row>
    <row r="71" spans="1:18" s="1576" customFormat="1">
      <c r="A71" s="1813" t="s">
        <v>1139</v>
      </c>
      <c r="B71" s="1814" t="s">
        <v>1145</v>
      </c>
      <c r="C71" s="1641" t="e">
        <f ca="1">ROUND(C68*10000/F71,0)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ROUND(D2/10000,0)</f>
        <v>#VALUE!</v>
      </c>
      <c r="C2" s="1582" t="s">
        <v>1050</v>
      </c>
      <c r="D2" s="1583" t="e">
        <f ca="1">C40+J29+L46</f>
        <v>#VALUE!</v>
      </c>
      <c r="E2" s="1189" t="s">
        <v>1236</v>
      </c>
      <c r="F2" s="1682"/>
      <c r="G2" s="1683"/>
      <c r="H2" s="1684"/>
      <c r="I2" s="1684"/>
      <c r="J2" s="1684"/>
      <c r="K2" s="1733"/>
      <c r="L2" s="1684"/>
      <c r="M2" s="1684"/>
    </row>
    <row r="3" spans="1:37" ht="18" customHeight="1">
      <c r="A3" s="1584" t="s">
        <v>1051</v>
      </c>
      <c r="B3" s="1585">
        <f ca="1">IF(ISERROR(D2/F43),0,ROUND(D2/F43,0))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9" t="s">
        <v>1061</v>
      </c>
      <c r="C6" s="1593">
        <f ca="1">ROUND(F6*F8*F7*(1-F9),0)</f>
        <v>0</v>
      </c>
      <c r="D6" s="1594" t="s">
        <v>1237</v>
      </c>
      <c r="E6" s="1614" t="s">
        <v>1063</v>
      </c>
      <c r="F6" s="1690">
        <f ca="1">INDIRECT("'数据-取费表'!u"&amp;$G$1)</f>
        <v>0</v>
      </c>
      <c r="G6" s="1576"/>
      <c r="H6" s="1592" t="s">
        <v>799</v>
      </c>
      <c r="I6" s="3009" t="s">
        <v>1061</v>
      </c>
      <c r="J6" s="1635">
        <f ca="1">ROUND(M6*M8*M7*(1-M9),0)</f>
        <v>0</v>
      </c>
      <c r="K6" s="1736" t="s">
        <v>1238</v>
      </c>
      <c r="L6" s="1614" t="s">
        <v>1063</v>
      </c>
      <c r="M6" s="1690">
        <f ca="1">INDIRECT("'数据-取费表'!z"&amp;$G$1)</f>
        <v>0</v>
      </c>
    </row>
    <row r="7" spans="1:37" ht="18" customHeight="1">
      <c r="A7" s="1595"/>
      <c r="B7" s="3010"/>
      <c r="C7" s="1596"/>
      <c r="D7" s="1597"/>
      <c r="E7" s="1691" t="s">
        <v>1065</v>
      </c>
      <c r="F7" s="1690">
        <f ca="1">IF(INDIRECT("'数据-取费表'!ah"&amp;$G$1)="",INDIRECT("'数据-取费表'!k"&amp;$G$1),INDIRECT("'数据-取费表'!ah"&amp;$G$1))</f>
        <v>0</v>
      </c>
      <c r="G7" s="1576"/>
      <c r="H7" s="1598"/>
      <c r="I7" s="3010"/>
      <c r="J7" s="1599"/>
      <c r="K7" s="1597"/>
      <c r="L7" s="1614" t="s">
        <v>1065</v>
      </c>
      <c r="M7" s="1690">
        <f ca="1">F7</f>
        <v>0</v>
      </c>
    </row>
    <row r="8" spans="1:37" ht="18" customHeight="1">
      <c r="A8" s="1598"/>
      <c r="B8" s="3010"/>
      <c r="C8" s="1599"/>
      <c r="D8" s="1597"/>
      <c r="E8" s="1614" t="s">
        <v>1066</v>
      </c>
      <c r="F8" s="1690">
        <f ca="1">INDIRECT("'数据-取费表'!ai"&amp;$G$1)</f>
        <v>0</v>
      </c>
      <c r="G8" s="1576"/>
      <c r="H8" s="1598"/>
      <c r="I8" s="3010"/>
      <c r="J8" s="1599"/>
      <c r="K8" s="1597"/>
      <c r="L8" s="1614" t="s">
        <v>1066</v>
      </c>
      <c r="M8" s="1690">
        <f ca="1">INDIRECT("'数据-取费表'!ai"&amp;$G$1)</f>
        <v>0</v>
      </c>
    </row>
    <row r="9" spans="1:37" ht="18" customHeight="1">
      <c r="A9" s="1598"/>
      <c r="B9" s="3011"/>
      <c r="C9" s="1599"/>
      <c r="D9" s="1597"/>
      <c r="E9" s="1614" t="s">
        <v>1067</v>
      </c>
      <c r="F9" s="1690">
        <f ca="1">INDIRECT("'数据-取费表'!w"&amp;$G$1)</f>
        <v>0</v>
      </c>
      <c r="G9" s="1576"/>
      <c r="H9" s="1598"/>
      <c r="I9" s="3011"/>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737" t="s">
        <v>1239</v>
      </c>
      <c r="L10" s="1692" t="s">
        <v>1070</v>
      </c>
      <c r="M10" s="1693"/>
    </row>
    <row r="11" spans="1:37" ht="18" customHeight="1">
      <c r="A11" s="1602"/>
      <c r="B11" s="1603" t="s">
        <v>1240</v>
      </c>
      <c r="C11" s="1604"/>
      <c r="D11" s="1597"/>
      <c r="E11" s="1692" t="s">
        <v>1073</v>
      </c>
      <c r="F11" s="1694">
        <f ca="1">'数据-取费表'!B39</f>
        <v>1.4999999999999999E-2</v>
      </c>
      <c r="G11" s="1576"/>
      <c r="H11" s="1695"/>
      <c r="I11" s="1603" t="s">
        <v>1241</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ROUND(INDIRECT("'数据-取费表'!l"&amp;$G$1)*F43+'数据-取费表'!L14*INDIRECT("'数据-取费表'!S"&amp;$G$1),0)</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ROUND(INDIRECT("'数据-取费表'!l"&amp;$G$1)*F43*F16,0)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ROUND(J6*M18/(1+'数据-取费表'!C42),0)</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IF(K19="按租金收入计税",ROUND(J6*M19/(1+'数据-取费表'!C42),0),ROUND(C29*M19*0.7,0))</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ROUND(M20*M21,0)</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ROUND(J14*M22,0)</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ROUND(J13*M23,0)</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ROUND(J5*M24,0)</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ht="18" customHeight="1">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IF(项目基本情况!B11="自然人","——",ROUND(C6*F32/(1+'数据-取费表'!C42),0))</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IF(项目基本情况!B11="自然人","——",IF(D33="按租金收入计税",ROUND(C6*F33/(1+'数据-取费表'!C42),0),IF(D33="按房产原值计税",ROUND(C29*F33*0.7,0),INDIRECT("'数据-取费表'!Aj"&amp;$G$1))))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ROUND(C29*F36,0)</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ROUND(C13*F37,0)</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1242</v>
      </c>
      <c r="E45" s="1643"/>
      <c r="F45" s="1643"/>
      <c r="O45" s="1793" t="s">
        <v>1148</v>
      </c>
      <c r="P45" s="1712"/>
      <c r="Q45" s="1712"/>
      <c r="R45" s="1712"/>
    </row>
    <row r="46" spans="1:18" s="1576" customFormat="1">
      <c r="A46" s="1647" t="s">
        <v>1149</v>
      </c>
      <c r="C46" s="1648" t="e">
        <f ca="1">ROUND(C45/10000,0)</f>
        <v>#VALUE!</v>
      </c>
      <c r="D46" s="1649" t="str">
        <f>C2</f>
        <v>万元</v>
      </c>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651"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ROUND(F49*F51*F50*(1-F52),0)</f>
        <v>0</v>
      </c>
      <c r="D49" s="1657" t="s">
        <v>1243</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659"/>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0.75" customHeight="1">
      <c r="A53" s="1662" t="s">
        <v>1184</v>
      </c>
      <c r="B53" s="1619" t="s">
        <v>1068</v>
      </c>
      <c r="C53" s="339">
        <f ca="1">ROUND(IF(F53="押一",C49/12*F11,IF(F53="押二",C49/12*2*F11,IF(F53="押三",C49/12*3*F11,C54*F11))),0)</f>
        <v>0</v>
      </c>
      <c r="D53" s="1601" t="s">
        <v>1244</v>
      </c>
      <c r="E53" s="1692" t="s">
        <v>1070</v>
      </c>
      <c r="F53" s="1693"/>
      <c r="I53" s="1772" t="s">
        <v>1185</v>
      </c>
      <c r="J53" s="1773">
        <f ca="1">IF(M47="住宅",IF(D1="——",MAX(J51,L48),MAX(J51,L48-'数据-取费表'!B24)),IF(D1="——",MIN(J51,L48),MIN(J51,L48-'数据-取费表'!B24)))</f>
        <v>0</v>
      </c>
      <c r="K53" s="3007" t="s">
        <v>1186</v>
      </c>
      <c r="L53" s="3008"/>
      <c r="O53" s="1797" t="s">
        <v>1010</v>
      </c>
      <c r="P53" s="1798" t="s">
        <v>1187</v>
      </c>
      <c r="Q53" s="1804" t="e">
        <f ca="1">Q47+Q48</f>
        <v>#VALUE!</v>
      </c>
      <c r="R53" s="1804" t="s">
        <v>1188</v>
      </c>
    </row>
    <row r="54" spans="1:18" s="1576" customFormat="1">
      <c r="A54" s="1654"/>
      <c r="B54" s="1663" t="s">
        <v>1241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c r="O55" s="1794" t="s">
        <v>1151</v>
      </c>
      <c r="P55" s="1795" t="s">
        <v>1152</v>
      </c>
      <c r="Q55" s="1803" t="s">
        <v>1153</v>
      </c>
      <c r="R55" s="1803" t="s">
        <v>1154</v>
      </c>
    </row>
    <row r="56" spans="1:18" s="1576" customFormat="1" ht="36" customHeight="1">
      <c r="A56" s="1664">
        <v>2</v>
      </c>
      <c r="B56" s="1665" t="s">
        <v>1075</v>
      </c>
      <c r="C56" s="249" t="e">
        <f ca="1">C13</f>
        <v>#VALUE!</v>
      </c>
      <c r="D56" s="1666"/>
      <c r="E56" s="1727"/>
      <c r="F56" s="1726"/>
      <c r="I56" s="1780" t="s">
        <v>1193</v>
      </c>
      <c r="J56" s="1781"/>
      <c r="K56" s="1762" t="s">
        <v>1194</v>
      </c>
      <c r="L56" s="1765">
        <f ca="1">IF(L48&lt;J51,"——",L48-J51)</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1245</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1246</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IF(项目基本情况!B11="自然人","——",ROUND(C48*F60/(1+'数据-取费表'!C42),0))</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IF(项目基本情况!B11="自然人","——",IF(D61="按租金收入计税",ROUND(C49*F61/(1+'数据-取费表'!C42),0),IF(D61="按房产原值计税",ROUND(C57*F61*0.7,0),INDIRECT("'数据-取费表'!Aj"&amp;$G$1))))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IF(项目基本情况!B11="自然人","——",ROUND(F62*F63,0))</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ROUND(C57*F64,0)</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ROUND(C56*F65,0)</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ROUND(C48*F66,0)</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f ca="1">F42</f>
        <v>0</v>
      </c>
      <c r="O70" s="1799" t="s">
        <v>1223</v>
      </c>
      <c r="P70" s="1824" t="s">
        <v>1224</v>
      </c>
      <c r="Q70" s="1804" t="e">
        <f ca="1">C13</f>
        <v>#VALUE!</v>
      </c>
      <c r="R70" s="1804" t="s">
        <v>1158</v>
      </c>
    </row>
    <row r="71" spans="1:18" s="1576" customFormat="1">
      <c r="A71" s="1813" t="s">
        <v>1139</v>
      </c>
      <c r="B71" s="1814" t="s">
        <v>1145</v>
      </c>
      <c r="C71" s="1641" t="e">
        <f ca="1">ROUND(C68/F71,0)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1247</v>
      </c>
      <c r="B1" s="1446"/>
      <c r="C1" s="1447"/>
      <c r="D1" s="1447"/>
      <c r="E1" s="1494"/>
      <c r="F1" s="1494"/>
      <c r="G1" s="1495"/>
      <c r="J1" s="1524" t="s">
        <v>1248</v>
      </c>
      <c r="K1" s="1525"/>
      <c r="L1" s="1525"/>
      <c r="M1" s="1525"/>
      <c r="N1" s="1525"/>
      <c r="O1" s="1525"/>
      <c r="P1" s="1525"/>
      <c r="Q1" s="1525"/>
      <c r="R1" s="1559"/>
      <c r="S1" s="1513"/>
      <c r="T1" s="1513"/>
      <c r="U1" s="1513"/>
    </row>
    <row r="2" spans="1:22" s="1439" customFormat="1" ht="13.2" customHeight="1">
      <c r="A2" s="1448" t="s">
        <v>1049</v>
      </c>
      <c r="B2" s="1449" t="e">
        <f>C40</f>
        <v>#DIV/0!</v>
      </c>
      <c r="C2" s="1447" t="s">
        <v>1050</v>
      </c>
      <c r="D2" s="1447"/>
      <c r="E2" s="1496"/>
      <c r="F2" s="1497"/>
      <c r="G2" s="1498"/>
      <c r="H2" s="1499"/>
      <c r="I2" s="1521"/>
      <c r="J2" s="3012" t="s">
        <v>1249</v>
      </c>
      <c r="K2" s="3013"/>
      <c r="L2" s="1505" t="s">
        <v>1250</v>
      </c>
      <c r="M2" s="1505" t="s">
        <v>1251</v>
      </c>
      <c r="N2" s="1505" t="s">
        <v>1252</v>
      </c>
      <c r="O2" s="1505" t="s">
        <v>1253</v>
      </c>
      <c r="P2" s="1505" t="s">
        <v>1254</v>
      </c>
      <c r="Q2" s="1560" t="s">
        <v>1255</v>
      </c>
      <c r="R2" s="1561" t="s">
        <v>1256</v>
      </c>
      <c r="S2" s="1513"/>
      <c r="T2" s="1513"/>
      <c r="U2" s="1513"/>
      <c r="V2" s="1521"/>
    </row>
    <row r="3" spans="1:22" s="1439" customFormat="1" ht="13.2" customHeight="1">
      <c r="A3" s="1450" t="s">
        <v>1051</v>
      </c>
      <c r="B3" s="1451" t="e">
        <f>ROUND(B2*10000/B4,0)</f>
        <v>#DIV/0!</v>
      </c>
      <c r="C3" s="1447" t="s">
        <v>1052</v>
      </c>
      <c r="D3" s="1447"/>
      <c r="E3" s="1496"/>
      <c r="F3" s="1497"/>
      <c r="G3" s="1498"/>
      <c r="H3" s="1499"/>
      <c r="I3" s="1521"/>
      <c r="J3" s="3014" t="s">
        <v>1257</v>
      </c>
      <c r="K3" s="3015"/>
      <c r="L3" s="1526"/>
      <c r="M3" s="1526"/>
      <c r="N3" s="1526"/>
      <c r="O3" s="1526"/>
      <c r="P3" s="1526"/>
      <c r="Q3" s="1562"/>
      <c r="R3" s="1563">
        <f>SUM(L3:Q3)</f>
        <v>0</v>
      </c>
      <c r="S3" s="1513"/>
      <c r="T3" s="1513"/>
      <c r="U3" s="1513"/>
      <c r="V3" s="1521"/>
    </row>
    <row r="4" spans="1:22" s="1439" customFormat="1" ht="13.2" customHeight="1">
      <c r="A4" s="1452" t="s">
        <v>1258</v>
      </c>
      <c r="B4" s="1453"/>
      <c r="C4" s="1447"/>
      <c r="D4" s="1447"/>
      <c r="E4" s="1496"/>
      <c r="F4" s="1497"/>
      <c r="G4" s="1498"/>
      <c r="H4" s="1499"/>
      <c r="I4" s="1521"/>
      <c r="J4" s="3014" t="s">
        <v>1259</v>
      </c>
      <c r="K4" s="3015"/>
      <c r="L4" s="1527"/>
      <c r="M4" s="1527"/>
      <c r="N4" s="1527"/>
      <c r="O4" s="1527"/>
      <c r="P4" s="1527"/>
      <c r="Q4" s="1564"/>
      <c r="R4" s="1565">
        <f>SUM(L4:Q4)</f>
        <v>0</v>
      </c>
      <c r="S4" s="1513"/>
      <c r="T4" s="1513"/>
      <c r="U4" s="1513"/>
      <c r="V4" s="1521"/>
    </row>
    <row r="5" spans="1:22" s="1439" customFormat="1" ht="13.2" customHeight="1">
      <c r="A5" s="1454" t="s">
        <v>1260</v>
      </c>
      <c r="B5" s="1455"/>
      <c r="C5" s="1447"/>
      <c r="D5" s="1456"/>
      <c r="E5" s="1497"/>
      <c r="F5" s="1497"/>
      <c r="G5" s="1498"/>
      <c r="H5" s="1499"/>
      <c r="I5" s="1521"/>
      <c r="J5" s="1528" t="s">
        <v>1261</v>
      </c>
      <c r="K5" s="1529"/>
      <c r="L5" s="1529"/>
      <c r="M5" s="1545"/>
      <c r="N5" s="1545"/>
      <c r="O5" s="1545"/>
      <c r="P5" s="1545"/>
      <c r="Q5" s="1545"/>
      <c r="R5" s="1561">
        <f>SUM(R14,R19,R24,R25,R27,R28)</f>
        <v>0</v>
      </c>
      <c r="S5" s="1513"/>
      <c r="T5" s="1513" t="s">
        <v>1262</v>
      </c>
      <c r="U5" s="1513" t="e">
        <f>ROUND(R5*10000/365/R3,1)</f>
        <v>#DIV/0!</v>
      </c>
      <c r="V5" s="1521"/>
    </row>
    <row r="6" spans="1:22" s="1439" customFormat="1" ht="13.2" customHeight="1">
      <c r="A6" s="3016" t="s">
        <v>1263</v>
      </c>
      <c r="B6" s="3017"/>
      <c r="C6" s="3018"/>
      <c r="D6" s="1457"/>
      <c r="E6" s="1474"/>
      <c r="F6" s="1500"/>
      <c r="G6" s="1501"/>
      <c r="H6" s="1499"/>
      <c r="I6" s="1521"/>
      <c r="J6" s="3025">
        <v>1</v>
      </c>
      <c r="K6" s="3028" t="s">
        <v>1264</v>
      </c>
      <c r="L6" s="1531" t="s">
        <v>1265</v>
      </c>
      <c r="M6" s="1546" t="s">
        <v>1266</v>
      </c>
      <c r="N6" s="1546" t="s">
        <v>1267</v>
      </c>
      <c r="O6" s="1546" t="s">
        <v>1268</v>
      </c>
      <c r="P6" s="1546" t="s">
        <v>1269</v>
      </c>
      <c r="Q6" s="1546" t="s">
        <v>1270</v>
      </c>
      <c r="R6" s="1563" t="s">
        <v>1271</v>
      </c>
      <c r="S6" s="1513"/>
      <c r="T6" s="1513" t="s">
        <v>1272</v>
      </c>
      <c r="U6" s="1513"/>
      <c r="V6" s="1521"/>
    </row>
    <row r="7" spans="1:22" s="1439" customFormat="1" ht="13.2" customHeight="1">
      <c r="A7" s="1458" t="s">
        <v>1273</v>
      </c>
      <c r="B7" s="1459"/>
      <c r="C7" s="1460"/>
      <c r="D7" s="1461">
        <f>SUM(D9,D10,D11,D17,0)</f>
        <v>0</v>
      </c>
      <c r="E7" s="1459" t="e">
        <f>E9+E10+E11+E17</f>
        <v>#DIV/0!</v>
      </c>
      <c r="F7" s="1502"/>
      <c r="G7" s="1503"/>
      <c r="H7" s="1499"/>
      <c r="I7" s="1521"/>
      <c r="J7" s="3025"/>
      <c r="K7" s="3029"/>
      <c r="L7" s="1532" t="s">
        <v>1274</v>
      </c>
      <c r="M7" s="1547"/>
      <c r="N7" s="1453"/>
      <c r="O7" s="1453"/>
      <c r="P7" s="1453"/>
      <c r="Q7" s="1453">
        <v>365</v>
      </c>
      <c r="R7" s="1566">
        <f>ROUND(M7*N7*O7*P7*Q7/10000,0)</f>
        <v>0</v>
      </c>
      <c r="S7" s="1513"/>
      <c r="T7" s="1513" t="s">
        <v>1275</v>
      </c>
      <c r="U7" s="1513"/>
      <c r="V7" s="1521"/>
    </row>
    <row r="8" spans="1:22" s="1439" customFormat="1" ht="13.2" customHeight="1">
      <c r="A8" s="1462" t="s">
        <v>1276</v>
      </c>
      <c r="B8" s="3019" t="s">
        <v>1277</v>
      </c>
      <c r="C8" s="3020"/>
      <c r="D8" s="1465" t="s">
        <v>1278</v>
      </c>
      <c r="E8" s="1465" t="s">
        <v>1279</v>
      </c>
      <c r="F8" s="1504" t="s">
        <v>1280</v>
      </c>
      <c r="G8" s="1503"/>
      <c r="H8" s="1499"/>
      <c r="I8" s="1521"/>
      <c r="J8" s="3025"/>
      <c r="K8" s="3029"/>
      <c r="L8" s="1532" t="s">
        <v>1281</v>
      </c>
      <c r="M8" s="1547"/>
      <c r="N8" s="1453"/>
      <c r="O8" s="1453"/>
      <c r="P8" s="1453"/>
      <c r="Q8" s="1453">
        <v>365</v>
      </c>
      <c r="R8" s="1566">
        <f t="shared" ref="R8:R13" si="0">ROUND(M8*N8*O8*P8*Q8/10000,0)</f>
        <v>0</v>
      </c>
      <c r="S8" s="1513"/>
      <c r="T8" s="1513" t="s">
        <v>1282</v>
      </c>
      <c r="U8" s="1513"/>
      <c r="V8" s="1521"/>
    </row>
    <row r="9" spans="1:22" s="1439" customFormat="1" ht="13.2" customHeight="1">
      <c r="A9" s="1462">
        <v>1</v>
      </c>
      <c r="B9" s="3019" t="s">
        <v>1283</v>
      </c>
      <c r="C9" s="3020"/>
      <c r="D9" s="1465">
        <f>ROUND(D6*E9,0)</f>
        <v>0</v>
      </c>
      <c r="E9" s="1505"/>
      <c r="F9" s="1506" t="s">
        <v>1284</v>
      </c>
      <c r="G9" s="1501"/>
      <c r="H9" s="1499"/>
      <c r="I9" s="1521"/>
      <c r="J9" s="3025"/>
      <c r="K9" s="3029"/>
      <c r="L9" s="1532" t="s">
        <v>1285</v>
      </c>
      <c r="M9" s="1547"/>
      <c r="N9" s="1453"/>
      <c r="O9" s="1453"/>
      <c r="P9" s="1453"/>
      <c r="Q9" s="1453">
        <v>365</v>
      </c>
      <c r="R9" s="1566">
        <f t="shared" si="0"/>
        <v>0</v>
      </c>
      <c r="S9" s="1513"/>
      <c r="T9" s="1513"/>
      <c r="U9" s="1513"/>
      <c r="V9" s="1521"/>
    </row>
    <row r="10" spans="1:22" s="1439" customFormat="1" ht="13.2" customHeight="1">
      <c r="A10" s="1462">
        <v>2</v>
      </c>
      <c r="B10" s="3019" t="s">
        <v>1286</v>
      </c>
      <c r="C10" s="3020"/>
      <c r="D10" s="1465">
        <f>ROUND(D6*E10,0)</f>
        <v>0</v>
      </c>
      <c r="E10" s="1505"/>
      <c r="F10" s="1506" t="s">
        <v>1287</v>
      </c>
      <c r="G10" s="1501"/>
      <c r="H10" s="1499"/>
      <c r="I10" s="1521"/>
      <c r="J10" s="3025"/>
      <c r="K10" s="3029"/>
      <c r="L10" s="1532" t="s">
        <v>1288</v>
      </c>
      <c r="M10" s="1547"/>
      <c r="N10" s="1453"/>
      <c r="O10" s="1453"/>
      <c r="P10" s="1453"/>
      <c r="Q10" s="1453">
        <v>365</v>
      </c>
      <c r="R10" s="1566">
        <f t="shared" si="0"/>
        <v>0</v>
      </c>
      <c r="S10" s="1513"/>
      <c r="T10" s="1513"/>
      <c r="U10" s="1513"/>
      <c r="V10" s="1521"/>
    </row>
    <row r="11" spans="1:22" s="1439" customFormat="1" ht="13.2" customHeight="1">
      <c r="A11" s="1462">
        <v>3</v>
      </c>
      <c r="B11" s="3019" t="s">
        <v>1289</v>
      </c>
      <c r="C11" s="3020"/>
      <c r="D11" s="1465">
        <f>D12+D14+D15+D16</f>
        <v>0</v>
      </c>
      <c r="E11" s="1465" t="e">
        <f>D11/D6</f>
        <v>#DIV/0!</v>
      </c>
      <c r="F11" s="1504"/>
      <c r="G11" s="1503"/>
      <c r="H11" s="1499"/>
      <c r="I11" s="1521"/>
      <c r="J11" s="3025"/>
      <c r="K11" s="3029"/>
      <c r="L11" s="1532" t="s">
        <v>1290</v>
      </c>
      <c r="M11" s="1547"/>
      <c r="N11" s="1453"/>
      <c r="O11" s="1453"/>
      <c r="P11" s="1453"/>
      <c r="Q11" s="1453">
        <v>365</v>
      </c>
      <c r="R11" s="1566">
        <f t="shared" si="0"/>
        <v>0</v>
      </c>
      <c r="S11" s="1513"/>
      <c r="T11" s="1513"/>
      <c r="U11" s="1513"/>
      <c r="V11" s="1521"/>
    </row>
    <row r="12" spans="1:22" s="1439" customFormat="1" ht="13.2" customHeight="1">
      <c r="A12" s="1466" t="s">
        <v>1291</v>
      </c>
      <c r="B12" s="3021" t="s">
        <v>1292</v>
      </c>
      <c r="C12" s="3022"/>
      <c r="D12" s="1469">
        <f>ROUND(D13*1.2%*(1-30%),0)</f>
        <v>0</v>
      </c>
      <c r="E12" s="1469">
        <v>1.2E-2</v>
      </c>
      <c r="F12" s="1504" t="s">
        <v>1293</v>
      </c>
      <c r="G12" s="1503"/>
      <c r="H12" s="1499"/>
      <c r="I12" s="1521"/>
      <c r="J12" s="3025"/>
      <c r="K12" s="3029"/>
      <c r="L12" s="1532" t="s">
        <v>1294</v>
      </c>
      <c r="M12" s="1547"/>
      <c r="N12" s="1453"/>
      <c r="O12" s="1453"/>
      <c r="P12" s="1453"/>
      <c r="Q12" s="1453">
        <v>365</v>
      </c>
      <c r="R12" s="1566">
        <f t="shared" si="0"/>
        <v>0</v>
      </c>
      <c r="S12" s="1513"/>
      <c r="T12" s="1513"/>
      <c r="U12" s="1513"/>
      <c r="V12" s="1521"/>
    </row>
    <row r="13" spans="1:22" s="1439" customFormat="1" ht="13.2" customHeight="1">
      <c r="A13" s="1466"/>
      <c r="B13" s="1467"/>
      <c r="C13" s="1470" t="s">
        <v>1295</v>
      </c>
      <c r="D13" s="1453"/>
      <c r="E13" s="1507"/>
      <c r="F13" s="1504"/>
      <c r="G13" s="1503"/>
      <c r="H13" s="1499"/>
      <c r="I13" s="1521"/>
      <c r="J13" s="3025"/>
      <c r="K13" s="3029"/>
      <c r="L13" s="1532" t="s">
        <v>1296</v>
      </c>
      <c r="M13" s="1547"/>
      <c r="N13" s="1453"/>
      <c r="O13" s="1453"/>
      <c r="P13" s="1453"/>
      <c r="Q13" s="1453">
        <v>365</v>
      </c>
      <c r="R13" s="1566">
        <f t="shared" si="0"/>
        <v>0</v>
      </c>
      <c r="S13" s="1513"/>
      <c r="T13" s="1513"/>
      <c r="U13" s="1513"/>
      <c r="V13" s="1521"/>
    </row>
    <row r="14" spans="1:22" s="1439" customFormat="1" ht="13.2" customHeight="1">
      <c r="A14" s="1466" t="s">
        <v>1297</v>
      </c>
      <c r="B14" s="3021" t="s">
        <v>1298</v>
      </c>
      <c r="C14" s="3022"/>
      <c r="D14" s="1469">
        <f>ROUND(E14*B5/10000,0)</f>
        <v>0</v>
      </c>
      <c r="E14" s="1453"/>
      <c r="F14" s="1504" t="s">
        <v>1299</v>
      </c>
      <c r="G14" s="1503"/>
      <c r="H14" s="1499"/>
      <c r="I14" s="1521"/>
      <c r="J14" s="3025"/>
      <c r="K14" s="3030"/>
      <c r="L14" s="1533" t="s">
        <v>1300</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1301</v>
      </c>
      <c r="B15" s="3021" t="s">
        <v>1302</v>
      </c>
      <c r="C15" s="3022"/>
      <c r="D15" s="1469">
        <f>ROUND(D6*E15,0)</f>
        <v>0</v>
      </c>
      <c r="E15" s="1469">
        <v>5.5E-2</v>
      </c>
      <c r="F15" s="1504" t="s">
        <v>1303</v>
      </c>
      <c r="G15" s="1501"/>
      <c r="H15" s="1499"/>
      <c r="I15" s="1521"/>
      <c r="J15" s="3025">
        <v>2</v>
      </c>
      <c r="K15" s="3028" t="s">
        <v>1304</v>
      </c>
      <c r="L15" s="1532" t="s">
        <v>1305</v>
      </c>
      <c r="M15" s="1547" t="s">
        <v>1306</v>
      </c>
      <c r="N15" s="1547" t="s">
        <v>1307</v>
      </c>
      <c r="O15" s="1453" t="s">
        <v>1308</v>
      </c>
      <c r="P15" s="1453" t="s">
        <v>1270</v>
      </c>
      <c r="Q15" s="1453" t="s">
        <v>124</v>
      </c>
      <c r="R15" s="1566" t="s">
        <v>1271</v>
      </c>
      <c r="S15" s="1513"/>
      <c r="T15" s="1513"/>
      <c r="U15" s="1513"/>
      <c r="V15" s="1521"/>
    </row>
    <row r="16" spans="1:22" s="1439" customFormat="1" ht="13.2" customHeight="1">
      <c r="A16" s="1466" t="s">
        <v>1309</v>
      </c>
      <c r="B16" s="3021" t="s">
        <v>1310</v>
      </c>
      <c r="C16" s="3022"/>
      <c r="D16" s="1453">
        <f>D6*E16</f>
        <v>0</v>
      </c>
      <c r="E16" s="1453"/>
      <c r="F16" s="1506" t="s">
        <v>1311</v>
      </c>
      <c r="G16" s="1501"/>
      <c r="H16" s="1499"/>
      <c r="I16" s="1521"/>
      <c r="J16" s="3025"/>
      <c r="K16" s="3029"/>
      <c r="L16" s="1532" t="s">
        <v>1312</v>
      </c>
      <c r="M16" s="1547"/>
      <c r="N16" s="1547"/>
      <c r="O16" s="1453"/>
      <c r="P16" s="1453">
        <v>365</v>
      </c>
      <c r="Q16" s="1453"/>
      <c r="R16" s="1566">
        <f>ROUND(M16*N16*O16*P16/10000,0)</f>
        <v>0</v>
      </c>
      <c r="S16" s="1513"/>
      <c r="T16" s="1513"/>
      <c r="U16" s="1513"/>
      <c r="V16" s="1521"/>
    </row>
    <row r="17" spans="1:22" s="1439" customFormat="1" ht="13.2" customHeight="1">
      <c r="A17" s="1471">
        <v>4</v>
      </c>
      <c r="B17" s="3023" t="s">
        <v>1313</v>
      </c>
      <c r="C17" s="3024"/>
      <c r="D17" s="1472">
        <f>ROUND(D6*E17,0)</f>
        <v>0</v>
      </c>
      <c r="E17" s="1508"/>
      <c r="F17" s="1509" t="s">
        <v>1314</v>
      </c>
      <c r="G17" s="1501"/>
      <c r="H17" s="1499"/>
      <c r="I17" s="1521"/>
      <c r="J17" s="3025"/>
      <c r="K17" s="3029"/>
      <c r="L17" s="1532" t="s">
        <v>1315</v>
      </c>
      <c r="M17" s="1547"/>
      <c r="N17" s="1547"/>
      <c r="O17" s="1453"/>
      <c r="P17" s="1453">
        <v>365</v>
      </c>
      <c r="Q17" s="1453"/>
      <c r="R17" s="1566">
        <f>ROUND(M17*N17*O17*P17/10000,0)</f>
        <v>0</v>
      </c>
      <c r="S17" s="1513"/>
      <c r="T17" s="1513"/>
      <c r="U17" s="1513"/>
      <c r="V17" s="1521"/>
    </row>
    <row r="18" spans="1:22" s="1439" customFormat="1" ht="13.2" customHeight="1">
      <c r="A18" s="1458" t="s">
        <v>1316</v>
      </c>
      <c r="B18" s="1459"/>
      <c r="C18" s="1459"/>
      <c r="D18" s="1459">
        <f>ROUND(D6*E18,0)</f>
        <v>0</v>
      </c>
      <c r="E18" s="1510"/>
      <c r="F18" s="1511" t="s">
        <v>1317</v>
      </c>
      <c r="G18" s="1501"/>
      <c r="H18" s="1499"/>
      <c r="I18" s="1521"/>
      <c r="J18" s="3025"/>
      <c r="K18" s="3029"/>
      <c r="L18" s="1532" t="s">
        <v>1318</v>
      </c>
      <c r="M18" s="1547"/>
      <c r="N18" s="1547"/>
      <c r="O18" s="1453"/>
      <c r="P18" s="1453">
        <v>365</v>
      </c>
      <c r="Q18" s="1453"/>
      <c r="R18" s="1566">
        <f>ROUND(M18*N18*O18*P18/10000,0)</f>
        <v>0</v>
      </c>
      <c r="S18" s="1513"/>
      <c r="T18" s="1513"/>
      <c r="U18" s="1513"/>
      <c r="V18" s="1521"/>
    </row>
    <row r="19" spans="1:22" s="1439" customFormat="1" ht="13.2" customHeight="1">
      <c r="A19" s="1473" t="s">
        <v>1319</v>
      </c>
      <c r="B19" s="1474"/>
      <c r="C19" s="1474"/>
      <c r="D19" s="1474"/>
      <c r="E19" s="1474"/>
      <c r="F19" s="1500"/>
      <c r="G19" s="1503"/>
      <c r="H19" s="1499"/>
      <c r="I19" s="1521"/>
      <c r="J19" s="3025"/>
      <c r="K19" s="3030"/>
      <c r="L19" s="1533" t="s">
        <v>1300</v>
      </c>
      <c r="M19" s="1548"/>
      <c r="N19" s="1548">
        <f>SUM(N16:N18)</f>
        <v>0</v>
      </c>
      <c r="O19" s="1549"/>
      <c r="P19" s="1550" t="s">
        <v>1320</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25">
        <v>3</v>
      </c>
      <c r="K20" s="3028" t="s">
        <v>1321</v>
      </c>
      <c r="L20" s="1532" t="s">
        <v>1322</v>
      </c>
      <c r="M20" s="1547" t="s">
        <v>1323</v>
      </c>
      <c r="N20" s="1551" t="s">
        <v>1324</v>
      </c>
      <c r="O20" s="1453" t="s">
        <v>1325</v>
      </c>
      <c r="P20" s="1453" t="s">
        <v>1270</v>
      </c>
      <c r="Q20" s="1453" t="s">
        <v>124</v>
      </c>
      <c r="R20" s="1566" t="s">
        <v>1271</v>
      </c>
      <c r="S20" s="1513"/>
      <c r="T20" s="1513"/>
      <c r="U20" s="1513"/>
      <c r="V20" s="1521"/>
    </row>
    <row r="21" spans="1:22" s="1439" customFormat="1" ht="13.2" customHeight="1">
      <c r="A21" s="1458"/>
      <c r="B21" s="1459"/>
      <c r="C21" s="1463" t="s">
        <v>1326</v>
      </c>
      <c r="D21" s="1475" t="s">
        <v>1327</v>
      </c>
      <c r="E21" s="1464" t="s">
        <v>1328</v>
      </c>
      <c r="F21" s="1502"/>
      <c r="G21" s="1503"/>
      <c r="H21" s="1499"/>
      <c r="I21" s="1521"/>
      <c r="J21" s="3025"/>
      <c r="K21" s="3029"/>
      <c r="L21" s="1532" t="s">
        <v>1329</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1330</v>
      </c>
      <c r="D22" s="1477" t="s">
        <v>1331</v>
      </c>
      <c r="E22" s="1512" t="s">
        <v>1332</v>
      </c>
      <c r="F22" s="1502"/>
      <c r="G22" s="1513"/>
      <c r="H22" s="1499"/>
      <c r="I22" s="1521"/>
      <c r="J22" s="3025"/>
      <c r="K22" s="3029"/>
      <c r="L22" s="1532" t="s">
        <v>1333</v>
      </c>
      <c r="M22" s="1547"/>
      <c r="N22" s="1547"/>
      <c r="O22" s="1453"/>
      <c r="P22" s="1453">
        <v>365</v>
      </c>
      <c r="Q22" s="1453"/>
      <c r="R22" s="1568">
        <f>ROUND(M22*N22*O22*P22/10000,0)</f>
        <v>0</v>
      </c>
      <c r="S22" s="1513"/>
      <c r="T22" s="1513"/>
      <c r="U22" s="1513"/>
      <c r="V22" s="1521"/>
    </row>
    <row r="23" spans="1:22" s="1439" customFormat="1" ht="13.2" customHeight="1">
      <c r="A23" s="1478">
        <v>1</v>
      </c>
      <c r="B23" s="1469" t="s">
        <v>1334</v>
      </c>
      <c r="C23" s="1467">
        <f>D6</f>
        <v>0</v>
      </c>
      <c r="D23" s="1479">
        <f>C23*(1+D24)</f>
        <v>0</v>
      </c>
      <c r="E23" s="1468">
        <f>D23*(1+E24)</f>
        <v>0</v>
      </c>
      <c r="F23" s="1514"/>
      <c r="G23" s="1515"/>
      <c r="H23" s="1499"/>
      <c r="I23" s="1521"/>
      <c r="J23" s="3025"/>
      <c r="K23" s="3029"/>
      <c r="L23" s="1532" t="s">
        <v>1335</v>
      </c>
      <c r="M23" s="1547"/>
      <c r="N23" s="1547"/>
      <c r="O23" s="1453"/>
      <c r="P23" s="1453">
        <v>365</v>
      </c>
      <c r="Q23" s="1453"/>
      <c r="R23" s="1568">
        <f>ROUND(M23*N23*O23*P23/10000,0)</f>
        <v>0</v>
      </c>
      <c r="S23" s="1513"/>
      <c r="T23" s="1513"/>
      <c r="U23" s="1513"/>
      <c r="V23" s="1521"/>
    </row>
    <row r="24" spans="1:22" s="1439" customFormat="1" ht="13.2" customHeight="1">
      <c r="A24" s="1480"/>
      <c r="B24" s="1481" t="s">
        <v>1336</v>
      </c>
      <c r="C24" s="1482"/>
      <c r="D24" s="1483"/>
      <c r="E24" s="1516"/>
      <c r="F24" s="1517"/>
      <c r="G24" s="1515"/>
      <c r="H24" s="1499"/>
      <c r="I24" s="1521"/>
      <c r="J24" s="3025"/>
      <c r="K24" s="3030"/>
      <c r="L24" s="1533" t="s">
        <v>1300</v>
      </c>
      <c r="M24" s="1548">
        <f>SUM(M21:M23)</f>
        <v>0</v>
      </c>
      <c r="N24" s="1548"/>
      <c r="O24" s="1549"/>
      <c r="P24" s="1550" t="s">
        <v>1320</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1337</v>
      </c>
      <c r="L25" s="1535"/>
      <c r="M25" s="1535"/>
      <c r="N25" s="1535"/>
      <c r="O25" s="1535"/>
      <c r="P25" s="1552"/>
      <c r="Q25" s="1547">
        <v>0</v>
      </c>
      <c r="R25" s="1567">
        <f>ROUND(R14*Q25,0)</f>
        <v>0</v>
      </c>
      <c r="S25" s="1513"/>
      <c r="T25" s="1513"/>
      <c r="U25" s="1513"/>
      <c r="V25" s="1538"/>
    </row>
    <row r="26" spans="1:22" s="1440" customFormat="1" ht="13.2" customHeight="1">
      <c r="A26" s="1478">
        <v>2</v>
      </c>
      <c r="B26" s="1469" t="s">
        <v>1338</v>
      </c>
      <c r="C26" s="1467">
        <f>D7</f>
        <v>0</v>
      </c>
      <c r="D26" s="1479">
        <f>D23*D27</f>
        <v>0</v>
      </c>
      <c r="E26" s="1468">
        <f>E23*E27</f>
        <v>0</v>
      </c>
      <c r="F26" s="1514"/>
      <c r="G26" s="1515"/>
      <c r="H26" s="1499"/>
      <c r="I26" s="1521"/>
      <c r="J26" s="3026">
        <v>5</v>
      </c>
      <c r="K26" s="1536" t="s">
        <v>1339</v>
      </c>
      <c r="L26" s="1537"/>
      <c r="M26" s="1553"/>
      <c r="N26" s="1554" t="s">
        <v>364</v>
      </c>
      <c r="O26" s="1554" t="s">
        <v>1340</v>
      </c>
      <c r="P26" s="1554" t="s">
        <v>1341</v>
      </c>
      <c r="Q26" s="1554" t="s">
        <v>1342</v>
      </c>
      <c r="R26" s="1563" t="s">
        <v>1271</v>
      </c>
      <c r="S26" s="1503"/>
      <c r="T26" s="1503"/>
      <c r="U26" s="1503"/>
      <c r="V26" s="1538"/>
    </row>
    <row r="27" spans="1:22" s="1439" customFormat="1" ht="13.2" customHeight="1">
      <c r="A27" s="1480"/>
      <c r="B27" s="1481" t="s">
        <v>1343</v>
      </c>
      <c r="C27" s="1482" t="e">
        <f>E7</f>
        <v>#DIV/0!</v>
      </c>
      <c r="D27" s="1483"/>
      <c r="E27" s="1516"/>
      <c r="F27" s="1517"/>
      <c r="G27" s="1515"/>
      <c r="H27" s="1518"/>
      <c r="I27" s="1538"/>
      <c r="J27" s="3027"/>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1344</v>
      </c>
      <c r="F28" s="1517"/>
      <c r="G28" s="1513"/>
      <c r="H28" s="1518"/>
      <c r="I28" s="1538"/>
      <c r="J28" s="1541">
        <v>6</v>
      </c>
      <c r="K28" s="1542" t="s">
        <v>1345</v>
      </c>
      <c r="L28" s="1543" t="s">
        <v>1346</v>
      </c>
      <c r="M28" s="1557"/>
      <c r="N28" s="1543" t="s">
        <v>1347</v>
      </c>
      <c r="O28" s="1558"/>
      <c r="P28" s="1543" t="s">
        <v>1348</v>
      </c>
      <c r="Q28" s="1569">
        <v>1.4999999999999999E-2</v>
      </c>
      <c r="R28" s="1570"/>
      <c r="S28" s="1513"/>
      <c r="T28" s="1513"/>
      <c r="U28" s="1513"/>
      <c r="V28" s="1538"/>
    </row>
    <row r="29" spans="1:22" s="1440" customFormat="1" ht="13.2" customHeight="1">
      <c r="A29" s="1478">
        <v>3</v>
      </c>
      <c r="B29" s="1469" t="s">
        <v>1349</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1343</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1350</v>
      </c>
      <c r="K31" s="1525"/>
      <c r="L31" s="1525"/>
      <c r="M31" s="1525"/>
      <c r="N31" s="1525"/>
      <c r="O31" s="1525"/>
      <c r="P31" s="1525"/>
      <c r="Q31" s="1525"/>
      <c r="R31" s="1559"/>
      <c r="S31" s="1513"/>
      <c r="T31" s="1513"/>
      <c r="U31" s="1513"/>
      <c r="V31" s="1538"/>
    </row>
    <row r="32" spans="1:22" s="1440" customFormat="1" ht="13.2" customHeight="1">
      <c r="A32" s="1478">
        <v>4</v>
      </c>
      <c r="B32" s="1469" t="s">
        <v>1351</v>
      </c>
      <c r="C32" s="1467">
        <f>C23-C26-C29</f>
        <v>0</v>
      </c>
      <c r="D32" s="1479">
        <f>D23-D26-D29</f>
        <v>0</v>
      </c>
      <c r="E32" s="1468">
        <f>E23-E26-E29</f>
        <v>0</v>
      </c>
      <c r="F32" s="1514"/>
      <c r="G32" s="1513"/>
      <c r="H32" s="1499"/>
      <c r="I32" s="1521"/>
      <c r="J32" s="3012" t="s">
        <v>1249</v>
      </c>
      <c r="K32" s="3013"/>
      <c r="L32" s="1505" t="s">
        <v>1250</v>
      </c>
      <c r="M32" s="1505" t="s">
        <v>1251</v>
      </c>
      <c r="N32" s="1505" t="s">
        <v>1252</v>
      </c>
      <c r="O32" s="1505" t="s">
        <v>1253</v>
      </c>
      <c r="P32" s="1505" t="s">
        <v>1254</v>
      </c>
      <c r="Q32" s="1560" t="s">
        <v>1255</v>
      </c>
      <c r="R32" s="1549" t="s">
        <v>1256</v>
      </c>
      <c r="S32" s="1513"/>
      <c r="T32" s="1513"/>
      <c r="U32" s="1513"/>
      <c r="V32" s="1538"/>
    </row>
    <row r="33" spans="1:23" s="1439" customFormat="1" ht="13.2" customHeight="1">
      <c r="A33" s="1478"/>
      <c r="B33" s="1469"/>
      <c r="C33" s="1467"/>
      <c r="D33" s="1479"/>
      <c r="E33" s="1468"/>
      <c r="F33" s="1514"/>
      <c r="G33" s="1513"/>
      <c r="H33" s="1518"/>
      <c r="I33" s="1538"/>
      <c r="J33" s="3014" t="s">
        <v>1257</v>
      </c>
      <c r="K33" s="3015"/>
      <c r="L33" s="1526"/>
      <c r="M33" s="1526"/>
      <c r="N33" s="1526"/>
      <c r="O33" s="1526"/>
      <c r="P33" s="1526"/>
      <c r="Q33" s="1562"/>
      <c r="R33" s="1546">
        <f>SUM(L33:Q33)</f>
        <v>0</v>
      </c>
      <c r="S33" s="1513"/>
      <c r="T33" s="1513"/>
      <c r="U33" s="1513"/>
      <c r="V33" s="1521"/>
    </row>
    <row r="34" spans="1:23" s="1439" customFormat="1" ht="13.2" customHeight="1">
      <c r="A34" s="1478">
        <v>5</v>
      </c>
      <c r="B34" s="1469" t="s">
        <v>1352</v>
      </c>
      <c r="C34" s="1486"/>
      <c r="D34" s="1487"/>
      <c r="E34" s="1519"/>
      <c r="F34" s="1514"/>
      <c r="G34" s="1513"/>
      <c r="H34" s="1518"/>
      <c r="I34" s="1538"/>
      <c r="J34" s="3014" t="s">
        <v>1259</v>
      </c>
      <c r="K34" s="3015"/>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1353</v>
      </c>
      <c r="C35" s="1486"/>
      <c r="D35" s="1487"/>
      <c r="E35" s="1519"/>
      <c r="F35" s="1514"/>
      <c r="G35" s="1513"/>
      <c r="H35" s="1499"/>
      <c r="I35" s="1538"/>
      <c r="J35" s="1528" t="s">
        <v>1261</v>
      </c>
      <c r="K35" s="1529"/>
      <c r="L35" s="1529"/>
      <c r="M35" s="1545"/>
      <c r="N35" s="1545"/>
      <c r="O35" s="1545"/>
      <c r="P35" s="1545"/>
      <c r="Q35" s="1545"/>
      <c r="R35" s="1572">
        <f>R40+R41+R43</f>
        <v>0</v>
      </c>
      <c r="S35" s="1513"/>
      <c r="T35" s="1513" t="s">
        <v>1262</v>
      </c>
      <c r="U35" s="1513"/>
      <c r="V35" s="1521"/>
    </row>
    <row r="36" spans="1:23" s="1439" customFormat="1" ht="13.2" customHeight="1">
      <c r="A36" s="1478">
        <v>7</v>
      </c>
      <c r="B36" s="1488" t="s">
        <v>1354</v>
      </c>
      <c r="C36" s="1489"/>
      <c r="D36" s="1490"/>
      <c r="E36" s="1520"/>
      <c r="F36" s="1514">
        <f>C36+D36+E36</f>
        <v>0</v>
      </c>
      <c r="G36" s="1513"/>
      <c r="H36" s="1499"/>
      <c r="I36" s="1521"/>
      <c r="J36" s="3025">
        <v>1</v>
      </c>
      <c r="K36" s="3028" t="s">
        <v>1355</v>
      </c>
      <c r="L36" s="1531"/>
      <c r="M36" s="1546"/>
      <c r="N36" s="1546"/>
      <c r="O36" s="1546"/>
      <c r="P36" s="1546"/>
      <c r="Q36" s="1546"/>
      <c r="R36" s="1563" t="s">
        <v>1271</v>
      </c>
      <c r="S36" s="1513"/>
      <c r="T36" s="1513" t="s">
        <v>1272</v>
      </c>
      <c r="U36" s="1513"/>
      <c r="V36" s="1521"/>
    </row>
    <row r="37" spans="1:23" s="1439" customFormat="1" ht="13.2" customHeight="1">
      <c r="A37" s="1478"/>
      <c r="B37" s="1469"/>
      <c r="C37" s="1469"/>
      <c r="D37" s="1469"/>
      <c r="E37" s="1469"/>
      <c r="F37" s="1514"/>
      <c r="G37" s="1513"/>
      <c r="H37" s="1499"/>
      <c r="I37" s="1521"/>
      <c r="J37" s="3025"/>
      <c r="K37" s="3029"/>
      <c r="L37" s="1532"/>
      <c r="M37" s="1547"/>
      <c r="N37" s="1453"/>
      <c r="O37" s="1453"/>
      <c r="P37" s="1453"/>
      <c r="Q37" s="1453"/>
      <c r="R37" s="1566"/>
      <c r="S37" s="1513"/>
      <c r="T37" s="1513" t="s">
        <v>1275</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25"/>
      <c r="K38" s="3029"/>
      <c r="L38" s="1532"/>
      <c r="M38" s="1547"/>
      <c r="N38" s="1453"/>
      <c r="O38" s="1453"/>
      <c r="P38" s="1453"/>
      <c r="Q38" s="1453"/>
      <c r="R38" s="1566"/>
      <c r="S38" s="1513"/>
      <c r="T38" s="1513" t="s">
        <v>1282</v>
      </c>
      <c r="U38" s="1513"/>
      <c r="V38" s="1521"/>
    </row>
    <row r="39" spans="1:23" s="1439" customFormat="1" ht="13.2" customHeight="1">
      <c r="A39" s="1478">
        <v>9</v>
      </c>
      <c r="B39" s="1469" t="s">
        <v>1356</v>
      </c>
      <c r="C39" s="1469" t="e">
        <f>C38</f>
        <v>#DIV/0!</v>
      </c>
      <c r="D39" s="1469">
        <f>D38/(1+D34)^C36</f>
        <v>0</v>
      </c>
      <c r="E39" s="1469">
        <f>E38/(1+E34)^(C36+D36)</f>
        <v>0</v>
      </c>
      <c r="F39" s="1514"/>
      <c r="G39" s="1521"/>
      <c r="H39" s="1499"/>
      <c r="I39" s="1521"/>
      <c r="J39" s="3025"/>
      <c r="K39" s="3029"/>
      <c r="L39" s="1532"/>
      <c r="M39" s="1547"/>
      <c r="N39" s="1453"/>
      <c r="O39" s="1453"/>
      <c r="P39" s="1453"/>
      <c r="Q39" s="1453"/>
      <c r="R39" s="1566"/>
      <c r="S39" s="1513"/>
      <c r="T39" s="1513"/>
      <c r="U39" s="1513"/>
      <c r="V39" s="1521"/>
    </row>
    <row r="40" spans="1:23" s="1439" customFormat="1" ht="13.2" customHeight="1">
      <c r="A40" s="1466">
        <v>10</v>
      </c>
      <c r="B40" s="1469" t="s">
        <v>1357</v>
      </c>
      <c r="C40" s="1491" t="e">
        <f>C39+D39+E39</f>
        <v>#DIV/0!</v>
      </c>
      <c r="D40" s="1491"/>
      <c r="E40" s="1491"/>
      <c r="F40" s="1522"/>
      <c r="G40" s="1513"/>
      <c r="H40" s="1499"/>
      <c r="I40" s="1521"/>
      <c r="J40" s="3025"/>
      <c r="K40" s="3030"/>
      <c r="L40" s="1533" t="s">
        <v>1300</v>
      </c>
      <c r="M40" s="1548"/>
      <c r="N40" s="1548"/>
      <c r="O40" s="1549"/>
      <c r="P40" s="1549"/>
      <c r="Q40" s="1549"/>
      <c r="R40" s="1561">
        <f>SUM(R37:R39)</f>
        <v>0</v>
      </c>
      <c r="S40" s="1513"/>
      <c r="T40" s="1513"/>
      <c r="U40" s="1513"/>
      <c r="V40" s="1521"/>
    </row>
    <row r="41" spans="1:23" s="1439" customFormat="1" ht="13.2" customHeight="1">
      <c r="A41" s="1492">
        <v>11</v>
      </c>
      <c r="B41" s="1488" t="s">
        <v>1358</v>
      </c>
      <c r="C41" s="1488" t="e">
        <f>ROUND(C40*10000/B4,0)</f>
        <v>#DIV/0!</v>
      </c>
      <c r="D41" s="1493"/>
      <c r="E41" s="1493"/>
      <c r="F41" s="1523"/>
      <c r="G41" s="1499"/>
      <c r="H41" s="1499"/>
      <c r="I41" s="1521"/>
      <c r="J41" s="1530">
        <v>2</v>
      </c>
      <c r="K41" s="1534" t="s">
        <v>1337</v>
      </c>
      <c r="L41" s="1535"/>
      <c r="M41" s="1535"/>
      <c r="N41" s="1535"/>
      <c r="O41" s="1535"/>
      <c r="P41" s="1552"/>
      <c r="Q41" s="1547"/>
      <c r="R41" s="1567">
        <f>ROUND(R40*Q41,0)</f>
        <v>0</v>
      </c>
      <c r="S41" s="1513"/>
      <c r="T41" s="1513"/>
      <c r="U41" s="1503"/>
      <c r="V41" s="1521"/>
    </row>
    <row r="42" spans="1:23" s="1439" customFormat="1" ht="13.2" customHeight="1">
      <c r="G42" s="1499"/>
      <c r="H42" s="1499"/>
      <c r="I42" s="1521"/>
      <c r="J42" s="3026">
        <v>3</v>
      </c>
      <c r="K42" s="1536" t="s">
        <v>1339</v>
      </c>
      <c r="L42" s="1537"/>
      <c r="M42" s="1553"/>
      <c r="N42" s="1554" t="s">
        <v>364</v>
      </c>
      <c r="O42" s="1554" t="s">
        <v>1340</v>
      </c>
      <c r="P42" s="1554" t="s">
        <v>1341</v>
      </c>
      <c r="Q42" s="1554" t="s">
        <v>1342</v>
      </c>
      <c r="R42" s="1563" t="s">
        <v>1271</v>
      </c>
      <c r="S42" s="1503"/>
      <c r="T42" s="1503"/>
      <c r="U42" s="1513"/>
      <c r="V42" s="1521"/>
    </row>
    <row r="43" spans="1:23" ht="13.2" customHeight="1">
      <c r="A43" s="1439"/>
      <c r="B43" s="1439"/>
      <c r="C43" s="1439"/>
      <c r="D43" s="1439"/>
      <c r="E43" s="1439"/>
      <c r="F43" s="1439"/>
      <c r="I43" s="1442"/>
      <c r="J43" s="3027"/>
      <c r="K43" s="1539"/>
      <c r="L43" s="1540"/>
      <c r="M43" s="1555"/>
      <c r="N43" s="1547"/>
      <c r="O43" s="1547"/>
      <c r="P43" s="1547"/>
      <c r="Q43" s="1547"/>
      <c r="R43" s="1567">
        <f>ROUND(O43*N43*P43*(1-Q43)/10000,0)</f>
        <v>0</v>
      </c>
      <c r="S43" s="1513"/>
      <c r="T43" s="1513"/>
      <c r="V43" s="1444"/>
      <c r="W43" s="1573"/>
    </row>
    <row r="44" spans="1:23" ht="13.2" customHeight="1">
      <c r="J44" s="1541">
        <v>6</v>
      </c>
      <c r="K44" s="1542" t="s">
        <v>1345</v>
      </c>
      <c r="L44" s="1544" t="s">
        <v>1346</v>
      </c>
      <c r="M44" s="1557"/>
      <c r="N44" s="1544" t="s">
        <v>1347</v>
      </c>
      <c r="O44" s="1557"/>
      <c r="P44" s="1544" t="s">
        <v>1348</v>
      </c>
      <c r="Q44" s="1569">
        <v>1.4999999999999999E-2</v>
      </c>
      <c r="R44" s="157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1359</v>
      </c>
      <c r="B1" s="1422"/>
      <c r="C1" s="1422"/>
      <c r="D1" s="1422"/>
      <c r="E1" s="1434"/>
      <c r="F1" s="1428"/>
      <c r="G1" s="1307"/>
      <c r="H1" s="1307"/>
      <c r="I1" s="1307"/>
      <c r="J1" s="1307"/>
      <c r="K1" s="1307"/>
      <c r="L1" s="1307"/>
      <c r="M1" s="1307"/>
      <c r="N1" s="1307"/>
      <c r="O1" s="1307"/>
      <c r="P1" s="1307"/>
      <c r="Q1" s="1307"/>
      <c r="R1" s="1307"/>
      <c r="S1" s="1307"/>
    </row>
    <row r="2" spans="1:22" ht="15.6">
      <c r="A2" s="1423" t="s">
        <v>889</v>
      </c>
      <c r="B2" s="1424">
        <f ca="1">SUMIF(B6:B13,"&lt;&gt;#ref!",B6:B13)</f>
        <v>0</v>
      </c>
      <c r="C2" s="1425" t="s">
        <v>1360</v>
      </c>
      <c r="D2" s="1426" t="s">
        <v>1361</v>
      </c>
      <c r="E2" s="1435">
        <f>SUM(E6:E13)</f>
        <v>0</v>
      </c>
      <c r="F2" s="1428"/>
      <c r="G2" s="1307"/>
      <c r="H2" s="1307"/>
      <c r="I2" s="1307"/>
      <c r="J2" s="1307"/>
      <c r="K2" s="1307"/>
      <c r="L2" s="1307"/>
      <c r="M2" s="1307"/>
      <c r="N2" s="1307"/>
      <c r="O2" s="1307"/>
      <c r="P2" s="1307"/>
      <c r="Q2" s="1307"/>
      <c r="R2" s="1307"/>
      <c r="S2" s="1307"/>
    </row>
    <row r="3" spans="1:22" ht="15.6">
      <c r="A3" s="1423" t="s">
        <v>891</v>
      </c>
      <c r="B3" s="1427" t="e">
        <f ca="1">ROUND(B2*10000/E2,0)</f>
        <v>#DIV/0!</v>
      </c>
      <c r="C3" s="1425" t="s">
        <v>1362</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1363</v>
      </c>
      <c r="B5" s="3031" t="s">
        <v>1364</v>
      </c>
      <c r="C5" s="3032"/>
      <c r="D5" s="1431"/>
      <c r="E5" s="1437" t="s">
        <v>1365</v>
      </c>
      <c r="F5" s="1389" t="s">
        <v>1366</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1360</v>
      </c>
      <c r="D6" s="1428"/>
      <c r="E6" s="815">
        <f>IF(OR(A6=0,F6="否"),0,'数据-取费表'!K6+'数据-取费表'!S6)</f>
        <v>0</v>
      </c>
      <c r="F6" s="1438" t="s">
        <v>1367</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1360</v>
      </c>
      <c r="D7" s="1428"/>
      <c r="E7" s="815">
        <f>IF(OR(A7=0,F7="否"),0,'数据-取费表'!K7+'数据-取费表'!S7)</f>
        <v>0</v>
      </c>
      <c r="F7" s="1438" t="s">
        <v>1367</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1360</v>
      </c>
      <c r="D8" s="1428"/>
      <c r="E8" s="815">
        <f>IF(OR(A8=0,F8="否"),0,'数据-取费表'!K8+'数据-取费表'!S8)</f>
        <v>0</v>
      </c>
      <c r="F8" s="1438" t="s">
        <v>1367</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1360</v>
      </c>
      <c r="D9" s="1428"/>
      <c r="E9" s="815">
        <f>IF(OR(A9=0,F9="否"),0,'数据-取费表'!K9+'数据-取费表'!S9)</f>
        <v>0</v>
      </c>
      <c r="F9" s="1438" t="s">
        <v>1367</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1360</v>
      </c>
      <c r="D10" s="1428"/>
      <c r="E10" s="815">
        <f>IF(OR(A10=0,F10="否"),0,'数据-取费表'!K10+'数据-取费表'!S10)</f>
        <v>0</v>
      </c>
      <c r="F10" s="1438" t="s">
        <v>1367</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1360</v>
      </c>
      <c r="D11" s="1428"/>
      <c r="E11" s="815">
        <f>IF(OR(A11=0,F11="否"),0,'数据-取费表'!K11+'数据-取费表'!S11)</f>
        <v>0</v>
      </c>
      <c r="F11" s="1438" t="s">
        <v>1367</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1360</v>
      </c>
      <c r="D12" s="1428"/>
      <c r="E12" s="815">
        <f>IF(OR(A12=0,F12="否"),0,'数据-取费表'!K12+'数据-取费表'!S12)</f>
        <v>0</v>
      </c>
      <c r="F12" s="1438" t="s">
        <v>1367</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1360</v>
      </c>
      <c r="D13" s="1433"/>
      <c r="E13" s="815">
        <f>IF(OR(A13=0,F13="否"),0,'数据-取费表'!K13+'数据-取费表'!S13)</f>
        <v>0</v>
      </c>
      <c r="F13" s="1438" t="s">
        <v>1367</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1369</v>
      </c>
      <c r="C1" s="1227" t="s">
        <v>1370</v>
      </c>
      <c r="D1" s="1200"/>
      <c r="E1" s="1353"/>
      <c r="F1" s="1219" t="s">
        <v>1371</v>
      </c>
      <c r="G1" s="1220" t="s">
        <v>1372</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889</v>
      </c>
      <c r="B2" s="1202" t="e">
        <f ca="1">IF(C2="——",ROUND(C49*D3/10000,0),ROUND(C49*D3/10000,0)-D2)</f>
        <v>#DIV/0!</v>
      </c>
      <c r="C2" s="1203"/>
      <c r="D2" s="1313" t="e">
        <f ca="1">SUMIF(INDIRECT("'"&amp;F2&amp;"'"&amp;"!A:A"),"承租人权益价值",INDIRECT("'"&amp;F2&amp;"'"&amp;"!c:c"))</f>
        <v>#REF!</v>
      </c>
      <c r="E2" s="1221" t="s">
        <v>890</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891</v>
      </c>
      <c r="B3" s="888" t="e">
        <f ca="1">IF(C2="——",C49,ROUND(B2*10000/D3,0))</f>
        <v>#DIV/0!</v>
      </c>
      <c r="C3" s="1204" t="s">
        <v>1373</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1374</v>
      </c>
      <c r="B4" s="891"/>
      <c r="C4" s="3033" t="s">
        <v>1375</v>
      </c>
      <c r="D4" s="3034"/>
      <c r="E4" s="3035" t="s">
        <v>1376</v>
      </c>
      <c r="F4" s="3036"/>
      <c r="G4" s="3033" t="s">
        <v>1377</v>
      </c>
      <c r="H4" s="3034"/>
      <c r="I4" s="3033" t="s">
        <v>1378</v>
      </c>
      <c r="J4" s="3034"/>
      <c r="K4" s="1360"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63" t="s">
        <v>1377</v>
      </c>
      <c r="AC4" s="3063" t="s">
        <v>1378</v>
      </c>
    </row>
    <row r="5" spans="1:29">
      <c r="A5" s="893"/>
      <c r="B5" s="894"/>
      <c r="C5" s="3037" t="s">
        <v>1381</v>
      </c>
      <c r="D5" s="3038"/>
      <c r="E5" s="3039" t="s">
        <v>1382</v>
      </c>
      <c r="F5" s="3040"/>
      <c r="G5" s="3037" t="s">
        <v>1383</v>
      </c>
      <c r="H5" s="3038"/>
      <c r="I5" s="3037" t="s">
        <v>1384</v>
      </c>
      <c r="J5" s="3038"/>
      <c r="K5" s="1361"/>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1385</v>
      </c>
      <c r="D6" s="3042"/>
      <c r="E6" s="3043" t="s">
        <v>1385</v>
      </c>
      <c r="F6" s="3044"/>
      <c r="G6" s="3041" t="s">
        <v>1385</v>
      </c>
      <c r="H6" s="3042"/>
      <c r="I6" s="3041" t="s">
        <v>1385</v>
      </c>
      <c r="J6" s="3042"/>
      <c r="K6" s="1361" t="s">
        <v>1386</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45"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19" si="3">D8/F8</f>
        <v>#DIV/0!</v>
      </c>
      <c r="AB8" s="1076" t="e">
        <f t="shared" ref="AB8:AB19" si="4">D8/H8</f>
        <v>#DIV/0!</v>
      </c>
      <c r="AC8" s="1076" t="e">
        <f t="shared" ref="AC8:AC19" si="5">D8/J8</f>
        <v>#DIV/0!</v>
      </c>
    </row>
    <row r="9" spans="1:29" s="876" customFormat="1" ht="14.4">
      <c r="A9" s="904" t="s">
        <v>1393</v>
      </c>
      <c r="B9" s="905" t="s">
        <v>1394</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50"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50"/>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50"/>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50"/>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50"/>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50"/>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076">
        <f t="shared" si="5"/>
        <v>1</v>
      </c>
    </row>
    <row r="15" spans="1:29" ht="96.6">
      <c r="A15" s="923" t="s">
        <v>1399</v>
      </c>
      <c r="B15" s="1174" t="s">
        <v>1400</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1" t="s">
        <v>1401</v>
      </c>
      <c r="Q15" s="1016" t="str">
        <f t="shared" si="6"/>
        <v>居住社区成熟度</v>
      </c>
      <c r="R15" s="1011" t="s">
        <v>1389</v>
      </c>
      <c r="S15" s="1043">
        <f t="shared" si="0"/>
        <v>100</v>
      </c>
      <c r="T15" s="1011" t="s">
        <v>1389</v>
      </c>
      <c r="U15" s="1043">
        <f t="shared" si="1"/>
        <v>100</v>
      </c>
      <c r="V15" s="1011" t="s">
        <v>1389</v>
      </c>
      <c r="W15" s="1043">
        <f t="shared" si="2"/>
        <v>100</v>
      </c>
      <c r="X15" s="1072"/>
      <c r="Y15" s="3056" t="s">
        <v>1401</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2"/>
      <c r="Q16" s="1016"/>
      <c r="R16" s="1011"/>
      <c r="S16" s="1043"/>
      <c r="T16" s="1011"/>
      <c r="U16" s="1043"/>
      <c r="V16" s="1011"/>
      <c r="W16" s="1043"/>
      <c r="X16" s="1072"/>
      <c r="Y16" s="3057"/>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2"/>
      <c r="Q17" s="1016" t="str">
        <f>B17</f>
        <v>交通便捷度</v>
      </c>
      <c r="R17" s="1011" t="s">
        <v>1389</v>
      </c>
      <c r="S17" s="1043">
        <f>F17</f>
        <v>100</v>
      </c>
      <c r="T17" s="1011" t="s">
        <v>1389</v>
      </c>
      <c r="U17" s="1043">
        <f>H17</f>
        <v>100</v>
      </c>
      <c r="V17" s="1011" t="s">
        <v>1389</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2"/>
      <c r="Q18" s="1016"/>
      <c r="R18" s="1011"/>
      <c r="S18" s="1043"/>
      <c r="T18" s="1011"/>
      <c r="U18" s="1043"/>
      <c r="V18" s="1011"/>
      <c r="W18" s="1043"/>
      <c r="X18" s="1072"/>
      <c r="Y18" s="3057"/>
      <c r="Z18" s="1046"/>
      <c r="AA18" s="1046">
        <v>1</v>
      </c>
      <c r="AB18" s="1046">
        <v>1</v>
      </c>
      <c r="AC18" s="1046">
        <v>1</v>
      </c>
    </row>
    <row r="19" spans="1:29" ht="41.4">
      <c r="A19" s="912"/>
      <c r="B19" s="1175" t="s">
        <v>1403</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2"/>
      <c r="Q19" s="1016" t="str">
        <f>B19</f>
        <v>公共配套设施</v>
      </c>
      <c r="R19" s="1011" t="s">
        <v>1389</v>
      </c>
      <c r="S19" s="1043">
        <f>F19</f>
        <v>100</v>
      </c>
      <c r="T19" s="1011" t="s">
        <v>1389</v>
      </c>
      <c r="U19" s="1043">
        <f>H19</f>
        <v>100</v>
      </c>
      <c r="V19" s="1011" t="s">
        <v>1389</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2"/>
      <c r="Q20" s="1016"/>
      <c r="R20" s="1011"/>
      <c r="S20" s="1043"/>
      <c r="T20" s="1011"/>
      <c r="U20" s="1043"/>
      <c r="V20" s="1011"/>
      <c r="W20" s="1043"/>
      <c r="X20" s="1072"/>
      <c r="Y20" s="3057"/>
      <c r="Z20" s="1046"/>
      <c r="AA20" s="1046">
        <v>1</v>
      </c>
      <c r="AB20" s="1046">
        <v>1</v>
      </c>
      <c r="AC20" s="1046">
        <v>1</v>
      </c>
    </row>
    <row r="21" spans="1:29" ht="27.6">
      <c r="A21" s="912"/>
      <c r="B21" s="1177" t="s">
        <v>1404</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2"/>
      <c r="Q21" s="1016" t="str">
        <f>B21</f>
        <v>基础设施水平</v>
      </c>
      <c r="R21" s="1011" t="s">
        <v>1389</v>
      </c>
      <c r="S21" s="1043">
        <f>F21</f>
        <v>100</v>
      </c>
      <c r="T21" s="1011" t="s">
        <v>1389</v>
      </c>
      <c r="U21" s="1043">
        <f>H21</f>
        <v>100</v>
      </c>
      <c r="V21" s="1011" t="s">
        <v>1389</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2"/>
      <c r="Q22" s="1016"/>
      <c r="R22" s="1011"/>
      <c r="S22" s="1043"/>
      <c r="T22" s="1011"/>
      <c r="U22" s="1043"/>
      <c r="V22" s="1011"/>
      <c r="W22" s="1043"/>
      <c r="X22" s="1072"/>
      <c r="Y22" s="3057"/>
      <c r="Z22" s="1046"/>
      <c r="AA22" s="1046">
        <v>1</v>
      </c>
      <c r="AB22" s="1046">
        <v>1</v>
      </c>
      <c r="AC22" s="1046">
        <v>1</v>
      </c>
    </row>
    <row r="23" spans="1:29" ht="55.2">
      <c r="A23" s="912"/>
      <c r="B23" s="1175" t="s">
        <v>1405</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2"/>
      <c r="Q23" s="1016" t="str">
        <f>B23</f>
        <v>自然及人文环境</v>
      </c>
      <c r="R23" s="1011" t="s">
        <v>1389</v>
      </c>
      <c r="S23" s="1043">
        <f>F23</f>
        <v>100</v>
      </c>
      <c r="T23" s="1011" t="s">
        <v>1389</v>
      </c>
      <c r="U23" s="1043">
        <f>H23</f>
        <v>100</v>
      </c>
      <c r="V23" s="1011" t="s">
        <v>1389</v>
      </c>
      <c r="W23" s="1043">
        <f>J23</f>
        <v>100</v>
      </c>
      <c r="X23" s="1072"/>
      <c r="Y23" s="3057"/>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2"/>
      <c r="Q24" s="1016"/>
      <c r="R24" s="1011"/>
      <c r="S24" s="1043"/>
      <c r="T24" s="1011"/>
      <c r="U24" s="1043"/>
      <c r="V24" s="1011"/>
      <c r="W24" s="1043"/>
      <c r="X24" s="1072"/>
      <c r="Y24" s="3057"/>
      <c r="Z24" s="1046"/>
      <c r="AA24" s="1046">
        <v>1</v>
      </c>
      <c r="AB24" s="1046">
        <v>1</v>
      </c>
      <c r="AC24" s="1046">
        <v>1</v>
      </c>
    </row>
    <row r="25" spans="1:29" ht="15">
      <c r="A25" s="912"/>
      <c r="B25" s="909" t="s">
        <v>1406</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2"/>
      <c r="Q25" s="1016" t="str">
        <f t="shared" ref="Q25:Q46" si="11">B25</f>
        <v>楼层-1</v>
      </c>
      <c r="R25" s="1011" t="s">
        <v>1389</v>
      </c>
      <c r="S25" s="1043">
        <f t="shared" ref="S25:S46" si="12">F25</f>
        <v>100</v>
      </c>
      <c r="T25" s="1011" t="s">
        <v>1389</v>
      </c>
      <c r="U25" s="1043">
        <f t="shared" ref="U25:U46" si="13">H25</f>
        <v>100</v>
      </c>
      <c r="V25" s="1011" t="s">
        <v>1389</v>
      </c>
      <c r="W25" s="1043">
        <f t="shared" ref="W25:W46" si="14">J25</f>
        <v>100</v>
      </c>
      <c r="X25" s="1072"/>
      <c r="Y25" s="3057"/>
      <c r="Z25" s="1046" t="str">
        <f>Q25</f>
        <v>楼层-1</v>
      </c>
      <c r="AA25" s="1046">
        <f t="shared" ref="AA25:AA46" si="15">D25/F25</f>
        <v>1</v>
      </c>
      <c r="AB25" s="1046">
        <f t="shared" ref="AB25:AB46" si="16">D25/H25</f>
        <v>1</v>
      </c>
      <c r="AC25" s="1046">
        <f t="shared" ref="AC25:AC46" si="17">D25/J25</f>
        <v>1</v>
      </c>
    </row>
    <row r="26" spans="1:29" ht="15">
      <c r="A26" s="912"/>
      <c r="B26" s="909" t="s">
        <v>1407</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2"/>
      <c r="Q26" s="1016" t="str">
        <f t="shared" si="11"/>
        <v>朝向</v>
      </c>
      <c r="R26" s="1011" t="s">
        <v>1389</v>
      </c>
      <c r="S26" s="1043">
        <f t="shared" si="12"/>
        <v>100</v>
      </c>
      <c r="T26" s="1011" t="s">
        <v>1389</v>
      </c>
      <c r="U26" s="1043">
        <f t="shared" si="13"/>
        <v>100</v>
      </c>
      <c r="V26" s="1011" t="s">
        <v>1389</v>
      </c>
      <c r="W26" s="1043">
        <f t="shared" si="14"/>
        <v>100</v>
      </c>
      <c r="X26" s="1072"/>
      <c r="Y26" s="3057"/>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2"/>
      <c r="Q27" s="1069">
        <f t="shared" si="11"/>
        <v>111</v>
      </c>
      <c r="R27" s="1056" t="s">
        <v>1389</v>
      </c>
      <c r="S27" s="1068">
        <f t="shared" si="12"/>
        <v>100</v>
      </c>
      <c r="T27" s="1056" t="s">
        <v>1389</v>
      </c>
      <c r="U27" s="1068">
        <f t="shared" si="13"/>
        <v>100</v>
      </c>
      <c r="V27" s="1056" t="s">
        <v>1389</v>
      </c>
      <c r="W27" s="1068">
        <f t="shared" si="14"/>
        <v>100</v>
      </c>
      <c r="X27" s="1073"/>
      <c r="Y27" s="3057"/>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2"/>
      <c r="Q28" s="1016">
        <f t="shared" si="11"/>
        <v>111</v>
      </c>
      <c r="R28" s="1011" t="s">
        <v>1389</v>
      </c>
      <c r="S28" s="1043">
        <f t="shared" si="12"/>
        <v>100</v>
      </c>
      <c r="T28" s="1011" t="s">
        <v>1389</v>
      </c>
      <c r="U28" s="1043">
        <f t="shared" si="13"/>
        <v>100</v>
      </c>
      <c r="V28" s="1011" t="s">
        <v>1389</v>
      </c>
      <c r="W28" s="1043">
        <f t="shared" si="14"/>
        <v>100</v>
      </c>
      <c r="X28" s="1072"/>
      <c r="Y28" s="3057"/>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2"/>
      <c r="Q29" s="1016">
        <f t="shared" si="11"/>
        <v>111</v>
      </c>
      <c r="R29" s="1011" t="s">
        <v>1389</v>
      </c>
      <c r="S29" s="1043">
        <f t="shared" si="12"/>
        <v>100</v>
      </c>
      <c r="T29" s="1011" t="s">
        <v>1389</v>
      </c>
      <c r="U29" s="1043">
        <f t="shared" si="13"/>
        <v>100</v>
      </c>
      <c r="V29" s="1011" t="s">
        <v>1389</v>
      </c>
      <c r="W29" s="1043">
        <f t="shared" si="14"/>
        <v>100</v>
      </c>
      <c r="X29" s="1072"/>
      <c r="Y29" s="3057"/>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2"/>
      <c r="Q30" s="1016">
        <f t="shared" si="11"/>
        <v>111</v>
      </c>
      <c r="R30" s="1011" t="s">
        <v>1389</v>
      </c>
      <c r="S30" s="1043">
        <f t="shared" si="12"/>
        <v>100</v>
      </c>
      <c r="T30" s="1011" t="s">
        <v>1389</v>
      </c>
      <c r="U30" s="1043">
        <f t="shared" si="13"/>
        <v>100</v>
      </c>
      <c r="V30" s="1011" t="s">
        <v>1389</v>
      </c>
      <c r="W30" s="1043">
        <f t="shared" si="14"/>
        <v>100</v>
      </c>
      <c r="X30" s="1072"/>
      <c r="Y30" s="3057"/>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2"/>
      <c r="Q31" s="1016">
        <f t="shared" si="11"/>
        <v>111</v>
      </c>
      <c r="R31" s="1011" t="s">
        <v>1389</v>
      </c>
      <c r="S31" s="1043">
        <f t="shared" si="12"/>
        <v>100</v>
      </c>
      <c r="T31" s="1011" t="s">
        <v>1389</v>
      </c>
      <c r="U31" s="1043">
        <f t="shared" si="13"/>
        <v>100</v>
      </c>
      <c r="V31" s="1011" t="s">
        <v>1389</v>
      </c>
      <c r="W31" s="1043">
        <f t="shared" si="14"/>
        <v>100</v>
      </c>
      <c r="X31" s="1072"/>
      <c r="Y31" s="3057"/>
      <c r="Z31" s="1046">
        <f t="shared" si="18"/>
        <v>111</v>
      </c>
      <c r="AA31" s="1046">
        <f t="shared" si="15"/>
        <v>1</v>
      </c>
      <c r="AB31" s="1046">
        <f t="shared" si="16"/>
        <v>1</v>
      </c>
      <c r="AC31" s="1046">
        <f t="shared" si="17"/>
        <v>1</v>
      </c>
    </row>
    <row r="32" spans="1:29" ht="15">
      <c r="A32" s="923" t="s">
        <v>1408</v>
      </c>
      <c r="B32" s="905" t="s">
        <v>1409</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3" t="s">
        <v>1410</v>
      </c>
      <c r="Q32" s="1016" t="str">
        <f t="shared" si="11"/>
        <v>建筑类型</v>
      </c>
      <c r="R32" s="1011" t="s">
        <v>1389</v>
      </c>
      <c r="S32" s="1043">
        <f t="shared" si="12"/>
        <v>100</v>
      </c>
      <c r="T32" s="1011" t="s">
        <v>1389</v>
      </c>
      <c r="U32" s="1043">
        <f t="shared" si="13"/>
        <v>100</v>
      </c>
      <c r="V32" s="1011" t="s">
        <v>1389</v>
      </c>
      <c r="W32" s="1043">
        <f t="shared" si="14"/>
        <v>100</v>
      </c>
      <c r="X32" s="1072"/>
      <c r="Y32" s="3058" t="s">
        <v>1410</v>
      </c>
      <c r="Z32" s="1046" t="str">
        <f t="shared" si="18"/>
        <v>建筑类型</v>
      </c>
      <c r="AA32" s="1046">
        <f t="shared" si="15"/>
        <v>1</v>
      </c>
      <c r="AB32" s="1046">
        <f t="shared" si="16"/>
        <v>1</v>
      </c>
      <c r="AC32" s="1046">
        <f t="shared" si="17"/>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4"/>
      <c r="Q33" s="1231" t="str">
        <f t="shared" si="11"/>
        <v>项目建筑规模</v>
      </c>
      <c r="R33" s="1070" t="s">
        <v>1389</v>
      </c>
      <c r="S33" s="1071" t="e">
        <f t="shared" si="12"/>
        <v>#N/A</v>
      </c>
      <c r="T33" s="1070" t="s">
        <v>1389</v>
      </c>
      <c r="U33" s="1071" t="e">
        <f t="shared" si="13"/>
        <v>#N/A</v>
      </c>
      <c r="V33" s="1070" t="s">
        <v>1389</v>
      </c>
      <c r="W33" s="1071" t="e">
        <f t="shared" si="14"/>
        <v>#N/A</v>
      </c>
      <c r="X33" s="1074"/>
      <c r="Y33" s="3058"/>
      <c r="Z33" s="1077" t="str">
        <f t="shared" si="18"/>
        <v>项目建筑规模</v>
      </c>
      <c r="AA33" s="1046" t="e">
        <f t="shared" si="15"/>
        <v>#N/A</v>
      </c>
      <c r="AB33" s="1046" t="e">
        <f t="shared" si="16"/>
        <v>#N/A</v>
      </c>
      <c r="AC33" s="1046" t="e">
        <f t="shared" si="17"/>
        <v>#N/A</v>
      </c>
    </row>
    <row r="34" spans="1:29" ht="15">
      <c r="A34" s="950"/>
      <c r="B34" s="909" t="s">
        <v>1412</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4"/>
      <c r="Q34" s="1016" t="str">
        <f t="shared" si="11"/>
        <v>建筑结构</v>
      </c>
      <c r="R34" s="1011" t="s">
        <v>1389</v>
      </c>
      <c r="S34" s="1043">
        <f t="shared" si="12"/>
        <v>100</v>
      </c>
      <c r="T34" s="1011" t="s">
        <v>1389</v>
      </c>
      <c r="U34" s="1043">
        <f t="shared" si="13"/>
        <v>100</v>
      </c>
      <c r="V34" s="1011" t="s">
        <v>1389</v>
      </c>
      <c r="W34" s="1043">
        <f t="shared" si="14"/>
        <v>100</v>
      </c>
      <c r="X34" s="1072"/>
      <c r="Y34" s="3058"/>
      <c r="Z34" s="1046" t="str">
        <f t="shared" si="18"/>
        <v>建筑结构</v>
      </c>
      <c r="AA34" s="1046">
        <f t="shared" si="15"/>
        <v>1</v>
      </c>
      <c r="AB34" s="1046">
        <f t="shared" si="16"/>
        <v>1</v>
      </c>
      <c r="AC34" s="1046">
        <f t="shared" si="17"/>
        <v>1</v>
      </c>
    </row>
    <row r="35" spans="1:29" ht="15">
      <c r="A35" s="950"/>
      <c r="B35" s="909" t="s">
        <v>1413</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4"/>
      <c r="Q35" s="1016" t="str">
        <f t="shared" si="11"/>
        <v>建筑品质</v>
      </c>
      <c r="R35" s="1011" t="s">
        <v>1389</v>
      </c>
      <c r="S35" s="1043">
        <f t="shared" si="12"/>
        <v>100</v>
      </c>
      <c r="T35" s="1011" t="s">
        <v>1389</v>
      </c>
      <c r="U35" s="1043">
        <f t="shared" si="13"/>
        <v>100</v>
      </c>
      <c r="V35" s="1011" t="s">
        <v>1389</v>
      </c>
      <c r="W35" s="1043">
        <f t="shared" si="14"/>
        <v>100</v>
      </c>
      <c r="X35" s="1072"/>
      <c r="Y35" s="3058"/>
      <c r="Z35" s="1046" t="str">
        <f t="shared" si="18"/>
        <v>建筑品质</v>
      </c>
      <c r="AA35" s="1046">
        <f t="shared" si="15"/>
        <v>1</v>
      </c>
      <c r="AB35" s="1046">
        <f t="shared" si="16"/>
        <v>1</v>
      </c>
      <c r="AC35" s="1046">
        <f t="shared" si="17"/>
        <v>1</v>
      </c>
    </row>
    <row r="36" spans="1:29" ht="15">
      <c r="A36" s="950"/>
      <c r="B36" s="909" t="s">
        <v>1414</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4"/>
      <c r="Q36" s="1016" t="str">
        <f t="shared" si="11"/>
        <v>公共部分装修</v>
      </c>
      <c r="R36" s="1011" t="s">
        <v>1389</v>
      </c>
      <c r="S36" s="1043">
        <f t="shared" si="12"/>
        <v>100</v>
      </c>
      <c r="T36" s="1011" t="s">
        <v>1389</v>
      </c>
      <c r="U36" s="1043">
        <f t="shared" si="13"/>
        <v>100</v>
      </c>
      <c r="V36" s="1011" t="s">
        <v>1389</v>
      </c>
      <c r="W36" s="1043">
        <f t="shared" si="14"/>
        <v>100</v>
      </c>
      <c r="X36" s="1072"/>
      <c r="Y36" s="3058"/>
      <c r="Z36" s="1046" t="str">
        <f t="shared" si="18"/>
        <v>公共部分装修</v>
      </c>
      <c r="AA36" s="1046">
        <f t="shared" si="15"/>
        <v>1</v>
      </c>
      <c r="AB36" s="1046">
        <f t="shared" si="16"/>
        <v>1</v>
      </c>
      <c r="AC36" s="1046">
        <f t="shared" si="17"/>
        <v>1</v>
      </c>
    </row>
    <row r="37" spans="1:29" s="876" customFormat="1" ht="15">
      <c r="A37" s="952"/>
      <c r="B37" s="909" t="s">
        <v>542</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4"/>
      <c r="Q37" s="1069" t="str">
        <f t="shared" si="11"/>
        <v>成新度</v>
      </c>
      <c r="R37" s="1056" t="s">
        <v>1389</v>
      </c>
      <c r="S37" s="1068" t="e">
        <f t="shared" si="12"/>
        <v>#N/A</v>
      </c>
      <c r="T37" s="1056" t="s">
        <v>1389</v>
      </c>
      <c r="U37" s="1068" t="e">
        <f t="shared" si="13"/>
        <v>#N/A</v>
      </c>
      <c r="V37" s="1056" t="s">
        <v>1389</v>
      </c>
      <c r="W37" s="1068" t="e">
        <f t="shared" si="14"/>
        <v>#N/A</v>
      </c>
      <c r="X37" s="1073"/>
      <c r="Y37" s="3058"/>
      <c r="Z37" s="1076" t="str">
        <f t="shared" si="18"/>
        <v>成新度</v>
      </c>
      <c r="AA37" s="1076" t="e">
        <f t="shared" si="15"/>
        <v>#N/A</v>
      </c>
      <c r="AB37" s="1076" t="e">
        <f t="shared" si="16"/>
        <v>#N/A</v>
      </c>
      <c r="AC37" s="1076" t="e">
        <f t="shared" si="17"/>
        <v>#N/A</v>
      </c>
    </row>
    <row r="38" spans="1:29" ht="15">
      <c r="A38" s="950"/>
      <c r="B38" s="909" t="s">
        <v>1415</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4" t="s">
        <v>1410</v>
      </c>
      <c r="Q38" s="1016" t="str">
        <f t="shared" si="11"/>
        <v>物业管理</v>
      </c>
      <c r="R38" s="1011" t="s">
        <v>1389</v>
      </c>
      <c r="S38" s="1043">
        <f t="shared" si="12"/>
        <v>100</v>
      </c>
      <c r="T38" s="1011" t="s">
        <v>1389</v>
      </c>
      <c r="U38" s="1043">
        <f t="shared" si="13"/>
        <v>100</v>
      </c>
      <c r="V38" s="1011" t="s">
        <v>1389</v>
      </c>
      <c r="W38" s="1043">
        <f t="shared" si="14"/>
        <v>100</v>
      </c>
      <c r="X38" s="1072"/>
      <c r="Y38" s="3058" t="s">
        <v>1410</v>
      </c>
      <c r="Z38" s="1046" t="str">
        <f t="shared" si="18"/>
        <v>物业管理</v>
      </c>
      <c r="AA38" s="1046">
        <f t="shared" si="15"/>
        <v>1</v>
      </c>
      <c r="AB38" s="1046">
        <f t="shared" si="16"/>
        <v>1</v>
      </c>
      <c r="AC38" s="1046">
        <f t="shared" si="17"/>
        <v>1</v>
      </c>
    </row>
    <row r="39" spans="1:29" ht="15">
      <c r="A39" s="950"/>
      <c r="B39" s="909" t="s">
        <v>1416</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4"/>
      <c r="Q39" s="1016" t="str">
        <f t="shared" si="11"/>
        <v>市政基础设施</v>
      </c>
      <c r="R39" s="1011" t="s">
        <v>1389</v>
      </c>
      <c r="S39" s="1043">
        <f t="shared" si="12"/>
        <v>100</v>
      </c>
      <c r="T39" s="1011" t="s">
        <v>1389</v>
      </c>
      <c r="U39" s="1043">
        <f t="shared" si="13"/>
        <v>100</v>
      </c>
      <c r="V39" s="1011" t="s">
        <v>1389</v>
      </c>
      <c r="W39" s="1043">
        <f t="shared" si="14"/>
        <v>100</v>
      </c>
      <c r="X39" s="1072"/>
      <c r="Y39" s="3058"/>
      <c r="Z39" s="1046" t="str">
        <f t="shared" si="18"/>
        <v>市政基础设施</v>
      </c>
      <c r="AA39" s="1046">
        <f t="shared" si="15"/>
        <v>1</v>
      </c>
      <c r="AB39" s="1046">
        <f t="shared" si="16"/>
        <v>1</v>
      </c>
      <c r="AC39" s="1046">
        <f t="shared" si="17"/>
        <v>1</v>
      </c>
    </row>
    <row r="40" spans="1:29" ht="15">
      <c r="A40" s="950"/>
      <c r="B40" s="909" t="s">
        <v>1417</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4"/>
      <c r="Q40" s="1016" t="str">
        <f t="shared" si="11"/>
        <v>房型</v>
      </c>
      <c r="R40" s="1011" t="s">
        <v>1389</v>
      </c>
      <c r="S40" s="1043">
        <f t="shared" si="12"/>
        <v>100</v>
      </c>
      <c r="T40" s="1011" t="s">
        <v>1389</v>
      </c>
      <c r="U40" s="1043">
        <f t="shared" si="13"/>
        <v>100</v>
      </c>
      <c r="V40" s="1011" t="s">
        <v>1389</v>
      </c>
      <c r="W40" s="1043">
        <f t="shared" si="14"/>
        <v>100</v>
      </c>
      <c r="X40" s="1072"/>
      <c r="Y40" s="3058"/>
      <c r="Z40" s="1046" t="str">
        <f t="shared" si="18"/>
        <v>房型</v>
      </c>
      <c r="AA40" s="1046">
        <f t="shared" si="15"/>
        <v>1</v>
      </c>
      <c r="AB40" s="1046">
        <f t="shared" si="16"/>
        <v>1</v>
      </c>
      <c r="AC40" s="1046">
        <f t="shared" si="17"/>
        <v>1</v>
      </c>
    </row>
    <row r="41" spans="1:29" s="878" customFormat="1" ht="28.8">
      <c r="A41" s="955"/>
      <c r="B41" s="909" t="s">
        <v>1418</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4"/>
      <c r="Q41" s="1231" t="str">
        <f t="shared" si="11"/>
        <v>单套/主力户型建筑面积</v>
      </c>
      <c r="R41" s="1070" t="s">
        <v>1389</v>
      </c>
      <c r="S41" s="1071">
        <f t="shared" si="12"/>
        <v>100</v>
      </c>
      <c r="T41" s="1070" t="s">
        <v>1389</v>
      </c>
      <c r="U41" s="1071">
        <f t="shared" si="13"/>
        <v>100</v>
      </c>
      <c r="V41" s="1070" t="s">
        <v>1389</v>
      </c>
      <c r="W41" s="1071">
        <f t="shared" si="14"/>
        <v>100</v>
      </c>
      <c r="X41" s="1074"/>
      <c r="Y41" s="3058"/>
      <c r="Z41" s="1077" t="str">
        <f t="shared" si="18"/>
        <v>单套/主力户型建筑面积</v>
      </c>
      <c r="AA41" s="1046">
        <f t="shared" si="15"/>
        <v>1</v>
      </c>
      <c r="AB41" s="1046">
        <f t="shared" si="16"/>
        <v>1</v>
      </c>
      <c r="AC41" s="1046">
        <f t="shared" si="17"/>
        <v>1</v>
      </c>
    </row>
    <row r="42" spans="1:29" ht="15">
      <c r="A42" s="950"/>
      <c r="B42" s="909" t="s">
        <v>1419</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4"/>
      <c r="Q42" s="1016" t="str">
        <f t="shared" si="11"/>
        <v>内部装修</v>
      </c>
      <c r="R42" s="1011" t="s">
        <v>1389</v>
      </c>
      <c r="S42" s="1043">
        <f t="shared" si="12"/>
        <v>100</v>
      </c>
      <c r="T42" s="1011" t="s">
        <v>1389</v>
      </c>
      <c r="U42" s="1043">
        <f t="shared" si="13"/>
        <v>100</v>
      </c>
      <c r="V42" s="1011" t="s">
        <v>1389</v>
      </c>
      <c r="W42" s="1043">
        <f t="shared" si="14"/>
        <v>100</v>
      </c>
      <c r="X42" s="1072"/>
      <c r="Y42" s="3058"/>
      <c r="Z42" s="1046" t="str">
        <f t="shared" si="18"/>
        <v>内部装修</v>
      </c>
      <c r="AA42" s="1046">
        <f t="shared" si="15"/>
        <v>1</v>
      </c>
      <c r="AB42" s="1046">
        <f t="shared" si="16"/>
        <v>1</v>
      </c>
      <c r="AC42" s="1046">
        <f t="shared" si="17"/>
        <v>1</v>
      </c>
    </row>
    <row r="43" spans="1:29" ht="28.8">
      <c r="A43" s="950"/>
      <c r="B43" s="909" t="s">
        <v>1420</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4"/>
      <c r="Q43" s="1016" t="str">
        <f t="shared" si="11"/>
        <v>内部装修维护情况</v>
      </c>
      <c r="R43" s="1011" t="s">
        <v>1389</v>
      </c>
      <c r="S43" s="1043">
        <f t="shared" si="12"/>
        <v>100</v>
      </c>
      <c r="T43" s="1011" t="s">
        <v>1389</v>
      </c>
      <c r="U43" s="1043">
        <f t="shared" si="13"/>
        <v>100</v>
      </c>
      <c r="V43" s="1011" t="s">
        <v>1389</v>
      </c>
      <c r="W43" s="1043">
        <f t="shared" si="14"/>
        <v>100</v>
      </c>
      <c r="X43" s="1072"/>
      <c r="Y43" s="3058"/>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4"/>
      <c r="Q44" s="1069">
        <f t="shared" si="11"/>
        <v>111</v>
      </c>
      <c r="R44" s="1056" t="s">
        <v>1389</v>
      </c>
      <c r="S44" s="1068">
        <f t="shared" si="12"/>
        <v>100</v>
      </c>
      <c r="T44" s="1056" t="s">
        <v>1389</v>
      </c>
      <c r="U44" s="1068">
        <f t="shared" si="13"/>
        <v>100</v>
      </c>
      <c r="V44" s="1056" t="s">
        <v>1389</v>
      </c>
      <c r="W44" s="1068">
        <f t="shared" si="14"/>
        <v>100</v>
      </c>
      <c r="X44" s="1073"/>
      <c r="Y44" s="3058"/>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4"/>
      <c r="Q45" s="1016">
        <f t="shared" si="11"/>
        <v>111</v>
      </c>
      <c r="R45" s="1011" t="s">
        <v>1389</v>
      </c>
      <c r="S45" s="1043">
        <f t="shared" si="12"/>
        <v>100</v>
      </c>
      <c r="T45" s="1011" t="s">
        <v>1389</v>
      </c>
      <c r="U45" s="1043">
        <f t="shared" si="13"/>
        <v>100</v>
      </c>
      <c r="V45" s="1011" t="s">
        <v>1389</v>
      </c>
      <c r="W45" s="1043">
        <f t="shared" si="14"/>
        <v>100</v>
      </c>
      <c r="X45" s="1072"/>
      <c r="Y45" s="3058"/>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5"/>
      <c r="Q46" s="1016">
        <f t="shared" si="11"/>
        <v>111</v>
      </c>
      <c r="R46" s="1011" t="s">
        <v>1389</v>
      </c>
      <c r="S46" s="1043">
        <f t="shared" si="12"/>
        <v>100</v>
      </c>
      <c r="T46" s="1011" t="s">
        <v>1389</v>
      </c>
      <c r="U46" s="1043">
        <f t="shared" si="13"/>
        <v>100</v>
      </c>
      <c r="V46" s="1011" t="s">
        <v>1389</v>
      </c>
      <c r="W46" s="1043">
        <f t="shared" si="14"/>
        <v>100</v>
      </c>
      <c r="X46" s="1072"/>
      <c r="Y46" s="3059"/>
      <c r="Z46" s="1046">
        <f t="shared" si="18"/>
        <v>111</v>
      </c>
      <c r="AA46" s="1046">
        <f t="shared" si="15"/>
        <v>1</v>
      </c>
      <c r="AB46" s="1046">
        <f t="shared" si="16"/>
        <v>1</v>
      </c>
      <c r="AC46" s="1046">
        <f t="shared" si="17"/>
        <v>1</v>
      </c>
    </row>
    <row r="47" spans="1:29" ht="14.4">
      <c r="A47" s="957" t="s">
        <v>1421</v>
      </c>
      <c r="B47" s="1212"/>
      <c r="C47" s="1213" t="s">
        <v>124</v>
      </c>
      <c r="D47" s="960"/>
      <c r="E47" s="1005"/>
      <c r="F47" s="1006"/>
      <c r="G47" s="1007"/>
      <c r="H47" s="1008"/>
      <c r="I47" s="1005"/>
      <c r="J47" s="1008"/>
      <c r="K47" s="1367"/>
      <c r="L47" s="1044"/>
      <c r="M47" s="967"/>
      <c r="N47" s="967"/>
      <c r="O47" s="967"/>
      <c r="P47" s="3048" t="str">
        <f>A47</f>
        <v>成交单价（元/平方米）</v>
      </c>
      <c r="Q47" s="3048"/>
      <c r="R47" s="3049">
        <f>E47</f>
        <v>0</v>
      </c>
      <c r="S47" s="3049"/>
      <c r="T47" s="3049">
        <f>G47</f>
        <v>0</v>
      </c>
      <c r="U47" s="3049"/>
      <c r="V47" s="3049">
        <f>I47</f>
        <v>0</v>
      </c>
      <c r="W47" s="3049"/>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368">
        <f>F48+H48+J48</f>
        <v>0</v>
      </c>
      <c r="L48" s="1044"/>
      <c r="M48" s="967"/>
      <c r="N48" s="967"/>
      <c r="O48" s="967"/>
      <c r="P48" s="3048" t="str">
        <f>A48</f>
        <v>比较价值（元/平方米）</v>
      </c>
      <c r="Q48" s="3048"/>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2"/>
      <c r="Y48" s="972"/>
      <c r="Z48" s="972"/>
      <c r="AA48" s="972"/>
      <c r="AB48" s="972"/>
      <c r="AC48" s="972"/>
    </row>
    <row r="49" spans="1:29" ht="14.4">
      <c r="A49" s="965" t="s">
        <v>1424</v>
      </c>
      <c r="B49" s="966"/>
      <c r="C49" s="1350" t="e">
        <f>R49</f>
        <v>#DIV/0!</v>
      </c>
      <c r="D49" s="896"/>
      <c r="E49" s="896"/>
      <c r="F49" s="896"/>
      <c r="G49" s="896"/>
      <c r="H49" s="896"/>
      <c r="I49" s="896"/>
      <c r="J49" s="896"/>
      <c r="K49" s="922"/>
      <c r="L49" s="1044"/>
      <c r="M49" s="967"/>
      <c r="N49" s="967"/>
      <c r="O49" s="967"/>
      <c r="P49" s="3060" t="str">
        <f>A49</f>
        <v>估价对象XX用房的比较价值（楼面单价，元/平方米）</v>
      </c>
      <c r="Q49" s="3061"/>
      <c r="R49" s="3062" t="e">
        <f>IF(F1="售价",ROUND(IF(D48="简单平均",AVERAGE(R48:V48),R48*F48+T48*H48+V48*J48),0),ROUND(IF(D48="简单平均",AVERAGE(R48:V48),R48*F48+T48*H48+V48*J48),1))</f>
        <v>#DIV/0!</v>
      </c>
      <c r="S49" s="3062"/>
      <c r="T49" s="3062"/>
      <c r="U49" s="3062"/>
      <c r="V49" s="3062"/>
      <c r="W49" s="3062"/>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1428</v>
      </c>
      <c r="B57" s="972"/>
      <c r="C57" s="987"/>
      <c r="D57" s="987"/>
      <c r="E57" s="987"/>
      <c r="F57" s="1024"/>
      <c r="G57" s="1024"/>
      <c r="H57" s="987"/>
      <c r="I57" s="987"/>
      <c r="J57" s="987"/>
      <c r="K57" s="1193"/>
      <c r="L57" s="1065"/>
      <c r="M57" s="1065"/>
      <c r="N57" s="1065"/>
      <c r="O57" s="1065"/>
      <c r="P57" s="1373"/>
      <c r="Q57" s="1304"/>
    </row>
    <row r="58" spans="1:29" s="876" customFormat="1" ht="14.4">
      <c r="A58" s="1215" t="s">
        <v>1387</v>
      </c>
      <c r="B58" s="1216"/>
      <c r="C58" s="1351" t="str">
        <f>YEAR(C7)&amp;"-"&amp;MONTH(C7)</f>
        <v>2022-12</v>
      </c>
      <c r="D58" s="1112">
        <f>EDATE(C58,-1)</f>
        <v>44866</v>
      </c>
      <c r="E58" s="1112">
        <f>EDATE(D58,-1)</f>
        <v>44835</v>
      </c>
      <c r="F58" s="1112">
        <f t="shared" ref="F58:O58" si="19">EDATE(E58,-1)</f>
        <v>44805</v>
      </c>
      <c r="G58" s="1112">
        <f t="shared" si="19"/>
        <v>44774</v>
      </c>
      <c r="H58" s="1112">
        <f t="shared" si="19"/>
        <v>44743</v>
      </c>
      <c r="I58" s="1112">
        <f t="shared" si="19"/>
        <v>44713</v>
      </c>
      <c r="J58" s="1112">
        <f t="shared" si="19"/>
        <v>44682</v>
      </c>
      <c r="K58" s="1112">
        <f t="shared" si="19"/>
        <v>44652</v>
      </c>
      <c r="L58" s="1112">
        <f t="shared" si="19"/>
        <v>44621</v>
      </c>
      <c r="M58" s="1112">
        <f t="shared" si="19"/>
        <v>44593</v>
      </c>
      <c r="N58" s="1112">
        <f t="shared" si="19"/>
        <v>44562</v>
      </c>
      <c r="O58" s="1112">
        <f t="shared" si="19"/>
        <v>44531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1429</v>
      </c>
      <c r="B60" s="1087"/>
      <c r="C60" s="1088"/>
      <c r="D60" s="1089"/>
      <c r="E60" s="1089"/>
      <c r="F60" s="1089"/>
      <c r="G60" s="1089"/>
      <c r="H60" s="1089"/>
      <c r="I60" s="1089"/>
      <c r="J60" s="1089"/>
      <c r="K60" s="1089"/>
      <c r="L60" s="1089"/>
      <c r="M60" s="1148"/>
      <c r="N60" s="1089"/>
      <c r="O60" s="1148"/>
      <c r="P60" s="1375"/>
      <c r="Q60" s="1304"/>
    </row>
    <row r="61" spans="1:29" s="876" customFormat="1" ht="14.4">
      <c r="A61" s="1090" t="s">
        <v>1390</v>
      </c>
      <c r="B61" s="1091"/>
      <c r="C61" s="1092" t="s">
        <v>1391</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1430</v>
      </c>
      <c r="B63" s="1096" t="s">
        <v>1394</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1398</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1399</v>
      </c>
      <c r="B76" s="1096" t="s">
        <v>1400</v>
      </c>
      <c r="C76" s="1112" t="s">
        <v>1438</v>
      </c>
      <c r="D76" s="1112" t="s">
        <v>1439</v>
      </c>
      <c r="E76" s="1112" t="s">
        <v>1440</v>
      </c>
      <c r="F76" s="1112" t="s">
        <v>1441</v>
      </c>
      <c r="G76" s="1112" t="s">
        <v>1442</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1402</v>
      </c>
      <c r="C78" s="1113" t="s">
        <v>1438</v>
      </c>
      <c r="D78" s="1113" t="s">
        <v>1439</v>
      </c>
      <c r="E78" s="1113" t="s">
        <v>1440</v>
      </c>
      <c r="F78" s="1113" t="s">
        <v>1441</v>
      </c>
      <c r="G78" s="1113" t="s">
        <v>1442</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1403</v>
      </c>
      <c r="C80" s="1113" t="s">
        <v>1438</v>
      </c>
      <c r="D80" s="1113" t="s">
        <v>1439</v>
      </c>
      <c r="E80" s="1113" t="s">
        <v>1440</v>
      </c>
      <c r="F80" s="1113" t="s">
        <v>1441</v>
      </c>
      <c r="G80" s="1113" t="s">
        <v>1442</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1404</v>
      </c>
      <c r="C82" s="1100" t="s">
        <v>1443</v>
      </c>
      <c r="D82" s="1100" t="s">
        <v>1444</v>
      </c>
      <c r="E82" s="1100" t="s">
        <v>1445</v>
      </c>
      <c r="F82" s="1100" t="s">
        <v>1446</v>
      </c>
      <c r="G82" s="1100" t="s">
        <v>1447</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1405</v>
      </c>
      <c r="C84" s="1113" t="s">
        <v>1438</v>
      </c>
      <c r="D84" s="1113" t="s">
        <v>1439</v>
      </c>
      <c r="E84" s="1113" t="s">
        <v>1440</v>
      </c>
      <c r="F84" s="1113" t="s">
        <v>1441</v>
      </c>
      <c r="G84" s="1113" t="s">
        <v>1442</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1406</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1407</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1408</v>
      </c>
      <c r="B100" s="1096" t="s">
        <v>1409</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1411</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1412</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1413</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1414</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542</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1415</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1416</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1417</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1418</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1419</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1420</v>
      </c>
      <c r="C124" s="1113" t="s">
        <v>1438</v>
      </c>
      <c r="D124" s="1113" t="s">
        <v>1439</v>
      </c>
      <c r="E124" s="1113" t="s">
        <v>1440</v>
      </c>
      <c r="F124" s="1113" t="s">
        <v>1441</v>
      </c>
      <c r="G124" s="1113" t="s">
        <v>1442</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1448</v>
      </c>
    </row>
    <row r="137" spans="1:17" ht="15">
      <c r="B137" s="1386" t="s">
        <v>1449</v>
      </c>
      <c r="C137" s="1387"/>
      <c r="D137" s="1387"/>
      <c r="E137" s="1387"/>
      <c r="F137" s="1387"/>
      <c r="G137" s="1399"/>
      <c r="H137" s="1400"/>
      <c r="I137" s="1412" t="s">
        <v>1450</v>
      </c>
      <c r="J137" s="1387"/>
      <c r="K137" s="1413"/>
    </row>
    <row r="138" spans="1:17" ht="15">
      <c r="B138" s="1388"/>
      <c r="C138" s="1389" t="s">
        <v>1451</v>
      </c>
      <c r="D138" s="1389" t="s">
        <v>1452</v>
      </c>
      <c r="E138" s="1401" t="s">
        <v>1453</v>
      </c>
      <c r="F138" s="1402" t="s">
        <v>1454</v>
      </c>
      <c r="G138" s="1389" t="s">
        <v>1452</v>
      </c>
      <c r="H138" s="1403" t="s">
        <v>1453</v>
      </c>
      <c r="I138" s="1414"/>
      <c r="J138" s="1389" t="s">
        <v>1455</v>
      </c>
      <c r="K138" s="1403" t="s">
        <v>1456</v>
      </c>
    </row>
    <row r="139" spans="1:17" ht="15">
      <c r="B139" s="1390">
        <v>6</v>
      </c>
      <c r="C139" s="1391">
        <v>96</v>
      </c>
      <c r="D139" s="1392" t="s">
        <v>1457</v>
      </c>
      <c r="E139" s="1404">
        <v>100</v>
      </c>
      <c r="F139" s="1405">
        <v>102.5</v>
      </c>
      <c r="G139" s="1392" t="s">
        <v>1457</v>
      </c>
      <c r="H139" s="1406">
        <v>105</v>
      </c>
      <c r="I139" s="1415" t="s">
        <v>1458</v>
      </c>
      <c r="J139" s="1391">
        <v>20</v>
      </c>
      <c r="K139" s="1416">
        <f>C145/(J139-2)</f>
        <v>4.0555555555555553E-3</v>
      </c>
    </row>
    <row r="140" spans="1:17" ht="15">
      <c r="B140" s="1393">
        <v>5</v>
      </c>
      <c r="C140" s="1394">
        <v>100</v>
      </c>
      <c r="D140" s="1394"/>
      <c r="E140" s="1407"/>
      <c r="F140" s="1408">
        <v>102</v>
      </c>
      <c r="G140" s="1394"/>
      <c r="H140" s="1409"/>
      <c r="I140" s="1417" t="s">
        <v>1459</v>
      </c>
      <c r="J140" s="264">
        <f>ROUNDUP((J139-1)/2,0)</f>
        <v>10</v>
      </c>
      <c r="K140" s="1418">
        <v>100</v>
      </c>
    </row>
    <row r="141" spans="1:17" ht="15">
      <c r="B141" s="1393">
        <v>4</v>
      </c>
      <c r="C141" s="1394">
        <v>102</v>
      </c>
      <c r="D141" s="1394"/>
      <c r="E141" s="1407"/>
      <c r="F141" s="1408">
        <v>101.5</v>
      </c>
      <c r="G141" s="1394"/>
      <c r="H141" s="1409"/>
      <c r="I141" s="1417" t="s">
        <v>1460</v>
      </c>
      <c r="J141" s="264">
        <v>1</v>
      </c>
      <c r="K141" s="1418">
        <f>ROUND(100+(J141-J140)*K139*100,1)</f>
        <v>96.4</v>
      </c>
    </row>
    <row r="142" spans="1:17" ht="15">
      <c r="B142" s="1393">
        <v>3</v>
      </c>
      <c r="C142" s="1394">
        <v>103</v>
      </c>
      <c r="D142" s="1394"/>
      <c r="E142" s="1407"/>
      <c r="F142" s="1408">
        <v>101</v>
      </c>
      <c r="G142" s="1394"/>
      <c r="H142" s="1409"/>
      <c r="I142" s="1417" t="s">
        <v>1461</v>
      </c>
      <c r="J142" s="264">
        <f>J139</f>
        <v>20</v>
      </c>
      <c r="K142" s="1409">
        <v>95</v>
      </c>
    </row>
    <row r="143" spans="1:17" ht="15">
      <c r="B143" s="1393">
        <v>2</v>
      </c>
      <c r="C143" s="1394">
        <v>100</v>
      </c>
      <c r="D143" s="1394"/>
      <c r="E143" s="1407"/>
      <c r="F143" s="1408">
        <v>100.5</v>
      </c>
      <c r="G143" s="1394"/>
      <c r="H143" s="1409"/>
      <c r="I143" s="1417" t="s">
        <v>1462</v>
      </c>
      <c r="J143" s="1394">
        <v>15</v>
      </c>
      <c r="K143" s="1418">
        <f>ROUND(100+(J143-J140)*K139*100,1)</f>
        <v>102</v>
      </c>
    </row>
    <row r="144" spans="1:17" ht="15">
      <c r="B144" s="1393">
        <v>1</v>
      </c>
      <c r="C144" s="1394">
        <v>98</v>
      </c>
      <c r="D144" s="1395" t="s">
        <v>1463</v>
      </c>
      <c r="E144" s="1407">
        <v>102</v>
      </c>
      <c r="F144" s="1410">
        <v>100</v>
      </c>
      <c r="G144" s="1395" t="s">
        <v>1463</v>
      </c>
      <c r="H144" s="1409">
        <v>105</v>
      </c>
      <c r="I144" s="1417" t="s">
        <v>1462</v>
      </c>
      <c r="J144" s="1394">
        <v>18</v>
      </c>
      <c r="K144" s="1418">
        <f>ROUND(100+(J144-J140)*K139*100,1)</f>
        <v>103.2</v>
      </c>
    </row>
    <row r="145" spans="2:11" ht="15.6">
      <c r="B145" s="1396" t="s">
        <v>1464</v>
      </c>
      <c r="C145" s="1397">
        <f>ROUND(MAX(C139:C144)/MIN(C139:C144)-1,3)</f>
        <v>7.2999999999999995E-2</v>
      </c>
      <c r="D145" s="1398"/>
      <c r="E145" s="1398"/>
      <c r="F145" s="1411" t="s">
        <v>1465</v>
      </c>
      <c r="G145" s="1322"/>
      <c r="H145" s="1325"/>
      <c r="I145" s="1419" t="s">
        <v>1462</v>
      </c>
      <c r="J145" s="1420">
        <v>8</v>
      </c>
      <c r="K145" s="1421">
        <f>ROUND(100+(J145-J140)*K139*100,1)</f>
        <v>99.2</v>
      </c>
    </row>
    <row r="147" spans="2:11" ht="14.4">
      <c r="B147" s="1385" t="s">
        <v>1466</v>
      </c>
    </row>
    <row r="148" spans="2:11" ht="14.4">
      <c r="B148" s="1385" t="s">
        <v>1467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1468</v>
      </c>
      <c r="C1" s="1227" t="s">
        <v>1370</v>
      </c>
      <c r="D1" s="1200"/>
      <c r="E1" s="1333"/>
      <c r="F1" s="1219"/>
      <c r="G1" s="1220" t="s">
        <v>1372</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889</v>
      </c>
      <c r="B2" s="1202" t="e">
        <f ca="1">IF(C2="——",ROUND(C49*D3/10000,0),ROUND(C49*D3/10000,0)-D2)</f>
        <v>#DIV/0!</v>
      </c>
      <c r="C2" s="1203"/>
      <c r="D2" s="1313" t="e">
        <f ca="1">SUMIF(INDIRECT("'"&amp;F2&amp;"'"&amp;"!A:A"),"承租人权益价值",INDIRECT("'"&amp;F2&amp;"'"&amp;"!c:c"))</f>
        <v>#REF!</v>
      </c>
      <c r="E2" s="1221" t="s">
        <v>890</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891</v>
      </c>
      <c r="B3" s="888" t="e">
        <f ca="1">IF(C2="——",C49,ROUND(B2*10000/D3,0))</f>
        <v>#DIV/0!</v>
      </c>
      <c r="C3" s="1204" t="s">
        <v>1373</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49" t="s">
        <v>1377</v>
      </c>
      <c r="AC4" s="3063" t="s">
        <v>1378</v>
      </c>
    </row>
    <row r="5" spans="1:29">
      <c r="A5" s="893"/>
      <c r="B5" s="894"/>
      <c r="C5" s="3037" t="s">
        <v>1381</v>
      </c>
      <c r="D5" s="3038"/>
      <c r="E5" s="3039" t="s">
        <v>1382</v>
      </c>
      <c r="F5" s="3040"/>
      <c r="G5" s="3037" t="s">
        <v>1383</v>
      </c>
      <c r="H5" s="3038"/>
      <c r="I5" s="3037" t="s">
        <v>1384</v>
      </c>
      <c r="J5" s="3038"/>
      <c r="K5" s="1028"/>
      <c r="L5" s="1029"/>
      <c r="M5" s="967"/>
      <c r="N5" s="967"/>
      <c r="O5" s="967"/>
      <c r="P5" s="3068"/>
      <c r="Q5" s="3069"/>
      <c r="R5" s="3074"/>
      <c r="S5" s="3075"/>
      <c r="T5" s="3074"/>
      <c r="U5" s="3075"/>
      <c r="V5" s="3049"/>
      <c r="W5" s="3049"/>
      <c r="X5" s="1072"/>
      <c r="Y5" s="3074"/>
      <c r="Z5" s="3075"/>
      <c r="AA5" s="3064"/>
      <c r="AB5" s="3049"/>
      <c r="AC5" s="3064"/>
    </row>
    <row r="6" spans="1:29" ht="14.4">
      <c r="A6" s="895"/>
      <c r="B6" s="896"/>
      <c r="C6" s="3041" t="s">
        <v>1385</v>
      </c>
      <c r="D6" s="3042"/>
      <c r="E6" s="3043" t="s">
        <v>1385</v>
      </c>
      <c r="F6" s="3044"/>
      <c r="G6" s="3041" t="s">
        <v>1385</v>
      </c>
      <c r="H6" s="3042"/>
      <c r="I6" s="3041" t="s">
        <v>1385</v>
      </c>
      <c r="J6" s="3042"/>
      <c r="K6" s="1028" t="s">
        <v>1386</v>
      </c>
      <c r="L6" s="1029"/>
      <c r="M6" s="967"/>
      <c r="N6" s="967"/>
      <c r="O6" s="967"/>
      <c r="P6" s="3070"/>
      <c r="Q6" s="3071"/>
      <c r="R6" s="3074"/>
      <c r="S6" s="3075"/>
      <c r="T6" s="3076"/>
      <c r="U6" s="3077"/>
      <c r="V6" s="3049"/>
      <c r="W6" s="3049"/>
      <c r="X6" s="1072"/>
      <c r="Y6" s="3076"/>
      <c r="Z6" s="3077"/>
      <c r="AA6" s="3065"/>
      <c r="AB6" s="3049"/>
      <c r="AC6" s="3065"/>
    </row>
    <row r="7" spans="1:29" s="876" customFormat="1" ht="14.4">
      <c r="A7" s="899" t="s">
        <v>1387</v>
      </c>
      <c r="B7" s="900"/>
      <c r="C7" s="901">
        <f>'数据-取费表'!B2</f>
        <v>44904</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45"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46" si="3">D8/F8</f>
        <v>#DIV/0!</v>
      </c>
      <c r="AB8" s="1076" t="e">
        <f t="shared" ref="AB8:AB46" si="4">D8/H8</f>
        <v>#DIV/0!</v>
      </c>
      <c r="AC8" s="1076" t="e">
        <f t="shared" ref="AC8:AC46" si="5">D8/J8</f>
        <v>#DIV/0!</v>
      </c>
    </row>
    <row r="9" spans="1:29" s="876" customFormat="1" ht="14.4">
      <c r="A9" s="904" t="s">
        <v>1393</v>
      </c>
      <c r="B9" s="905" t="s">
        <v>1394</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50"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50"/>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50"/>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50"/>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50"/>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50"/>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076">
        <f t="shared" si="5"/>
        <v>1</v>
      </c>
    </row>
    <row r="15" spans="1:29" ht="69">
      <c r="A15" s="923" t="s">
        <v>1399</v>
      </c>
      <c r="B15" s="1174" t="s">
        <v>1469</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1" t="s">
        <v>1401</v>
      </c>
      <c r="Q15" s="1016" t="str">
        <f t="shared" si="6"/>
        <v>商业繁华度</v>
      </c>
      <c r="R15" s="1011" t="s">
        <v>1389</v>
      </c>
      <c r="S15" s="1043">
        <f t="shared" si="0"/>
        <v>100</v>
      </c>
      <c r="T15" s="1011" t="s">
        <v>1389</v>
      </c>
      <c r="U15" s="1043">
        <f t="shared" si="1"/>
        <v>100</v>
      </c>
      <c r="V15" s="1011" t="s">
        <v>1389</v>
      </c>
      <c r="W15" s="1043">
        <f t="shared" si="2"/>
        <v>100</v>
      </c>
      <c r="X15" s="1072"/>
      <c r="Y15" s="3056" t="s">
        <v>1401</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2"/>
      <c r="Q16" s="1016"/>
      <c r="R16" s="1011"/>
      <c r="S16" s="1043"/>
      <c r="T16" s="1011"/>
      <c r="U16" s="1043"/>
      <c r="V16" s="1011"/>
      <c r="W16" s="1043"/>
      <c r="X16" s="1072"/>
      <c r="Y16" s="3057"/>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2"/>
      <c r="Q17" s="1016" t="str">
        <f>B17</f>
        <v>交通便捷度</v>
      </c>
      <c r="R17" s="1011" t="s">
        <v>1389</v>
      </c>
      <c r="S17" s="1043">
        <f>F17</f>
        <v>100</v>
      </c>
      <c r="T17" s="1011" t="s">
        <v>1389</v>
      </c>
      <c r="U17" s="1043">
        <f>H17</f>
        <v>100</v>
      </c>
      <c r="V17" s="1011" t="s">
        <v>1389</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2"/>
      <c r="Q18" s="1016"/>
      <c r="R18" s="1011"/>
      <c r="S18" s="1043"/>
      <c r="T18" s="1011"/>
      <c r="U18" s="1043"/>
      <c r="V18" s="1011"/>
      <c r="W18" s="1043"/>
      <c r="X18" s="1072"/>
      <c r="Y18" s="3057"/>
      <c r="Z18" s="1046"/>
      <c r="AA18" s="1046">
        <v>1</v>
      </c>
      <c r="AB18" s="1046">
        <v>1</v>
      </c>
      <c r="AC18" s="1046">
        <v>1</v>
      </c>
    </row>
    <row r="19" spans="1:29" ht="41.4">
      <c r="A19" s="912"/>
      <c r="B19" s="1175" t="s">
        <v>1403</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2"/>
      <c r="Q19" s="1016" t="str">
        <f>B19</f>
        <v>公共配套设施</v>
      </c>
      <c r="R19" s="1011" t="s">
        <v>1389</v>
      </c>
      <c r="S19" s="1043">
        <f>F19</f>
        <v>100</v>
      </c>
      <c r="T19" s="1011" t="s">
        <v>1389</v>
      </c>
      <c r="U19" s="1043">
        <f>H19</f>
        <v>100</v>
      </c>
      <c r="V19" s="1011" t="s">
        <v>1389</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2"/>
      <c r="Q20" s="1016"/>
      <c r="R20" s="1011"/>
      <c r="S20" s="1043"/>
      <c r="T20" s="1011"/>
      <c r="U20" s="1043"/>
      <c r="V20" s="1011"/>
      <c r="W20" s="1043"/>
      <c r="X20" s="1072"/>
      <c r="Y20" s="3057"/>
      <c r="Z20" s="1046"/>
      <c r="AA20" s="1046">
        <v>1</v>
      </c>
      <c r="AB20" s="1046">
        <v>1</v>
      </c>
      <c r="AC20" s="1046">
        <v>1</v>
      </c>
    </row>
    <row r="21" spans="1:29" ht="27.6">
      <c r="A21" s="912"/>
      <c r="B21" s="1177" t="s">
        <v>1404</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2"/>
      <c r="Q21" s="1016" t="str">
        <f>B21</f>
        <v>基础设施水平</v>
      </c>
      <c r="R21" s="1011" t="s">
        <v>1389</v>
      </c>
      <c r="S21" s="1043">
        <f>F21</f>
        <v>100</v>
      </c>
      <c r="T21" s="1011" t="s">
        <v>1389</v>
      </c>
      <c r="U21" s="1043">
        <f>H21</f>
        <v>100</v>
      </c>
      <c r="V21" s="1011" t="s">
        <v>1389</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2"/>
      <c r="Q22" s="1016"/>
      <c r="R22" s="1011"/>
      <c r="S22" s="1043"/>
      <c r="T22" s="1011"/>
      <c r="U22" s="1043"/>
      <c r="V22" s="1011"/>
      <c r="W22" s="1043"/>
      <c r="X22" s="1072"/>
      <c r="Y22" s="3057"/>
      <c r="Z22" s="1046"/>
      <c r="AA22" s="1046">
        <v>1</v>
      </c>
      <c r="AB22" s="1046">
        <v>1</v>
      </c>
      <c r="AC22" s="1046">
        <v>1</v>
      </c>
    </row>
    <row r="23" spans="1:29" ht="55.2">
      <c r="A23" s="912"/>
      <c r="B23" s="1175" t="s">
        <v>1405</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2"/>
      <c r="Q23" s="1016" t="str">
        <f>B23</f>
        <v>自然及人文环境</v>
      </c>
      <c r="R23" s="1011" t="s">
        <v>1389</v>
      </c>
      <c r="S23" s="1043">
        <f>F23</f>
        <v>100</v>
      </c>
      <c r="T23" s="1011" t="s">
        <v>1389</v>
      </c>
      <c r="U23" s="1043">
        <f>H23</f>
        <v>100</v>
      </c>
      <c r="V23" s="1011" t="s">
        <v>1389</v>
      </c>
      <c r="W23" s="1043">
        <f>J23</f>
        <v>100</v>
      </c>
      <c r="X23" s="1072"/>
      <c r="Y23" s="3057"/>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2"/>
      <c r="Q24" s="1016"/>
      <c r="R24" s="1011"/>
      <c r="S24" s="1043"/>
      <c r="T24" s="1011"/>
      <c r="U24" s="1043"/>
      <c r="V24" s="1011"/>
      <c r="W24" s="1043"/>
      <c r="X24" s="1072"/>
      <c r="Y24" s="3057"/>
      <c r="Z24" s="1046"/>
      <c r="AA24" s="1046">
        <v>1</v>
      </c>
      <c r="AB24" s="1046">
        <v>1</v>
      </c>
      <c r="AC24" s="1046">
        <v>1</v>
      </c>
    </row>
    <row r="25" spans="1:29" ht="15">
      <c r="A25" s="912"/>
      <c r="B25" s="909" t="s">
        <v>1470</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2"/>
      <c r="Q25" s="1016" t="str">
        <f t="shared" ref="Q25:Q46" si="11">B25</f>
        <v>临街状况</v>
      </c>
      <c r="R25" s="1011" t="s">
        <v>1389</v>
      </c>
      <c r="S25" s="1043">
        <f>F25</f>
        <v>100</v>
      </c>
      <c r="T25" s="1011" t="s">
        <v>1389</v>
      </c>
      <c r="U25" s="1043">
        <f>H25</f>
        <v>100</v>
      </c>
      <c r="V25" s="1011" t="s">
        <v>1389</v>
      </c>
      <c r="W25" s="1043">
        <f>J25</f>
        <v>100</v>
      </c>
      <c r="X25" s="1072"/>
      <c r="Y25" s="3057"/>
      <c r="Z25" s="1046" t="str">
        <f>Q25</f>
        <v>临街状况</v>
      </c>
      <c r="AA25" s="1046">
        <f t="shared" si="3"/>
        <v>1</v>
      </c>
      <c r="AB25" s="1046">
        <f t="shared" si="4"/>
        <v>1</v>
      </c>
      <c r="AC25" s="1046">
        <f t="shared" si="5"/>
        <v>1</v>
      </c>
    </row>
    <row r="26" spans="1:29" ht="15">
      <c r="A26" s="912"/>
      <c r="B26" s="1147" t="s">
        <v>1471</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2"/>
      <c r="Q26" s="1016" t="str">
        <f t="shared" si="11"/>
        <v>平面位置/可视性</v>
      </c>
      <c r="R26" s="1011" t="s">
        <v>1389</v>
      </c>
      <c r="S26" s="1043">
        <f>F26</f>
        <v>100</v>
      </c>
      <c r="T26" s="1011" t="s">
        <v>1389</v>
      </c>
      <c r="U26" s="1043">
        <f>H26</f>
        <v>100</v>
      </c>
      <c r="V26" s="1011" t="s">
        <v>1389</v>
      </c>
      <c r="W26" s="1043">
        <f>J26</f>
        <v>100</v>
      </c>
      <c r="X26" s="1072"/>
      <c r="Y26" s="3057"/>
      <c r="Z26" s="1046" t="str">
        <f>Q26</f>
        <v>平面位置/可视性</v>
      </c>
      <c r="AA26" s="1046">
        <f t="shared" si="3"/>
        <v>1</v>
      </c>
      <c r="AB26" s="1046">
        <f t="shared" si="4"/>
        <v>1</v>
      </c>
      <c r="AC26" s="1046">
        <f t="shared" si="5"/>
        <v>1</v>
      </c>
    </row>
    <row r="27" spans="1:29" s="876" customFormat="1" ht="15">
      <c r="A27" s="914"/>
      <c r="B27" s="1175" t="s">
        <v>1472</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2"/>
      <c r="Q27" s="1069" t="str">
        <f t="shared" si="11"/>
        <v>人流量</v>
      </c>
      <c r="R27" s="1056" t="s">
        <v>1389</v>
      </c>
      <c r="S27" s="1068">
        <f>F27</f>
        <v>100</v>
      </c>
      <c r="T27" s="1056" t="s">
        <v>1389</v>
      </c>
      <c r="U27" s="1068">
        <f>H27</f>
        <v>100</v>
      </c>
      <c r="V27" s="1056" t="s">
        <v>1389</v>
      </c>
      <c r="W27" s="1068">
        <f>J27</f>
        <v>100</v>
      </c>
      <c r="X27" s="1073"/>
      <c r="Y27" s="3057"/>
      <c r="Z27" s="1076" t="str">
        <f>Q27</f>
        <v>人流量</v>
      </c>
      <c r="AA27" s="1046">
        <f t="shared" si="3"/>
        <v>1</v>
      </c>
      <c r="AB27" s="1046">
        <f t="shared" si="4"/>
        <v>1</v>
      </c>
      <c r="AC27" s="1046">
        <f t="shared" si="5"/>
        <v>1</v>
      </c>
    </row>
    <row r="28" spans="1:29" ht="15">
      <c r="A28" s="912"/>
      <c r="B28" s="909" t="s">
        <v>1473</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2"/>
      <c r="Q28" s="1016" t="str">
        <f t="shared" si="11"/>
        <v>楼层</v>
      </c>
      <c r="R28" s="1011" t="s">
        <v>1389</v>
      </c>
      <c r="S28" s="1043">
        <f t="shared" ref="S28:S46" si="12">F28</f>
        <v>100</v>
      </c>
      <c r="T28" s="1011" t="s">
        <v>1389</v>
      </c>
      <c r="U28" s="1043">
        <f t="shared" ref="U28:U46" si="13">H28</f>
        <v>100</v>
      </c>
      <c r="V28" s="1011" t="s">
        <v>1389</v>
      </c>
      <c r="W28" s="1043">
        <f t="shared" ref="W28:W46" si="14">J28</f>
        <v>100</v>
      </c>
      <c r="X28" s="1072"/>
      <c r="Y28" s="3057"/>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2"/>
      <c r="Q29" s="1016">
        <f t="shared" si="11"/>
        <v>111</v>
      </c>
      <c r="R29" s="1011" t="s">
        <v>1389</v>
      </c>
      <c r="S29" s="1043">
        <f t="shared" si="12"/>
        <v>100</v>
      </c>
      <c r="T29" s="1011" t="s">
        <v>1389</v>
      </c>
      <c r="U29" s="1043">
        <f t="shared" si="13"/>
        <v>100</v>
      </c>
      <c r="V29" s="1011" t="s">
        <v>1389</v>
      </c>
      <c r="W29" s="1043">
        <f t="shared" si="14"/>
        <v>100</v>
      </c>
      <c r="X29" s="1072"/>
      <c r="Y29" s="3057"/>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2"/>
      <c r="Q30" s="1016">
        <f t="shared" si="11"/>
        <v>111</v>
      </c>
      <c r="R30" s="1011" t="s">
        <v>1389</v>
      </c>
      <c r="S30" s="1043">
        <f t="shared" si="12"/>
        <v>100</v>
      </c>
      <c r="T30" s="1011" t="s">
        <v>1389</v>
      </c>
      <c r="U30" s="1043">
        <f t="shared" si="13"/>
        <v>100</v>
      </c>
      <c r="V30" s="1011" t="s">
        <v>1389</v>
      </c>
      <c r="W30" s="1043">
        <f t="shared" si="14"/>
        <v>100</v>
      </c>
      <c r="X30" s="1072"/>
      <c r="Y30" s="3057"/>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2"/>
      <c r="Q31" s="1016">
        <f t="shared" si="11"/>
        <v>111</v>
      </c>
      <c r="R31" s="1011" t="s">
        <v>1389</v>
      </c>
      <c r="S31" s="1043">
        <f t="shared" si="12"/>
        <v>100</v>
      </c>
      <c r="T31" s="1011" t="s">
        <v>1389</v>
      </c>
      <c r="U31" s="1043">
        <f t="shared" si="13"/>
        <v>100</v>
      </c>
      <c r="V31" s="1011" t="s">
        <v>1389</v>
      </c>
      <c r="W31" s="1043">
        <f t="shared" si="14"/>
        <v>100</v>
      </c>
      <c r="X31" s="1072"/>
      <c r="Y31" s="3057"/>
      <c r="Z31" s="1046">
        <f t="shared" si="15"/>
        <v>111</v>
      </c>
      <c r="AA31" s="1046">
        <f t="shared" si="3"/>
        <v>1</v>
      </c>
      <c r="AB31" s="1046">
        <f t="shared" si="4"/>
        <v>1</v>
      </c>
      <c r="AC31" s="1046">
        <f t="shared" si="5"/>
        <v>1</v>
      </c>
    </row>
    <row r="32" spans="1:29" ht="15">
      <c r="A32" s="923" t="s">
        <v>1408</v>
      </c>
      <c r="B32" s="905" t="s">
        <v>1474</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3" t="s">
        <v>1410</v>
      </c>
      <c r="Q32" s="1016" t="str">
        <f t="shared" si="11"/>
        <v>商业类型</v>
      </c>
      <c r="R32" s="1011" t="s">
        <v>1389</v>
      </c>
      <c r="S32" s="1043">
        <f t="shared" si="12"/>
        <v>100</v>
      </c>
      <c r="T32" s="1011" t="s">
        <v>1389</v>
      </c>
      <c r="U32" s="1043">
        <f t="shared" si="13"/>
        <v>100</v>
      </c>
      <c r="V32" s="1011" t="s">
        <v>1389</v>
      </c>
      <c r="W32" s="1043">
        <f t="shared" si="14"/>
        <v>100</v>
      </c>
      <c r="X32" s="1072"/>
      <c r="Y32" s="3058" t="s">
        <v>1410</v>
      </c>
      <c r="Z32" s="1046" t="str">
        <f t="shared" si="15"/>
        <v>商业类型</v>
      </c>
      <c r="AA32" s="1046">
        <f t="shared" si="3"/>
        <v>1</v>
      </c>
      <c r="AB32" s="1046">
        <f t="shared" si="4"/>
        <v>1</v>
      </c>
      <c r="AC32" s="1046">
        <f t="shared" si="5"/>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4"/>
      <c r="Q33" s="1231" t="str">
        <f t="shared" si="11"/>
        <v>项目建筑规模</v>
      </c>
      <c r="R33" s="1070" t="s">
        <v>1389</v>
      </c>
      <c r="S33" s="1071" t="e">
        <f t="shared" si="12"/>
        <v>#N/A</v>
      </c>
      <c r="T33" s="1070" t="s">
        <v>1389</v>
      </c>
      <c r="U33" s="1071" t="e">
        <f t="shared" si="13"/>
        <v>#N/A</v>
      </c>
      <c r="V33" s="1070" t="s">
        <v>1389</v>
      </c>
      <c r="W33" s="1071" t="e">
        <f t="shared" si="14"/>
        <v>#N/A</v>
      </c>
      <c r="X33" s="1074"/>
      <c r="Y33" s="3058"/>
      <c r="Z33" s="1077" t="str">
        <f t="shared" si="15"/>
        <v>项目建筑规模</v>
      </c>
      <c r="AA33" s="1046" t="e">
        <f t="shared" si="3"/>
        <v>#N/A</v>
      </c>
      <c r="AB33" s="1046" t="e">
        <f t="shared" si="4"/>
        <v>#N/A</v>
      </c>
      <c r="AC33" s="1046" t="e">
        <f t="shared" si="5"/>
        <v>#N/A</v>
      </c>
    </row>
    <row r="34" spans="1:29" ht="15">
      <c r="A34" s="950"/>
      <c r="B34" s="909" t="s">
        <v>1412</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4"/>
      <c r="Q34" s="1016" t="str">
        <f t="shared" si="11"/>
        <v>建筑结构</v>
      </c>
      <c r="R34" s="1011" t="s">
        <v>1389</v>
      </c>
      <c r="S34" s="1043">
        <f t="shared" si="12"/>
        <v>100</v>
      </c>
      <c r="T34" s="1011" t="s">
        <v>1389</v>
      </c>
      <c r="U34" s="1043">
        <f t="shared" si="13"/>
        <v>100</v>
      </c>
      <c r="V34" s="1011" t="s">
        <v>1389</v>
      </c>
      <c r="W34" s="1043">
        <f t="shared" si="14"/>
        <v>100</v>
      </c>
      <c r="X34" s="1072"/>
      <c r="Y34" s="3058"/>
      <c r="Z34" s="1046" t="str">
        <f t="shared" si="15"/>
        <v>建筑结构</v>
      </c>
      <c r="AA34" s="1046">
        <f t="shared" si="3"/>
        <v>1</v>
      </c>
      <c r="AB34" s="1046">
        <f t="shared" si="4"/>
        <v>1</v>
      </c>
      <c r="AC34" s="1046">
        <f t="shared" si="5"/>
        <v>1</v>
      </c>
    </row>
    <row r="35" spans="1:29" ht="15">
      <c r="A35" s="950"/>
      <c r="B35" s="909" t="s">
        <v>1414</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4"/>
      <c r="Q35" s="1016" t="str">
        <f t="shared" si="11"/>
        <v>公共部分装修</v>
      </c>
      <c r="R35" s="1011" t="s">
        <v>1389</v>
      </c>
      <c r="S35" s="1043">
        <f t="shared" si="12"/>
        <v>100</v>
      </c>
      <c r="T35" s="1011" t="s">
        <v>1389</v>
      </c>
      <c r="U35" s="1043">
        <f t="shared" si="13"/>
        <v>100</v>
      </c>
      <c r="V35" s="1011" t="s">
        <v>1389</v>
      </c>
      <c r="W35" s="1043">
        <f t="shared" si="14"/>
        <v>100</v>
      </c>
      <c r="X35" s="1072"/>
      <c r="Y35" s="3058"/>
      <c r="Z35" s="1046" t="str">
        <f t="shared" si="15"/>
        <v>公共部分装修</v>
      </c>
      <c r="AA35" s="1046">
        <f t="shared" si="3"/>
        <v>1</v>
      </c>
      <c r="AB35" s="1046">
        <f t="shared" si="4"/>
        <v>1</v>
      </c>
      <c r="AC35" s="1046">
        <f t="shared" si="5"/>
        <v>1</v>
      </c>
    </row>
    <row r="36" spans="1:29" ht="15">
      <c r="A36" s="950"/>
      <c r="B36" s="909" t="s">
        <v>542</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4"/>
      <c r="Q36" s="1016" t="str">
        <f t="shared" si="11"/>
        <v>成新度</v>
      </c>
      <c r="R36" s="1011" t="s">
        <v>1389</v>
      </c>
      <c r="S36" s="1043" t="e">
        <f t="shared" si="12"/>
        <v>#N/A</v>
      </c>
      <c r="T36" s="1011" t="s">
        <v>1389</v>
      </c>
      <c r="U36" s="1043" t="e">
        <f t="shared" si="13"/>
        <v>#N/A</v>
      </c>
      <c r="V36" s="1011" t="s">
        <v>1389</v>
      </c>
      <c r="W36" s="1043" t="e">
        <f t="shared" si="14"/>
        <v>#N/A</v>
      </c>
      <c r="X36" s="1072"/>
      <c r="Y36" s="3058"/>
      <c r="Z36" s="1046" t="str">
        <f t="shared" si="15"/>
        <v>成新度</v>
      </c>
      <c r="AA36" s="1046" t="e">
        <f t="shared" si="3"/>
        <v>#N/A</v>
      </c>
      <c r="AB36" s="1046" t="e">
        <f t="shared" si="4"/>
        <v>#N/A</v>
      </c>
      <c r="AC36" s="1046" t="e">
        <f t="shared" si="5"/>
        <v>#N/A</v>
      </c>
    </row>
    <row r="37" spans="1:29" s="876" customFormat="1" ht="15">
      <c r="A37" s="952"/>
      <c r="B37" s="909" t="s">
        <v>1416</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4"/>
      <c r="Q37" s="1069" t="str">
        <f t="shared" si="11"/>
        <v>市政基础设施</v>
      </c>
      <c r="R37" s="1056" t="s">
        <v>1389</v>
      </c>
      <c r="S37" s="1068">
        <f t="shared" si="12"/>
        <v>100</v>
      </c>
      <c r="T37" s="1056" t="s">
        <v>1389</v>
      </c>
      <c r="U37" s="1068">
        <f t="shared" si="13"/>
        <v>100</v>
      </c>
      <c r="V37" s="1056" t="s">
        <v>1389</v>
      </c>
      <c r="W37" s="1068">
        <f t="shared" si="14"/>
        <v>100</v>
      </c>
      <c r="X37" s="1073"/>
      <c r="Y37" s="3058"/>
      <c r="Z37" s="1076" t="str">
        <f t="shared" si="15"/>
        <v>市政基础设施</v>
      </c>
      <c r="AA37" s="1076">
        <f t="shared" si="3"/>
        <v>1</v>
      </c>
      <c r="AB37" s="1076">
        <f t="shared" si="4"/>
        <v>1</v>
      </c>
      <c r="AC37" s="1076">
        <f t="shared" si="5"/>
        <v>1</v>
      </c>
    </row>
    <row r="38" spans="1:29" ht="15">
      <c r="A38" s="950"/>
      <c r="B38" s="909" t="s">
        <v>1475</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4" t="s">
        <v>1410</v>
      </c>
      <c r="Q38" s="1016" t="str">
        <f t="shared" si="11"/>
        <v>业态</v>
      </c>
      <c r="R38" s="1011" t="s">
        <v>1389</v>
      </c>
      <c r="S38" s="1043">
        <f t="shared" si="12"/>
        <v>100</v>
      </c>
      <c r="T38" s="1011" t="s">
        <v>1389</v>
      </c>
      <c r="U38" s="1043">
        <f t="shared" si="13"/>
        <v>100</v>
      </c>
      <c r="V38" s="1011" t="s">
        <v>1389</v>
      </c>
      <c r="W38" s="1043">
        <f t="shared" si="14"/>
        <v>100</v>
      </c>
      <c r="X38" s="1072"/>
      <c r="Y38" s="3058" t="s">
        <v>1410</v>
      </c>
      <c r="Z38" s="1046" t="str">
        <f t="shared" si="15"/>
        <v>业态</v>
      </c>
      <c r="AA38" s="1046">
        <f t="shared" si="3"/>
        <v>1</v>
      </c>
      <c r="AB38" s="1046">
        <f t="shared" si="4"/>
        <v>1</v>
      </c>
      <c r="AC38" s="1046">
        <f t="shared" si="5"/>
        <v>1</v>
      </c>
    </row>
    <row r="39" spans="1:29" ht="15">
      <c r="A39" s="950"/>
      <c r="B39" s="909" t="s">
        <v>1476</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4"/>
      <c r="Q39" s="1016" t="str">
        <f t="shared" si="11"/>
        <v>层高</v>
      </c>
      <c r="R39" s="1011" t="s">
        <v>1389</v>
      </c>
      <c r="S39" s="1043">
        <f t="shared" si="12"/>
        <v>100</v>
      </c>
      <c r="T39" s="1011" t="s">
        <v>1389</v>
      </c>
      <c r="U39" s="1043">
        <f t="shared" si="13"/>
        <v>100</v>
      </c>
      <c r="V39" s="1011" t="s">
        <v>1389</v>
      </c>
      <c r="W39" s="1043">
        <f t="shared" si="14"/>
        <v>100</v>
      </c>
      <c r="X39" s="1072"/>
      <c r="Y39" s="3058"/>
      <c r="Z39" s="1046" t="str">
        <f t="shared" si="15"/>
        <v>层高</v>
      </c>
      <c r="AA39" s="1046">
        <f t="shared" si="3"/>
        <v>1</v>
      </c>
      <c r="AB39" s="1046">
        <f t="shared" si="4"/>
        <v>1</v>
      </c>
      <c r="AC39" s="1046">
        <f t="shared" si="5"/>
        <v>1</v>
      </c>
    </row>
    <row r="40" spans="1:29" ht="15">
      <c r="A40" s="950"/>
      <c r="B40" s="909" t="s">
        <v>1477</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4"/>
      <c r="Q40" s="1016" t="str">
        <f t="shared" si="11"/>
        <v>单套建筑面积</v>
      </c>
      <c r="R40" s="1011" t="s">
        <v>1389</v>
      </c>
      <c r="S40" s="1043">
        <f t="shared" si="12"/>
        <v>100</v>
      </c>
      <c r="T40" s="1011" t="s">
        <v>1389</v>
      </c>
      <c r="U40" s="1043">
        <f t="shared" si="13"/>
        <v>100</v>
      </c>
      <c r="V40" s="1011" t="s">
        <v>1389</v>
      </c>
      <c r="W40" s="1043">
        <f t="shared" si="14"/>
        <v>100</v>
      </c>
      <c r="X40" s="1072"/>
      <c r="Y40" s="3058"/>
      <c r="Z40" s="1046" t="str">
        <f t="shared" si="15"/>
        <v>单套建筑面积</v>
      </c>
      <c r="AA40" s="1046">
        <f t="shared" si="3"/>
        <v>1</v>
      </c>
      <c r="AB40" s="1046">
        <f t="shared" si="4"/>
        <v>1</v>
      </c>
      <c r="AC40" s="1046">
        <f t="shared" si="5"/>
        <v>1</v>
      </c>
    </row>
    <row r="41" spans="1:29" s="878" customFormat="1" ht="15">
      <c r="A41" s="955"/>
      <c r="B41" s="1064" t="s">
        <v>1478</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4"/>
      <c r="Q41" s="1231" t="str">
        <f t="shared" si="11"/>
        <v>进深比</v>
      </c>
      <c r="R41" s="1070" t="s">
        <v>1389</v>
      </c>
      <c r="S41" s="1071">
        <f t="shared" si="12"/>
        <v>100</v>
      </c>
      <c r="T41" s="1070" t="s">
        <v>1389</v>
      </c>
      <c r="U41" s="1071">
        <f t="shared" si="13"/>
        <v>100</v>
      </c>
      <c r="V41" s="1070" t="s">
        <v>1389</v>
      </c>
      <c r="W41" s="1071">
        <f t="shared" si="14"/>
        <v>100</v>
      </c>
      <c r="X41" s="1074"/>
      <c r="Y41" s="3058"/>
      <c r="Z41" s="1077" t="str">
        <f t="shared" si="15"/>
        <v>进深比</v>
      </c>
      <c r="AA41" s="1046">
        <f t="shared" si="3"/>
        <v>1</v>
      </c>
      <c r="AB41" s="1046">
        <f t="shared" si="4"/>
        <v>1</v>
      </c>
      <c r="AC41" s="1046">
        <f t="shared" si="5"/>
        <v>1</v>
      </c>
    </row>
    <row r="42" spans="1:29" ht="15">
      <c r="A42" s="950"/>
      <c r="B42" s="909" t="s">
        <v>1419</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4"/>
      <c r="Q42" s="1016" t="str">
        <f t="shared" si="11"/>
        <v>内部装修</v>
      </c>
      <c r="R42" s="1011" t="s">
        <v>1389</v>
      </c>
      <c r="S42" s="1043">
        <f t="shared" si="12"/>
        <v>100</v>
      </c>
      <c r="T42" s="1011" t="s">
        <v>1389</v>
      </c>
      <c r="U42" s="1043">
        <f t="shared" si="13"/>
        <v>100</v>
      </c>
      <c r="V42" s="1011" t="s">
        <v>1389</v>
      </c>
      <c r="W42" s="1043">
        <f t="shared" si="14"/>
        <v>100</v>
      </c>
      <c r="X42" s="1072"/>
      <c r="Y42" s="3058"/>
      <c r="Z42" s="1046" t="str">
        <f t="shared" si="15"/>
        <v>内部装修</v>
      </c>
      <c r="AA42" s="1046">
        <f t="shared" si="3"/>
        <v>1</v>
      </c>
      <c r="AB42" s="1046">
        <f t="shared" si="4"/>
        <v>1</v>
      </c>
      <c r="AC42" s="1046">
        <f t="shared" si="5"/>
        <v>1</v>
      </c>
    </row>
    <row r="43" spans="1:29" ht="28.8">
      <c r="A43" s="950"/>
      <c r="B43" s="909" t="s">
        <v>1420</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4"/>
      <c r="Q43" s="1016" t="str">
        <f t="shared" si="11"/>
        <v>内部装修维护情况</v>
      </c>
      <c r="R43" s="1011" t="s">
        <v>1389</v>
      </c>
      <c r="S43" s="1043">
        <f t="shared" si="12"/>
        <v>100</v>
      </c>
      <c r="T43" s="1011" t="s">
        <v>1389</v>
      </c>
      <c r="U43" s="1043">
        <f t="shared" si="13"/>
        <v>100</v>
      </c>
      <c r="V43" s="1011" t="s">
        <v>1389</v>
      </c>
      <c r="W43" s="1043">
        <f t="shared" si="14"/>
        <v>100</v>
      </c>
      <c r="X43" s="1072"/>
      <c r="Y43" s="3058"/>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4"/>
      <c r="Q44" s="1069">
        <f t="shared" si="11"/>
        <v>111</v>
      </c>
      <c r="R44" s="1056" t="s">
        <v>1389</v>
      </c>
      <c r="S44" s="1068">
        <f t="shared" si="12"/>
        <v>100</v>
      </c>
      <c r="T44" s="1056" t="s">
        <v>1389</v>
      </c>
      <c r="U44" s="1068">
        <f t="shared" si="13"/>
        <v>100</v>
      </c>
      <c r="V44" s="1056" t="s">
        <v>1389</v>
      </c>
      <c r="W44" s="1068">
        <f t="shared" si="14"/>
        <v>100</v>
      </c>
      <c r="X44" s="1073"/>
      <c r="Y44" s="3058"/>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4"/>
      <c r="Q45" s="1016">
        <f t="shared" si="11"/>
        <v>111</v>
      </c>
      <c r="R45" s="1011" t="s">
        <v>1389</v>
      </c>
      <c r="S45" s="1043">
        <f t="shared" si="12"/>
        <v>100</v>
      </c>
      <c r="T45" s="1011" t="s">
        <v>1389</v>
      </c>
      <c r="U45" s="1043">
        <f t="shared" si="13"/>
        <v>100</v>
      </c>
      <c r="V45" s="1011" t="s">
        <v>1389</v>
      </c>
      <c r="W45" s="1043">
        <f t="shared" si="14"/>
        <v>100</v>
      </c>
      <c r="X45" s="1072"/>
      <c r="Y45" s="3058"/>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5"/>
      <c r="Q46" s="1016">
        <f t="shared" si="11"/>
        <v>111</v>
      </c>
      <c r="R46" s="1011" t="s">
        <v>1389</v>
      </c>
      <c r="S46" s="1043">
        <f t="shared" si="12"/>
        <v>100</v>
      </c>
      <c r="T46" s="1011" t="s">
        <v>1389</v>
      </c>
      <c r="U46" s="1043">
        <f t="shared" si="13"/>
        <v>100</v>
      </c>
      <c r="V46" s="1011" t="s">
        <v>1389</v>
      </c>
      <c r="W46" s="1043">
        <f t="shared" si="14"/>
        <v>100</v>
      </c>
      <c r="X46" s="1072"/>
      <c r="Y46" s="3059"/>
      <c r="Z46" s="1046">
        <f t="shared" si="15"/>
        <v>111</v>
      </c>
      <c r="AA46" s="1046">
        <f t="shared" si="3"/>
        <v>1</v>
      </c>
      <c r="AB46" s="1046">
        <f t="shared" si="4"/>
        <v>1</v>
      </c>
      <c r="AC46" s="1046">
        <f t="shared" si="5"/>
        <v>1</v>
      </c>
    </row>
    <row r="47" spans="1:29" ht="14.4">
      <c r="A47" s="957" t="s">
        <v>1421</v>
      </c>
      <c r="B47" s="1212"/>
      <c r="C47" s="1213" t="s">
        <v>124</v>
      </c>
      <c r="D47" s="960"/>
      <c r="E47" s="1005"/>
      <c r="F47" s="1006"/>
      <c r="G47" s="1007"/>
      <c r="H47" s="1008"/>
      <c r="I47" s="1005"/>
      <c r="J47" s="1008"/>
      <c r="K47" s="1043"/>
      <c r="L47" s="1044"/>
      <c r="M47" s="967"/>
      <c r="N47" s="967"/>
      <c r="O47" s="967"/>
      <c r="P47" s="3048" t="str">
        <f>A47</f>
        <v>成交单价（元/平方米）</v>
      </c>
      <c r="Q47" s="3048"/>
      <c r="R47" s="3049">
        <f>E47</f>
        <v>0</v>
      </c>
      <c r="S47" s="3049"/>
      <c r="T47" s="3049">
        <f>G47</f>
        <v>0</v>
      </c>
      <c r="U47" s="3049"/>
      <c r="V47" s="3049">
        <f>I47</f>
        <v>0</v>
      </c>
      <c r="W47" s="3049"/>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045">
        <f>F48+H48+J48</f>
        <v>0</v>
      </c>
      <c r="L48" s="1044"/>
      <c r="M48" s="967"/>
      <c r="N48" s="967"/>
      <c r="O48" s="967"/>
      <c r="P48" s="3048" t="str">
        <f>A48</f>
        <v>比较价值（元/平方米）</v>
      </c>
      <c r="Q48" s="3048"/>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2"/>
      <c r="Y48" s="972"/>
      <c r="Z48" s="972"/>
      <c r="AA48" s="972"/>
      <c r="AB48" s="972"/>
      <c r="AC48" s="972"/>
    </row>
    <row r="49" spans="1:29" ht="14.4">
      <c r="A49" s="965" t="s">
        <v>1424</v>
      </c>
      <c r="B49" s="966"/>
      <c r="C49" s="896" t="e">
        <f>R49</f>
        <v>#DIV/0!</v>
      </c>
      <c r="D49" s="896"/>
      <c r="E49" s="896"/>
      <c r="F49" s="896"/>
      <c r="G49" s="896"/>
      <c r="H49" s="896"/>
      <c r="I49" s="896"/>
      <c r="J49" s="896"/>
      <c r="K49" s="1016"/>
      <c r="L49" s="1044"/>
      <c r="M49" s="967"/>
      <c r="N49" s="967"/>
      <c r="O49" s="967"/>
      <c r="P49" s="3060" t="str">
        <f>A49</f>
        <v>估价对象XX用房的比较价值（楼面单价，元/平方米）</v>
      </c>
      <c r="Q49" s="3061"/>
      <c r="R49" s="3062" t="e">
        <f>IF(F1="售价",ROUND(IF(D48="简单平均",AVERAGE(R48:V48),R48*F48+T48*H48+V48*J48),0),ROUND(IF(D48="简单平均",AVERAGE(R48:V48),R48*F48+T48*H48+V48*J48),1))</f>
        <v>#DIV/0!</v>
      </c>
      <c r="S49" s="3062"/>
      <c r="T49" s="3062"/>
      <c r="U49" s="3062"/>
      <c r="V49" s="3062"/>
      <c r="W49" s="3062"/>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1428</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1387</v>
      </c>
      <c r="B58" s="1216"/>
      <c r="C58" s="1082" t="str">
        <f>YEAR(C7)&amp;"-"&amp;MONTH(C7)</f>
        <v>2022-12</v>
      </c>
      <c r="D58" s="1112">
        <f>EDATE(C58,-1)</f>
        <v>44866</v>
      </c>
      <c r="E58" s="1112">
        <f t="shared" ref="E58:O58" si="16">EDATE(D58,-1)</f>
        <v>44835</v>
      </c>
      <c r="F58" s="1112">
        <f t="shared" si="16"/>
        <v>44805</v>
      </c>
      <c r="G58" s="1112">
        <f t="shared" si="16"/>
        <v>44774</v>
      </c>
      <c r="H58" s="1112">
        <f t="shared" si="16"/>
        <v>44743</v>
      </c>
      <c r="I58" s="1112">
        <f t="shared" si="16"/>
        <v>44713</v>
      </c>
      <c r="J58" s="1112">
        <f t="shared" si="16"/>
        <v>44682</v>
      </c>
      <c r="K58" s="1112">
        <f t="shared" si="16"/>
        <v>44652</v>
      </c>
      <c r="L58" s="1112">
        <f t="shared" si="16"/>
        <v>44621</v>
      </c>
      <c r="M58" s="1112">
        <f t="shared" si="16"/>
        <v>44593</v>
      </c>
      <c r="N58" s="1112">
        <f t="shared" si="16"/>
        <v>44562</v>
      </c>
      <c r="O58" s="1112">
        <f t="shared" si="16"/>
        <v>44531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1429</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1390</v>
      </c>
      <c r="B61" s="1091"/>
      <c r="C61" s="1092" t="s">
        <v>1391</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1430</v>
      </c>
      <c r="B63" s="1096" t="s">
        <v>1394</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1479</v>
      </c>
      <c r="D66" s="1102" t="s">
        <v>1479</v>
      </c>
      <c r="E66" s="1102" t="s">
        <v>1479</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1398</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1399</v>
      </c>
      <c r="B76" s="1096" t="s">
        <v>1400</v>
      </c>
      <c r="C76" s="1112" t="s">
        <v>1438</v>
      </c>
      <c r="D76" s="1112" t="s">
        <v>1439</v>
      </c>
      <c r="E76" s="1112" t="s">
        <v>1440</v>
      </c>
      <c r="F76" s="1112" t="s">
        <v>1441</v>
      </c>
      <c r="G76" s="1112" t="s">
        <v>1442</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1402</v>
      </c>
      <c r="C78" s="1113" t="s">
        <v>1438</v>
      </c>
      <c r="D78" s="1113" t="s">
        <v>1439</v>
      </c>
      <c r="E78" s="1113" t="s">
        <v>1440</v>
      </c>
      <c r="F78" s="1113" t="s">
        <v>1441</v>
      </c>
      <c r="G78" s="1113" t="s">
        <v>1442</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1403</v>
      </c>
      <c r="C80" s="1113" t="s">
        <v>1438</v>
      </c>
      <c r="D80" s="1113" t="s">
        <v>1439</v>
      </c>
      <c r="E80" s="1113" t="s">
        <v>1440</v>
      </c>
      <c r="F80" s="1113" t="s">
        <v>1441</v>
      </c>
      <c r="G80" s="1113" t="s">
        <v>1442</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1404</v>
      </c>
      <c r="C82" s="1061" t="s">
        <v>1443</v>
      </c>
      <c r="D82" s="1061" t="s">
        <v>1444</v>
      </c>
      <c r="E82" s="1061" t="s">
        <v>1445</v>
      </c>
      <c r="F82" s="1061" t="s">
        <v>1446</v>
      </c>
      <c r="G82" s="1061" t="s">
        <v>1447</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1405</v>
      </c>
      <c r="C84" s="1113" t="s">
        <v>1438</v>
      </c>
      <c r="D84" s="1113" t="s">
        <v>1439</v>
      </c>
      <c r="E84" s="1113" t="s">
        <v>1440</v>
      </c>
      <c r="F84" s="1113" t="s">
        <v>1441</v>
      </c>
      <c r="G84" s="1113" t="s">
        <v>1442</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1470</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1408</v>
      </c>
      <c r="B100" s="1096" t="s">
        <v>1474</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1411</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1412</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1414</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542</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1416</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1475</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1476</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1477</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1480</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1419</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1420</v>
      </c>
      <c r="C124" s="1113" t="s">
        <v>1438</v>
      </c>
      <c r="D124" s="1113" t="s">
        <v>1439</v>
      </c>
      <c r="E124" s="1113" t="s">
        <v>1440</v>
      </c>
      <c r="F124" s="1113" t="s">
        <v>1441</v>
      </c>
      <c r="G124" s="1113" t="s">
        <v>1442</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1481</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IF(C2="——",ROUND(C50*D3/10000,0),ROUND(C50*D3/10000,0)-D2)</f>
        <v>#DIV/0!</v>
      </c>
      <c r="C2" s="1203"/>
      <c r="D2" s="1313" t="e">
        <f ca="1">SUMIF(INDIRECT("'"&amp;F2&amp;"'"&amp;"!A:A"),"承租人权益价值",INDIRECT("'"&amp;F2&amp;"'"&amp;"!c:c"))</f>
        <v>#REF!</v>
      </c>
      <c r="E2" s="1221" t="s">
        <v>890</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IF(C2="——",C50,ROUND(B2*10000/D3,0))</f>
        <v>#DIV/0!</v>
      </c>
      <c r="C3" s="1204" t="s">
        <v>1373</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86" t="s">
        <v>1380</v>
      </c>
      <c r="Q4" s="3087"/>
      <c r="R4" s="3090" t="s">
        <v>1376</v>
      </c>
      <c r="S4" s="3091"/>
      <c r="T4" s="3090" t="s">
        <v>1377</v>
      </c>
      <c r="U4" s="3091"/>
      <c r="V4" s="3092" t="s">
        <v>1378</v>
      </c>
      <c r="W4" s="3092"/>
      <c r="X4" s="1321"/>
      <c r="Y4" s="3090" t="s">
        <v>1380</v>
      </c>
      <c r="Z4" s="3091"/>
      <c r="AA4" s="3082" t="s">
        <v>1376</v>
      </c>
      <c r="AB4" s="3082" t="s">
        <v>1377</v>
      </c>
      <c r="AC4" s="3083" t="s">
        <v>1378</v>
      </c>
    </row>
    <row r="5" spans="1:29">
      <c r="A5" s="893"/>
      <c r="B5" s="894"/>
      <c r="C5" s="3037" t="s">
        <v>1381</v>
      </c>
      <c r="D5" s="3038"/>
      <c r="E5" s="3039" t="s">
        <v>1382</v>
      </c>
      <c r="F5" s="3040"/>
      <c r="G5" s="3037" t="s">
        <v>1383</v>
      </c>
      <c r="H5" s="3038"/>
      <c r="I5" s="3037" t="s">
        <v>1384</v>
      </c>
      <c r="J5" s="3038"/>
      <c r="K5" s="1028"/>
      <c r="L5" s="1029"/>
      <c r="M5" s="967"/>
      <c r="N5" s="967"/>
      <c r="O5" s="967"/>
      <c r="P5" s="3088"/>
      <c r="Q5" s="3069"/>
      <c r="R5" s="3074"/>
      <c r="S5" s="3075"/>
      <c r="T5" s="3074"/>
      <c r="U5" s="3075"/>
      <c r="V5" s="3049"/>
      <c r="W5" s="3049"/>
      <c r="X5" s="1072"/>
      <c r="Y5" s="3074"/>
      <c r="Z5" s="3075"/>
      <c r="AA5" s="3064"/>
      <c r="AB5" s="3064"/>
      <c r="AC5" s="3084"/>
    </row>
    <row r="6" spans="1:29" ht="14.4">
      <c r="A6" s="895"/>
      <c r="B6" s="896"/>
      <c r="C6" s="3041" t="s">
        <v>1385</v>
      </c>
      <c r="D6" s="3042"/>
      <c r="E6" s="3043" t="s">
        <v>1385</v>
      </c>
      <c r="F6" s="3044"/>
      <c r="G6" s="3041" t="s">
        <v>1385</v>
      </c>
      <c r="H6" s="3042"/>
      <c r="I6" s="3041" t="s">
        <v>1385</v>
      </c>
      <c r="J6" s="3042"/>
      <c r="K6" s="1028" t="s">
        <v>1386</v>
      </c>
      <c r="L6" s="1029"/>
      <c r="M6" s="967"/>
      <c r="N6" s="967"/>
      <c r="O6" s="967"/>
      <c r="P6" s="3089"/>
      <c r="Q6" s="3071"/>
      <c r="R6" s="3074"/>
      <c r="S6" s="3075"/>
      <c r="T6" s="3076"/>
      <c r="U6" s="3077"/>
      <c r="V6" s="3049"/>
      <c r="W6" s="3049"/>
      <c r="X6" s="1072"/>
      <c r="Y6" s="3076"/>
      <c r="Z6" s="3077"/>
      <c r="AA6" s="3065"/>
      <c r="AB6" s="3065"/>
      <c r="AC6" s="3085"/>
    </row>
    <row r="7" spans="1:29" s="876" customFormat="1" ht="14.4">
      <c r="A7" s="899" t="s">
        <v>1387</v>
      </c>
      <c r="B7" s="900"/>
      <c r="C7" s="901">
        <f>'数据-取费表'!B2</f>
        <v>44904</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78"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323" t="e">
        <f>D7/J7</f>
        <v>#DIV/0!</v>
      </c>
    </row>
    <row r="8" spans="1:29" s="876" customFormat="1" ht="14.4">
      <c r="A8" s="899" t="s">
        <v>1390</v>
      </c>
      <c r="B8" s="900"/>
      <c r="C8" s="903" t="s">
        <v>1391</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78" t="s">
        <v>1392</v>
      </c>
      <c r="Q8" s="3047"/>
      <c r="R8" s="1056" t="s">
        <v>1389</v>
      </c>
      <c r="S8" s="1068">
        <f t="shared" si="0"/>
        <v>0</v>
      </c>
      <c r="T8" s="1056" t="s">
        <v>1389</v>
      </c>
      <c r="U8" s="1068">
        <f t="shared" si="1"/>
        <v>0</v>
      </c>
      <c r="V8" s="1056" t="s">
        <v>1389</v>
      </c>
      <c r="W8" s="1068">
        <f t="shared" si="2"/>
        <v>0</v>
      </c>
      <c r="X8" s="1073"/>
      <c r="Y8" s="3045" t="s">
        <v>1392</v>
      </c>
      <c r="Z8" s="3047"/>
      <c r="AA8" s="1076" t="e">
        <f t="shared" ref="AA8:AA47" si="3">D8/F8</f>
        <v>#DIV/0!</v>
      </c>
      <c r="AB8" s="1076" t="e">
        <f t="shared" ref="AB8:AB47" si="4">D8/H8</f>
        <v>#DIV/0!</v>
      </c>
      <c r="AC8" s="1323" t="e">
        <f t="shared" ref="AC8:AC47" si="5">D8/J8</f>
        <v>#DIV/0!</v>
      </c>
    </row>
    <row r="9" spans="1:29" s="876" customFormat="1" ht="14.4">
      <c r="A9" s="904" t="s">
        <v>1393</v>
      </c>
      <c r="B9" s="905" t="s">
        <v>1394</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50"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323">
        <f t="shared" si="5"/>
        <v>1</v>
      </c>
    </row>
    <row r="10" spans="1:29" s="877" customFormat="1" ht="28.8">
      <c r="A10" s="908"/>
      <c r="B10" s="909" t="s">
        <v>1397</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50"/>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323">
        <f t="shared" si="5"/>
        <v>1</v>
      </c>
    </row>
    <row r="11" spans="1:29" ht="15">
      <c r="A11" s="912"/>
      <c r="B11" s="909" t="s">
        <v>1398</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50"/>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50"/>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50"/>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50"/>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323">
        <f t="shared" si="5"/>
        <v>1</v>
      </c>
    </row>
    <row r="15" spans="1:29" ht="69">
      <c r="A15" s="923" t="s">
        <v>1399</v>
      </c>
      <c r="B15" s="924" t="s">
        <v>1482</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1" t="s">
        <v>1401</v>
      </c>
      <c r="Q15" s="1016" t="str">
        <f t="shared" si="6"/>
        <v>办公集聚程度</v>
      </c>
      <c r="R15" s="1011" t="s">
        <v>1389</v>
      </c>
      <c r="S15" s="1043">
        <f t="shared" si="0"/>
        <v>100</v>
      </c>
      <c r="T15" s="1011" t="s">
        <v>1389</v>
      </c>
      <c r="U15" s="1043">
        <f t="shared" si="1"/>
        <v>100</v>
      </c>
      <c r="V15" s="1011" t="s">
        <v>1389</v>
      </c>
      <c r="W15" s="1043">
        <f t="shared" si="2"/>
        <v>100</v>
      </c>
      <c r="X15" s="1072"/>
      <c r="Y15" s="3056" t="s">
        <v>1401</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2"/>
      <c r="Q16" s="1016"/>
      <c r="R16" s="1011"/>
      <c r="S16" s="1043"/>
      <c r="T16" s="1011"/>
      <c r="U16" s="1043"/>
      <c r="V16" s="1011"/>
      <c r="W16" s="1043"/>
      <c r="X16" s="1072"/>
      <c r="Y16" s="3057"/>
      <c r="Z16" s="1046"/>
      <c r="AA16" s="1046">
        <v>1</v>
      </c>
      <c r="AB16" s="1046">
        <v>1</v>
      </c>
      <c r="AC16" s="1324">
        <v>1</v>
      </c>
    </row>
    <row r="17" spans="1:29" ht="82.8">
      <c r="A17" s="912"/>
      <c r="B17" s="930" t="s">
        <v>1402</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2"/>
      <c r="Q17" s="1016" t="str">
        <f>B17</f>
        <v>交通便捷度</v>
      </c>
      <c r="R17" s="1011" t="s">
        <v>1389</v>
      </c>
      <c r="S17" s="1043">
        <f>F17</f>
        <v>100</v>
      </c>
      <c r="T17" s="1011" t="s">
        <v>1389</v>
      </c>
      <c r="U17" s="1043">
        <f>H17</f>
        <v>100</v>
      </c>
      <c r="V17" s="1011" t="s">
        <v>1389</v>
      </c>
      <c r="W17" s="1043">
        <f>J17</f>
        <v>100</v>
      </c>
      <c r="X17" s="1072"/>
      <c r="Y17" s="3057"/>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2"/>
      <c r="Q18" s="1016"/>
      <c r="R18" s="1011"/>
      <c r="S18" s="1043"/>
      <c r="T18" s="1011"/>
      <c r="U18" s="1043"/>
      <c r="V18" s="1011"/>
      <c r="W18" s="1043"/>
      <c r="X18" s="1072"/>
      <c r="Y18" s="3057"/>
      <c r="Z18" s="1046"/>
      <c r="AA18" s="1046">
        <v>1</v>
      </c>
      <c r="AB18" s="1046">
        <v>1</v>
      </c>
      <c r="AC18" s="1324">
        <v>1</v>
      </c>
    </row>
    <row r="19" spans="1:29" ht="41.4">
      <c r="A19" s="912"/>
      <c r="B19" s="930" t="s">
        <v>1403</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2"/>
      <c r="Q19" s="1016" t="str">
        <f>B19</f>
        <v>公共配套设施</v>
      </c>
      <c r="R19" s="1011" t="s">
        <v>1389</v>
      </c>
      <c r="S19" s="1043">
        <f>F19</f>
        <v>100</v>
      </c>
      <c r="T19" s="1011" t="s">
        <v>1389</v>
      </c>
      <c r="U19" s="1043">
        <f>H19</f>
        <v>100</v>
      </c>
      <c r="V19" s="1011" t="s">
        <v>1389</v>
      </c>
      <c r="W19" s="1043">
        <f>J19</f>
        <v>100</v>
      </c>
      <c r="X19" s="1072"/>
      <c r="Y19" s="3057"/>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2"/>
      <c r="Q20" s="1016"/>
      <c r="R20" s="1011"/>
      <c r="S20" s="1043"/>
      <c r="T20" s="1011"/>
      <c r="U20" s="1043"/>
      <c r="V20" s="1011"/>
      <c r="W20" s="1043"/>
      <c r="X20" s="1072"/>
      <c r="Y20" s="3057"/>
      <c r="Z20" s="1046"/>
      <c r="AA20" s="1046">
        <v>1</v>
      </c>
      <c r="AB20" s="1046">
        <v>1</v>
      </c>
      <c r="AC20" s="1324">
        <v>1</v>
      </c>
    </row>
    <row r="21" spans="1:29" ht="27.6">
      <c r="A21" s="912"/>
      <c r="B21" s="935" t="s">
        <v>1404</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2"/>
      <c r="Q21" s="1016" t="str">
        <f>B21</f>
        <v>基础设施水平</v>
      </c>
      <c r="R21" s="1011" t="s">
        <v>1389</v>
      </c>
      <c r="S21" s="1043">
        <f>F21</f>
        <v>100</v>
      </c>
      <c r="T21" s="1011" t="s">
        <v>1389</v>
      </c>
      <c r="U21" s="1043">
        <f>H21</f>
        <v>100</v>
      </c>
      <c r="V21" s="1011" t="s">
        <v>1389</v>
      </c>
      <c r="W21" s="1043">
        <f>J21</f>
        <v>100</v>
      </c>
      <c r="X21" s="1072"/>
      <c r="Y21" s="3057"/>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2"/>
      <c r="Q22" s="1016"/>
      <c r="R22" s="1011"/>
      <c r="S22" s="1043"/>
      <c r="T22" s="1011"/>
      <c r="U22" s="1043"/>
      <c r="V22" s="1011"/>
      <c r="W22" s="1043"/>
      <c r="X22" s="1072"/>
      <c r="Y22" s="3057"/>
      <c r="Z22" s="1046"/>
      <c r="AA22" s="1046">
        <v>1</v>
      </c>
      <c r="AB22" s="1046">
        <v>1</v>
      </c>
      <c r="AC22" s="1324">
        <v>1</v>
      </c>
    </row>
    <row r="23" spans="1:29" ht="55.2">
      <c r="A23" s="912"/>
      <c r="B23" s="930" t="s">
        <v>1483</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2"/>
      <c r="Q23" s="1016" t="str">
        <f>B23</f>
        <v>环境质量</v>
      </c>
      <c r="R23" s="1011" t="s">
        <v>1389</v>
      </c>
      <c r="S23" s="1043">
        <f>F23</f>
        <v>100</v>
      </c>
      <c r="T23" s="1011" t="s">
        <v>1389</v>
      </c>
      <c r="U23" s="1043">
        <f>H23</f>
        <v>100</v>
      </c>
      <c r="V23" s="1011" t="s">
        <v>1389</v>
      </c>
      <c r="W23" s="1043">
        <f>J23</f>
        <v>100</v>
      </c>
      <c r="X23" s="1072"/>
      <c r="Y23" s="3057"/>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2"/>
      <c r="Q24" s="1016"/>
      <c r="R24" s="1011"/>
      <c r="S24" s="1043"/>
      <c r="T24" s="1011"/>
      <c r="U24" s="1043"/>
      <c r="V24" s="1011"/>
      <c r="W24" s="1043"/>
      <c r="X24" s="1072"/>
      <c r="Y24" s="3057"/>
      <c r="Z24" s="1046"/>
      <c r="AA24" s="1046">
        <v>1</v>
      </c>
      <c r="AB24" s="1046">
        <v>1</v>
      </c>
      <c r="AC24" s="1324">
        <v>1</v>
      </c>
    </row>
    <row r="25" spans="1:29" ht="28.8">
      <c r="A25" s="893"/>
      <c r="B25" s="930" t="s">
        <v>1484</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2"/>
      <c r="Q25" s="1016" t="str">
        <f>B25</f>
        <v>毗邻道路的类型与等级</v>
      </c>
      <c r="R25" s="1011" t="s">
        <v>1389</v>
      </c>
      <c r="S25" s="1043">
        <f>F25</f>
        <v>100</v>
      </c>
      <c r="T25" s="1011" t="s">
        <v>1389</v>
      </c>
      <c r="U25" s="1043">
        <f>H25</f>
        <v>100</v>
      </c>
      <c r="V25" s="1011" t="s">
        <v>1389</v>
      </c>
      <c r="W25" s="1043">
        <f>J25</f>
        <v>100</v>
      </c>
      <c r="X25" s="1072"/>
      <c r="Y25" s="3057"/>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2"/>
      <c r="Q26" s="1016"/>
      <c r="R26" s="1011"/>
      <c r="S26" s="1043"/>
      <c r="T26" s="1011"/>
      <c r="U26" s="1043"/>
      <c r="V26" s="1011"/>
      <c r="W26" s="1043"/>
      <c r="X26" s="1072"/>
      <c r="Y26" s="3057"/>
      <c r="Z26" s="1046"/>
      <c r="AA26" s="1046">
        <v>1</v>
      </c>
      <c r="AB26" s="1046">
        <v>1</v>
      </c>
      <c r="AC26" s="1324">
        <v>1</v>
      </c>
    </row>
    <row r="27" spans="1:29" ht="15">
      <c r="A27" s="912"/>
      <c r="B27" s="933" t="s">
        <v>1473</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2"/>
      <c r="Q27" s="1016" t="str">
        <f t="shared" ref="Q27:Q47" si="11">B27</f>
        <v>楼层</v>
      </c>
      <c r="R27" s="1011" t="s">
        <v>1389</v>
      </c>
      <c r="S27" s="1043">
        <f>F27</f>
        <v>100</v>
      </c>
      <c r="T27" s="1011" t="s">
        <v>1389</v>
      </c>
      <c r="U27" s="1043">
        <f>H27</f>
        <v>100</v>
      </c>
      <c r="V27" s="1011" t="s">
        <v>1389</v>
      </c>
      <c r="W27" s="1043">
        <f>J27</f>
        <v>100</v>
      </c>
      <c r="X27" s="1072"/>
      <c r="Y27" s="3057"/>
      <c r="Z27" s="1046" t="str">
        <f>Q27</f>
        <v>楼层</v>
      </c>
      <c r="AA27" s="1046">
        <f t="shared" si="3"/>
        <v>1</v>
      </c>
      <c r="AB27" s="1046">
        <f t="shared" si="4"/>
        <v>1</v>
      </c>
      <c r="AC27" s="1324">
        <f t="shared" si="5"/>
        <v>1</v>
      </c>
    </row>
    <row r="28" spans="1:29" s="876" customFormat="1" ht="15">
      <c r="A28" s="914"/>
      <c r="B28" s="930" t="s">
        <v>1407</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2"/>
      <c r="Q28" s="1069" t="str">
        <f t="shared" si="11"/>
        <v>朝向</v>
      </c>
      <c r="R28" s="1056" t="s">
        <v>1389</v>
      </c>
      <c r="S28" s="1068">
        <f>F28</f>
        <v>100</v>
      </c>
      <c r="T28" s="1056" t="s">
        <v>1389</v>
      </c>
      <c r="U28" s="1068">
        <f>H28</f>
        <v>100</v>
      </c>
      <c r="V28" s="1056" t="s">
        <v>1389</v>
      </c>
      <c r="W28" s="1068">
        <f>J28</f>
        <v>100</v>
      </c>
      <c r="X28" s="1073"/>
      <c r="Y28" s="3057"/>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2"/>
      <c r="Q29" s="1016">
        <f t="shared" si="11"/>
        <v>111</v>
      </c>
      <c r="R29" s="1011" t="s">
        <v>1389</v>
      </c>
      <c r="S29" s="1043">
        <f t="shared" ref="S29:S47" si="12">F29</f>
        <v>100</v>
      </c>
      <c r="T29" s="1011" t="s">
        <v>1389</v>
      </c>
      <c r="U29" s="1043">
        <f t="shared" ref="U29:U47" si="13">H29</f>
        <v>100</v>
      </c>
      <c r="V29" s="1011" t="s">
        <v>1389</v>
      </c>
      <c r="W29" s="1043">
        <f t="shared" ref="W29:W47" si="14">J29</f>
        <v>100</v>
      </c>
      <c r="X29" s="1072"/>
      <c r="Y29" s="3057"/>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2"/>
      <c r="Q30" s="1016">
        <f t="shared" si="11"/>
        <v>111</v>
      </c>
      <c r="R30" s="1011" t="s">
        <v>1389</v>
      </c>
      <c r="S30" s="1043">
        <f t="shared" si="12"/>
        <v>100</v>
      </c>
      <c r="T30" s="1011" t="s">
        <v>1389</v>
      </c>
      <c r="U30" s="1043">
        <f t="shared" si="13"/>
        <v>100</v>
      </c>
      <c r="V30" s="1011" t="s">
        <v>1389</v>
      </c>
      <c r="W30" s="1043">
        <f t="shared" si="14"/>
        <v>100</v>
      </c>
      <c r="X30" s="1072"/>
      <c r="Y30" s="3057"/>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2"/>
      <c r="Q31" s="1016">
        <f t="shared" si="11"/>
        <v>111</v>
      </c>
      <c r="R31" s="1011" t="s">
        <v>1389</v>
      </c>
      <c r="S31" s="1043">
        <f t="shared" si="12"/>
        <v>100</v>
      </c>
      <c r="T31" s="1011" t="s">
        <v>1389</v>
      </c>
      <c r="U31" s="1043">
        <f t="shared" si="13"/>
        <v>100</v>
      </c>
      <c r="V31" s="1011" t="s">
        <v>1389</v>
      </c>
      <c r="W31" s="1043">
        <f t="shared" si="14"/>
        <v>100</v>
      </c>
      <c r="X31" s="1072"/>
      <c r="Y31" s="3057"/>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2"/>
      <c r="Q32" s="1016">
        <f t="shared" si="11"/>
        <v>111</v>
      </c>
      <c r="R32" s="1011" t="s">
        <v>1389</v>
      </c>
      <c r="S32" s="1043">
        <f t="shared" si="12"/>
        <v>100</v>
      </c>
      <c r="T32" s="1011" t="s">
        <v>1389</v>
      </c>
      <c r="U32" s="1043">
        <f t="shared" si="13"/>
        <v>100</v>
      </c>
      <c r="V32" s="1011" t="s">
        <v>1389</v>
      </c>
      <c r="W32" s="1043">
        <f t="shared" si="14"/>
        <v>100</v>
      </c>
      <c r="X32" s="1072"/>
      <c r="Y32" s="3057"/>
      <c r="Z32" s="1046">
        <f t="shared" si="15"/>
        <v>111</v>
      </c>
      <c r="AA32" s="1046">
        <f t="shared" si="3"/>
        <v>1</v>
      </c>
      <c r="AB32" s="1046">
        <f t="shared" si="4"/>
        <v>1</v>
      </c>
      <c r="AC32" s="1324">
        <f t="shared" si="5"/>
        <v>1</v>
      </c>
    </row>
    <row r="33" spans="1:29" ht="15">
      <c r="A33" s="923" t="s">
        <v>1408</v>
      </c>
      <c r="B33" s="905" t="s">
        <v>1409</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3" t="s">
        <v>1410</v>
      </c>
      <c r="Q33" s="1016" t="str">
        <f t="shared" si="11"/>
        <v>建筑类型</v>
      </c>
      <c r="R33" s="1011" t="s">
        <v>1389</v>
      </c>
      <c r="S33" s="1043">
        <f t="shared" si="12"/>
        <v>100</v>
      </c>
      <c r="T33" s="1011" t="s">
        <v>1389</v>
      </c>
      <c r="U33" s="1043">
        <f t="shared" si="13"/>
        <v>100</v>
      </c>
      <c r="V33" s="1011" t="s">
        <v>1389</v>
      </c>
      <c r="W33" s="1043">
        <f t="shared" si="14"/>
        <v>100</v>
      </c>
      <c r="X33" s="1072"/>
      <c r="Y33" s="3058" t="s">
        <v>1410</v>
      </c>
      <c r="Z33" s="1046" t="str">
        <f t="shared" si="15"/>
        <v>建筑类型</v>
      </c>
      <c r="AA33" s="1046">
        <f t="shared" si="3"/>
        <v>1</v>
      </c>
      <c r="AB33" s="1046">
        <f t="shared" si="4"/>
        <v>1</v>
      </c>
      <c r="AC33" s="1324">
        <f t="shared" si="5"/>
        <v>1</v>
      </c>
    </row>
    <row r="34" spans="1:29" s="878" customFormat="1" ht="15">
      <c r="A34" s="955"/>
      <c r="B34" s="909" t="s">
        <v>1411</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4"/>
      <c r="Q34" s="1231" t="str">
        <f t="shared" si="11"/>
        <v>项目建筑规模</v>
      </c>
      <c r="R34" s="1070" t="s">
        <v>1389</v>
      </c>
      <c r="S34" s="1071" t="e">
        <f t="shared" si="12"/>
        <v>#N/A</v>
      </c>
      <c r="T34" s="1070" t="s">
        <v>1389</v>
      </c>
      <c r="U34" s="1071" t="e">
        <f t="shared" si="13"/>
        <v>#N/A</v>
      </c>
      <c r="V34" s="1070" t="s">
        <v>1389</v>
      </c>
      <c r="W34" s="1071" t="e">
        <f t="shared" si="14"/>
        <v>#N/A</v>
      </c>
      <c r="X34" s="1074"/>
      <c r="Y34" s="3058"/>
      <c r="Z34" s="1077" t="str">
        <f t="shared" si="15"/>
        <v>项目建筑规模</v>
      </c>
      <c r="AA34" s="1046" t="e">
        <f t="shared" si="3"/>
        <v>#N/A</v>
      </c>
      <c r="AB34" s="1046" t="e">
        <f t="shared" si="4"/>
        <v>#N/A</v>
      </c>
      <c r="AC34" s="1324" t="e">
        <f t="shared" si="5"/>
        <v>#N/A</v>
      </c>
    </row>
    <row r="35" spans="1:29" ht="15">
      <c r="A35" s="950"/>
      <c r="B35" s="909" t="s">
        <v>1412</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4"/>
      <c r="Q35" s="1016" t="str">
        <f t="shared" si="11"/>
        <v>建筑结构</v>
      </c>
      <c r="R35" s="1011" t="s">
        <v>1389</v>
      </c>
      <c r="S35" s="1043">
        <f t="shared" si="12"/>
        <v>100</v>
      </c>
      <c r="T35" s="1011" t="s">
        <v>1389</v>
      </c>
      <c r="U35" s="1043">
        <f t="shared" si="13"/>
        <v>100</v>
      </c>
      <c r="V35" s="1011" t="s">
        <v>1389</v>
      </c>
      <c r="W35" s="1043">
        <f t="shared" si="14"/>
        <v>100</v>
      </c>
      <c r="X35" s="1072"/>
      <c r="Y35" s="3058"/>
      <c r="Z35" s="1046" t="str">
        <f t="shared" si="15"/>
        <v>建筑结构</v>
      </c>
      <c r="AA35" s="1046">
        <f t="shared" si="3"/>
        <v>1</v>
      </c>
      <c r="AB35" s="1046">
        <f t="shared" si="4"/>
        <v>1</v>
      </c>
      <c r="AC35" s="1324">
        <f t="shared" si="5"/>
        <v>1</v>
      </c>
    </row>
    <row r="36" spans="1:29" ht="15">
      <c r="A36" s="950"/>
      <c r="B36" s="909" t="s">
        <v>1414</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4"/>
      <c r="Q36" s="1016" t="str">
        <f t="shared" si="11"/>
        <v>公共部分装修</v>
      </c>
      <c r="R36" s="1011" t="s">
        <v>1389</v>
      </c>
      <c r="S36" s="1043">
        <f t="shared" si="12"/>
        <v>100</v>
      </c>
      <c r="T36" s="1011" t="s">
        <v>1389</v>
      </c>
      <c r="U36" s="1043">
        <f t="shared" si="13"/>
        <v>100</v>
      </c>
      <c r="V36" s="1011" t="s">
        <v>1389</v>
      </c>
      <c r="W36" s="1043">
        <f t="shared" si="14"/>
        <v>100</v>
      </c>
      <c r="X36" s="1072"/>
      <c r="Y36" s="3058"/>
      <c r="Z36" s="1046" t="str">
        <f t="shared" si="15"/>
        <v>公共部分装修</v>
      </c>
      <c r="AA36" s="1046">
        <f t="shared" si="3"/>
        <v>1</v>
      </c>
      <c r="AB36" s="1046">
        <f t="shared" si="4"/>
        <v>1</v>
      </c>
      <c r="AC36" s="1324">
        <f t="shared" si="5"/>
        <v>1</v>
      </c>
    </row>
    <row r="37" spans="1:29" ht="15">
      <c r="A37" s="950"/>
      <c r="B37" s="909" t="s">
        <v>542</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4"/>
      <c r="Q37" s="1016" t="str">
        <f t="shared" si="11"/>
        <v>成新度</v>
      </c>
      <c r="R37" s="1011" t="s">
        <v>1389</v>
      </c>
      <c r="S37" s="1043" t="e">
        <f t="shared" si="12"/>
        <v>#N/A</v>
      </c>
      <c r="T37" s="1011" t="s">
        <v>1389</v>
      </c>
      <c r="U37" s="1043" t="e">
        <f t="shared" si="13"/>
        <v>#N/A</v>
      </c>
      <c r="V37" s="1011" t="s">
        <v>1389</v>
      </c>
      <c r="W37" s="1043" t="e">
        <f t="shared" si="14"/>
        <v>#N/A</v>
      </c>
      <c r="X37" s="1072"/>
      <c r="Y37" s="3058"/>
      <c r="Z37" s="1046" t="str">
        <f t="shared" si="15"/>
        <v>成新度</v>
      </c>
      <c r="AA37" s="1046" t="e">
        <f t="shared" si="3"/>
        <v>#N/A</v>
      </c>
      <c r="AB37" s="1046" t="e">
        <f t="shared" si="4"/>
        <v>#N/A</v>
      </c>
      <c r="AC37" s="1324" t="e">
        <f t="shared" si="5"/>
        <v>#N/A</v>
      </c>
    </row>
    <row r="38" spans="1:29" s="876" customFormat="1" ht="15">
      <c r="A38" s="952"/>
      <c r="B38" s="909" t="s">
        <v>1485</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4"/>
      <c r="Q38" s="1069" t="str">
        <f t="shared" si="11"/>
        <v>写字楼等级</v>
      </c>
      <c r="R38" s="1056" t="s">
        <v>1389</v>
      </c>
      <c r="S38" s="1068">
        <f t="shared" si="12"/>
        <v>100</v>
      </c>
      <c r="T38" s="1056" t="s">
        <v>1389</v>
      </c>
      <c r="U38" s="1068">
        <f t="shared" si="13"/>
        <v>100</v>
      </c>
      <c r="V38" s="1056" t="s">
        <v>1389</v>
      </c>
      <c r="W38" s="1068">
        <f t="shared" si="14"/>
        <v>100</v>
      </c>
      <c r="X38" s="1073"/>
      <c r="Y38" s="3058"/>
      <c r="Z38" s="1076" t="str">
        <f t="shared" si="15"/>
        <v>写字楼等级</v>
      </c>
      <c r="AA38" s="1076">
        <f t="shared" si="3"/>
        <v>1</v>
      </c>
      <c r="AB38" s="1076">
        <f t="shared" si="4"/>
        <v>1</v>
      </c>
      <c r="AC38" s="1323">
        <f t="shared" si="5"/>
        <v>1</v>
      </c>
    </row>
    <row r="39" spans="1:29" ht="15">
      <c r="A39" s="950"/>
      <c r="B39" s="909" t="s">
        <v>1415</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4" t="s">
        <v>1410</v>
      </c>
      <c r="Q39" s="1016" t="str">
        <f t="shared" si="11"/>
        <v>物业管理</v>
      </c>
      <c r="R39" s="1011" t="s">
        <v>1389</v>
      </c>
      <c r="S39" s="1043">
        <f t="shared" si="12"/>
        <v>100</v>
      </c>
      <c r="T39" s="1011" t="s">
        <v>1389</v>
      </c>
      <c r="U39" s="1043">
        <f t="shared" si="13"/>
        <v>100</v>
      </c>
      <c r="V39" s="1011" t="s">
        <v>1389</v>
      </c>
      <c r="W39" s="1043">
        <f t="shared" si="14"/>
        <v>100</v>
      </c>
      <c r="X39" s="1072"/>
      <c r="Y39" s="3058" t="s">
        <v>1410</v>
      </c>
      <c r="Z39" s="1046" t="str">
        <f t="shared" si="15"/>
        <v>物业管理</v>
      </c>
      <c r="AA39" s="1046">
        <f t="shared" si="3"/>
        <v>1</v>
      </c>
      <c r="AB39" s="1046">
        <f t="shared" si="4"/>
        <v>1</v>
      </c>
      <c r="AC39" s="1324">
        <f t="shared" si="5"/>
        <v>1</v>
      </c>
    </row>
    <row r="40" spans="1:29" ht="15">
      <c r="A40" s="950"/>
      <c r="B40" s="909" t="s">
        <v>1416</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4"/>
      <c r="Q40" s="1016" t="str">
        <f t="shared" si="11"/>
        <v>市政基础设施</v>
      </c>
      <c r="R40" s="1011" t="s">
        <v>1389</v>
      </c>
      <c r="S40" s="1043">
        <f t="shared" si="12"/>
        <v>100</v>
      </c>
      <c r="T40" s="1011" t="s">
        <v>1389</v>
      </c>
      <c r="U40" s="1043">
        <f t="shared" si="13"/>
        <v>100</v>
      </c>
      <c r="V40" s="1011" t="s">
        <v>1389</v>
      </c>
      <c r="W40" s="1043">
        <f t="shared" si="14"/>
        <v>100</v>
      </c>
      <c r="X40" s="1072"/>
      <c r="Y40" s="3058"/>
      <c r="Z40" s="1046" t="str">
        <f t="shared" si="15"/>
        <v>市政基础设施</v>
      </c>
      <c r="AA40" s="1046">
        <f t="shared" si="3"/>
        <v>1</v>
      </c>
      <c r="AB40" s="1046">
        <f t="shared" si="4"/>
        <v>1</v>
      </c>
      <c r="AC40" s="1324">
        <f t="shared" si="5"/>
        <v>1</v>
      </c>
    </row>
    <row r="41" spans="1:29" ht="15">
      <c r="A41" s="950"/>
      <c r="B41" s="909" t="s">
        <v>1476</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4"/>
      <c r="Q41" s="1016" t="str">
        <f t="shared" si="11"/>
        <v>层高</v>
      </c>
      <c r="R41" s="1011" t="s">
        <v>1389</v>
      </c>
      <c r="S41" s="1043">
        <f t="shared" si="12"/>
        <v>100</v>
      </c>
      <c r="T41" s="1011" t="s">
        <v>1389</v>
      </c>
      <c r="U41" s="1043">
        <f t="shared" si="13"/>
        <v>100</v>
      </c>
      <c r="V41" s="1011" t="s">
        <v>1389</v>
      </c>
      <c r="W41" s="1043">
        <f t="shared" si="14"/>
        <v>100</v>
      </c>
      <c r="X41" s="1072"/>
      <c r="Y41" s="3058"/>
      <c r="Z41" s="1046" t="str">
        <f t="shared" si="15"/>
        <v>层高</v>
      </c>
      <c r="AA41" s="1046">
        <f t="shared" si="3"/>
        <v>1</v>
      </c>
      <c r="AB41" s="1046">
        <f t="shared" si="4"/>
        <v>1</v>
      </c>
      <c r="AC41" s="1324">
        <f t="shared" si="5"/>
        <v>1</v>
      </c>
    </row>
    <row r="42" spans="1:29" s="878" customFormat="1" ht="15">
      <c r="A42" s="955"/>
      <c r="B42" s="1064" t="s">
        <v>1486</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4"/>
      <c r="Q42" s="1231" t="str">
        <f t="shared" si="11"/>
        <v>单套建筑面积</v>
      </c>
      <c r="R42" s="1070" t="s">
        <v>1389</v>
      </c>
      <c r="S42" s="1071">
        <f t="shared" si="12"/>
        <v>100</v>
      </c>
      <c r="T42" s="1070" t="s">
        <v>1389</v>
      </c>
      <c r="U42" s="1071">
        <f t="shared" si="13"/>
        <v>100</v>
      </c>
      <c r="V42" s="1070" t="s">
        <v>1389</v>
      </c>
      <c r="W42" s="1071">
        <f t="shared" si="14"/>
        <v>100</v>
      </c>
      <c r="X42" s="1074"/>
      <c r="Y42" s="3058"/>
      <c r="Z42" s="1077" t="str">
        <f t="shared" si="15"/>
        <v>单套建筑面积</v>
      </c>
      <c r="AA42" s="1046">
        <f t="shared" si="3"/>
        <v>1</v>
      </c>
      <c r="AB42" s="1046">
        <f t="shared" si="4"/>
        <v>1</v>
      </c>
      <c r="AC42" s="1324">
        <f t="shared" si="5"/>
        <v>1</v>
      </c>
    </row>
    <row r="43" spans="1:29" ht="15">
      <c r="A43" s="950"/>
      <c r="B43" s="909" t="s">
        <v>1419</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4"/>
      <c r="Q43" s="1016" t="str">
        <f t="shared" si="11"/>
        <v>内部装修</v>
      </c>
      <c r="R43" s="1011" t="s">
        <v>1389</v>
      </c>
      <c r="S43" s="1043">
        <f t="shared" si="12"/>
        <v>100</v>
      </c>
      <c r="T43" s="1011" t="s">
        <v>1389</v>
      </c>
      <c r="U43" s="1043">
        <f t="shared" si="13"/>
        <v>100</v>
      </c>
      <c r="V43" s="1011" t="s">
        <v>1389</v>
      </c>
      <c r="W43" s="1043">
        <f t="shared" si="14"/>
        <v>100</v>
      </c>
      <c r="X43" s="1072"/>
      <c r="Y43" s="3058"/>
      <c r="Z43" s="1046" t="str">
        <f t="shared" si="15"/>
        <v>内部装修</v>
      </c>
      <c r="AA43" s="1046">
        <f t="shared" si="3"/>
        <v>1</v>
      </c>
      <c r="AB43" s="1046">
        <f t="shared" si="4"/>
        <v>1</v>
      </c>
      <c r="AC43" s="1324">
        <f t="shared" si="5"/>
        <v>1</v>
      </c>
    </row>
    <row r="44" spans="1:29" ht="28.8">
      <c r="A44" s="950"/>
      <c r="B44" s="909" t="s">
        <v>1420</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4"/>
      <c r="Q44" s="1016" t="str">
        <f t="shared" si="11"/>
        <v>内部装修维护情况</v>
      </c>
      <c r="R44" s="1011" t="s">
        <v>1389</v>
      </c>
      <c r="S44" s="1043">
        <f t="shared" si="12"/>
        <v>100</v>
      </c>
      <c r="T44" s="1011" t="s">
        <v>1389</v>
      </c>
      <c r="U44" s="1043">
        <f t="shared" si="13"/>
        <v>100</v>
      </c>
      <c r="V44" s="1011" t="s">
        <v>1389</v>
      </c>
      <c r="W44" s="1043">
        <f t="shared" si="14"/>
        <v>100</v>
      </c>
      <c r="X44" s="1072"/>
      <c r="Y44" s="3058"/>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4"/>
      <c r="Q45" s="1069">
        <f t="shared" si="11"/>
        <v>111</v>
      </c>
      <c r="R45" s="1056" t="s">
        <v>1389</v>
      </c>
      <c r="S45" s="1068">
        <f t="shared" si="12"/>
        <v>100</v>
      </c>
      <c r="T45" s="1056" t="s">
        <v>1389</v>
      </c>
      <c r="U45" s="1068">
        <f t="shared" si="13"/>
        <v>100</v>
      </c>
      <c r="V45" s="1056" t="s">
        <v>1389</v>
      </c>
      <c r="W45" s="1068">
        <f t="shared" si="14"/>
        <v>100</v>
      </c>
      <c r="X45" s="1073"/>
      <c r="Y45" s="3058"/>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4"/>
      <c r="Q46" s="1016">
        <f t="shared" si="11"/>
        <v>111</v>
      </c>
      <c r="R46" s="1011" t="s">
        <v>1389</v>
      </c>
      <c r="S46" s="1043">
        <f t="shared" si="12"/>
        <v>100</v>
      </c>
      <c r="T46" s="1011" t="s">
        <v>1389</v>
      </c>
      <c r="U46" s="1043">
        <f t="shared" si="13"/>
        <v>100</v>
      </c>
      <c r="V46" s="1011" t="s">
        <v>1389</v>
      </c>
      <c r="W46" s="1043">
        <f t="shared" si="14"/>
        <v>100</v>
      </c>
      <c r="X46" s="1072"/>
      <c r="Y46" s="3058"/>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5"/>
      <c r="Q47" s="1016">
        <f t="shared" si="11"/>
        <v>111</v>
      </c>
      <c r="R47" s="1011" t="s">
        <v>1389</v>
      </c>
      <c r="S47" s="1043">
        <f t="shared" si="12"/>
        <v>100</v>
      </c>
      <c r="T47" s="1011" t="s">
        <v>1389</v>
      </c>
      <c r="U47" s="1043">
        <f t="shared" si="13"/>
        <v>100</v>
      </c>
      <c r="V47" s="1011" t="s">
        <v>1389</v>
      </c>
      <c r="W47" s="1043">
        <f t="shared" si="14"/>
        <v>100</v>
      </c>
      <c r="X47" s="1072"/>
      <c r="Y47" s="3059"/>
      <c r="Z47" s="1046">
        <f t="shared" si="15"/>
        <v>111</v>
      </c>
      <c r="AA47" s="1046">
        <f t="shared" si="3"/>
        <v>1</v>
      </c>
      <c r="AB47" s="1046">
        <f t="shared" si="4"/>
        <v>1</v>
      </c>
      <c r="AC47" s="1324">
        <f t="shared" si="5"/>
        <v>1</v>
      </c>
    </row>
    <row r="48" spans="1:29" ht="14.4">
      <c r="A48" s="957" t="s">
        <v>1421</v>
      </c>
      <c r="B48" s="1212"/>
      <c r="C48" s="1213" t="s">
        <v>124</v>
      </c>
      <c r="D48" s="960"/>
      <c r="E48" s="1005"/>
      <c r="F48" s="1006"/>
      <c r="G48" s="1007"/>
      <c r="H48" s="1008"/>
      <c r="I48" s="1005"/>
      <c r="J48" s="1008"/>
      <c r="K48" s="1043"/>
      <c r="L48" s="1044"/>
      <c r="M48" s="967"/>
      <c r="N48" s="967"/>
      <c r="O48" s="967"/>
      <c r="P48" s="3050" t="str">
        <f>A48</f>
        <v>成交单价（元/平方米）</v>
      </c>
      <c r="Q48" s="3048"/>
      <c r="R48" s="3049">
        <f>E48</f>
        <v>0</v>
      </c>
      <c r="S48" s="3049"/>
      <c r="T48" s="3049">
        <f>G48</f>
        <v>0</v>
      </c>
      <c r="U48" s="3049"/>
      <c r="V48" s="3049">
        <f>I48</f>
        <v>0</v>
      </c>
      <c r="W48" s="3049"/>
      <c r="X48" s="972"/>
      <c r="Y48" s="1078"/>
      <c r="Z48" s="972"/>
      <c r="AA48" s="972"/>
      <c r="AB48" s="972"/>
      <c r="AC48" s="927"/>
    </row>
    <row r="49" spans="1:29" ht="14.4">
      <c r="A49" s="961" t="s">
        <v>1422</v>
      </c>
      <c r="B49" s="1214"/>
      <c r="C49" s="1010" t="e">
        <f>R50</f>
        <v>#DIV/0!</v>
      </c>
      <c r="D49" s="964" t="s">
        <v>1423</v>
      </c>
      <c r="E49" s="963" t="e">
        <f>R49</f>
        <v>#DIV/0!</v>
      </c>
      <c r="F49" s="1009"/>
      <c r="G49" s="1010" t="e">
        <f>T49</f>
        <v>#DIV/0!</v>
      </c>
      <c r="H49" s="1009"/>
      <c r="I49" s="963" t="e">
        <f>V49</f>
        <v>#DIV/0!</v>
      </c>
      <c r="J49" s="1009"/>
      <c r="K49" s="1045">
        <f>F49+H49+J49</f>
        <v>0</v>
      </c>
      <c r="L49" s="1044"/>
      <c r="M49" s="967"/>
      <c r="N49" s="967"/>
      <c r="O49" s="967"/>
      <c r="P49" s="3050" t="str">
        <f>A49</f>
        <v>比较价值（元/平方米）</v>
      </c>
      <c r="Q49" s="3048"/>
      <c r="R49" s="3049" t="e">
        <f>IF(F1="售价",ROUND(PRODUCT(R48,AA7:AA47),0),ROUND(PRODUCT(R48,AA7:AA47),1))</f>
        <v>#DIV/0!</v>
      </c>
      <c r="S49" s="3049"/>
      <c r="T49" s="3049" t="e">
        <f>IF(F1="售价",ROUND(PRODUCT(T48,AB7:AB47),0),ROUND(PRODUCT(T48,AB7:AB47),1))</f>
        <v>#DIV/0!</v>
      </c>
      <c r="U49" s="3049"/>
      <c r="V49" s="3049" t="e">
        <f>IF(F1="售价",ROUND(PRODUCT(V48,AC7:AC47),0),ROUND(PRODUCT(V48,AC7:AC47),1))</f>
        <v>#DIV/0!</v>
      </c>
      <c r="W49" s="3049"/>
      <c r="X49" s="972"/>
      <c r="Y49" s="972"/>
      <c r="Z49" s="972"/>
      <c r="AA49" s="972"/>
      <c r="AB49" s="972"/>
      <c r="AC49" s="927"/>
    </row>
    <row r="50" spans="1:29" ht="14.4">
      <c r="A50" s="965" t="s">
        <v>1424</v>
      </c>
      <c r="B50" s="966"/>
      <c r="C50" s="896" t="e">
        <f>R50</f>
        <v>#DIV/0!</v>
      </c>
      <c r="D50" s="896"/>
      <c r="E50" s="896"/>
      <c r="F50" s="896"/>
      <c r="G50" s="896"/>
      <c r="H50" s="896"/>
      <c r="I50" s="896"/>
      <c r="J50" s="896"/>
      <c r="K50" s="1016"/>
      <c r="L50" s="1044"/>
      <c r="M50" s="967"/>
      <c r="N50" s="967"/>
      <c r="O50" s="967"/>
      <c r="P50" s="3079" t="str">
        <f>A50</f>
        <v>估价对象XX用房的比较价值（楼面单价，元/平方米）</v>
      </c>
      <c r="Q50" s="3080"/>
      <c r="R50" s="3081" t="e">
        <f>IF(F1="售价",ROUND(IF(D49="简单平均",AVERAGE(R49:V49),R49*F49+T49*H49+V49*J49),0),ROUND(IF(D49="简单平均",AVERAGE(R49:V49),R49*F49+T49*H49+V49*J49),1))</f>
        <v>#DIV/0!</v>
      </c>
      <c r="S50" s="3081"/>
      <c r="T50" s="3081"/>
      <c r="U50" s="3081"/>
      <c r="V50" s="3081"/>
      <c r="W50" s="3081"/>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1425</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1426</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1427</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1428</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1387</v>
      </c>
      <c r="B59" s="1216"/>
      <c r="C59" s="1082" t="str">
        <f>YEAR(C7)&amp;"-"&amp;MONTH(C7)</f>
        <v>2022-12</v>
      </c>
      <c r="D59" s="1112">
        <f>EDATE(C59,-1)</f>
        <v>44866</v>
      </c>
      <c r="E59" s="1112">
        <f>EDATE(D59,-1)</f>
        <v>44835</v>
      </c>
      <c r="F59" s="1112">
        <f t="shared" ref="F59:O59" si="16">EDATE(E59,-1)</f>
        <v>44805</v>
      </c>
      <c r="G59" s="1112">
        <f t="shared" si="16"/>
        <v>44774</v>
      </c>
      <c r="H59" s="1112">
        <f t="shared" si="16"/>
        <v>44743</v>
      </c>
      <c r="I59" s="1112">
        <f t="shared" si="16"/>
        <v>44713</v>
      </c>
      <c r="J59" s="1112">
        <f t="shared" si="16"/>
        <v>44682</v>
      </c>
      <c r="K59" s="1112">
        <f t="shared" si="16"/>
        <v>44652</v>
      </c>
      <c r="L59" s="1112">
        <f t="shared" si="16"/>
        <v>44621</v>
      </c>
      <c r="M59" s="1112">
        <f t="shared" si="16"/>
        <v>44593</v>
      </c>
      <c r="N59" s="1112">
        <f t="shared" si="16"/>
        <v>44562</v>
      </c>
      <c r="O59" s="1112">
        <f t="shared" si="16"/>
        <v>44531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1429</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1390</v>
      </c>
      <c r="B62" s="1091"/>
      <c r="C62" s="1092" t="s">
        <v>1391</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1430</v>
      </c>
      <c r="B64" s="1096" t="s">
        <v>1394</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1397</v>
      </c>
      <c r="C66" s="1100" t="s">
        <v>1431</v>
      </c>
      <c r="D66" s="1100" t="s">
        <v>1432</v>
      </c>
      <c r="E66" s="1100" t="s">
        <v>1433</v>
      </c>
      <c r="F66" s="1100" t="s">
        <v>1434</v>
      </c>
      <c r="G66" s="1100" t="s">
        <v>1435</v>
      </c>
      <c r="H66" s="1100" t="s">
        <v>1436</v>
      </c>
      <c r="I66" s="1100" t="s">
        <v>1437</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1479</v>
      </c>
      <c r="D67" s="1102" t="s">
        <v>1479</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1398</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1399</v>
      </c>
      <c r="B77" s="1096" t="s">
        <v>1482</v>
      </c>
      <c r="C77" s="1112" t="s">
        <v>1438</v>
      </c>
      <c r="D77" s="1112" t="s">
        <v>1439</v>
      </c>
      <c r="E77" s="1112" t="s">
        <v>1440</v>
      </c>
      <c r="F77" s="1112" t="s">
        <v>1441</v>
      </c>
      <c r="G77" s="1112" t="s">
        <v>1442</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1402</v>
      </c>
      <c r="C79" s="1113" t="s">
        <v>1438</v>
      </c>
      <c r="D79" s="1113" t="s">
        <v>1439</v>
      </c>
      <c r="E79" s="1113" t="s">
        <v>1440</v>
      </c>
      <c r="F79" s="1113" t="s">
        <v>1441</v>
      </c>
      <c r="G79" s="1113" t="s">
        <v>1442</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1403</v>
      </c>
      <c r="C81" s="1113" t="s">
        <v>1438</v>
      </c>
      <c r="D81" s="1113" t="s">
        <v>1439</v>
      </c>
      <c r="E81" s="1113" t="s">
        <v>1440</v>
      </c>
      <c r="F81" s="1113" t="s">
        <v>1441</v>
      </c>
      <c r="G81" s="1113" t="s">
        <v>1442</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1404</v>
      </c>
      <c r="C83" s="1061" t="s">
        <v>1443</v>
      </c>
      <c r="D83" s="1061" t="s">
        <v>1444</v>
      </c>
      <c r="E83" s="1061" t="s">
        <v>1445</v>
      </c>
      <c r="F83" s="1061" t="s">
        <v>1446</v>
      </c>
      <c r="G83" s="1061" t="s">
        <v>1447</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1483</v>
      </c>
      <c r="C85" s="1113" t="s">
        <v>1438</v>
      </c>
      <c r="D85" s="1113" t="s">
        <v>1439</v>
      </c>
      <c r="E85" s="1113" t="s">
        <v>1440</v>
      </c>
      <c r="F85" s="1113" t="s">
        <v>1441</v>
      </c>
      <c r="G85" s="1113" t="s">
        <v>1442</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1484</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1408</v>
      </c>
      <c r="B101" s="1096" t="s">
        <v>1409</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1411</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1412</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1414</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542</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1485</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1415</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1416</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1487</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1477</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1419</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1420</v>
      </c>
      <c r="C125" s="1113" t="s">
        <v>1438</v>
      </c>
      <c r="D125" s="1113" t="s">
        <v>1439</v>
      </c>
      <c r="E125" s="1113" t="s">
        <v>1440</v>
      </c>
      <c r="F125" s="1113" t="s">
        <v>1441</v>
      </c>
      <c r="G125" s="1113" t="s">
        <v>1442</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1488</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IF(C2="——",ROUND(C43*D3/10000,0),ROUND(C43*D3/10000,0)-D2)</f>
        <v>#DIV/0!</v>
      </c>
      <c r="C2" s="1203"/>
      <c r="D2" s="1173" t="e">
        <f ca="1">SUMIF(INDIRECT("'"&amp;F2&amp;"'"&amp;"!A:A"),"承租人权益价值",INDIRECT("'"&amp;F2&amp;"'"&amp;"!c:c"))</f>
        <v>#REF!</v>
      </c>
      <c r="E2" s="1221" t="s">
        <v>890</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891</v>
      </c>
      <c r="B3" s="888" t="e">
        <f ca="1">IF(C2="——",C43,ROUND(B2*10000/D3,0))</f>
        <v>#DIV/0!</v>
      </c>
      <c r="C3" s="1204" t="s">
        <v>1373</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1374</v>
      </c>
      <c r="B4" s="891"/>
      <c r="C4" s="3033" t="s">
        <v>1375</v>
      </c>
      <c r="D4" s="3034"/>
      <c r="E4" s="3035" t="s">
        <v>1376</v>
      </c>
      <c r="F4" s="3036"/>
      <c r="G4" s="3033" t="s">
        <v>1377</v>
      </c>
      <c r="H4" s="3034"/>
      <c r="I4" s="3033" t="s">
        <v>1378</v>
      </c>
      <c r="J4" s="3034"/>
      <c r="K4" s="1028" t="s">
        <v>1379</v>
      </c>
      <c r="L4" s="1289"/>
      <c r="M4" s="985"/>
      <c r="N4" s="985"/>
      <c r="O4" s="985"/>
      <c r="P4" s="3066" t="s">
        <v>1380</v>
      </c>
      <c r="Q4" s="3067"/>
      <c r="R4" s="3072" t="s">
        <v>1376</v>
      </c>
      <c r="S4" s="3073"/>
      <c r="T4" s="3072" t="s">
        <v>1377</v>
      </c>
      <c r="U4" s="3073"/>
      <c r="V4" s="3049" t="s">
        <v>1378</v>
      </c>
      <c r="W4" s="3049"/>
      <c r="X4" s="1072"/>
      <c r="Y4" s="3072" t="s">
        <v>1380</v>
      </c>
      <c r="Z4" s="3073"/>
      <c r="AA4" s="3063" t="s">
        <v>1376</v>
      </c>
      <c r="AB4" s="3064" t="s">
        <v>1377</v>
      </c>
      <c r="AC4" s="3063" t="s">
        <v>1378</v>
      </c>
    </row>
    <row r="5" spans="1:29">
      <c r="A5" s="893"/>
      <c r="B5" s="894"/>
      <c r="C5" s="3037" t="s">
        <v>1381</v>
      </c>
      <c r="D5" s="3038"/>
      <c r="E5" s="3039" t="s">
        <v>1382</v>
      </c>
      <c r="F5" s="3040"/>
      <c r="G5" s="3037" t="s">
        <v>1383</v>
      </c>
      <c r="H5" s="3038"/>
      <c r="I5" s="3037" t="s">
        <v>1384</v>
      </c>
      <c r="J5" s="3038"/>
      <c r="K5" s="1028"/>
      <c r="L5" s="1289"/>
      <c r="M5" s="985"/>
      <c r="N5" s="985"/>
      <c r="O5" s="985"/>
      <c r="P5" s="3068"/>
      <c r="Q5" s="3069"/>
      <c r="R5" s="3074"/>
      <c r="S5" s="3075"/>
      <c r="T5" s="3074"/>
      <c r="U5" s="3075"/>
      <c r="V5" s="3049"/>
      <c r="W5" s="3049"/>
      <c r="X5" s="1072"/>
      <c r="Y5" s="3074"/>
      <c r="Z5" s="3075"/>
      <c r="AA5" s="3064"/>
      <c r="AB5" s="3064"/>
      <c r="AC5" s="3064"/>
    </row>
    <row r="6" spans="1:29" ht="14.4">
      <c r="A6" s="895"/>
      <c r="B6" s="896"/>
      <c r="C6" s="3041" t="s">
        <v>1385</v>
      </c>
      <c r="D6" s="3042"/>
      <c r="E6" s="3043" t="s">
        <v>1385</v>
      </c>
      <c r="F6" s="3044"/>
      <c r="G6" s="3041" t="s">
        <v>1385</v>
      </c>
      <c r="H6" s="3042"/>
      <c r="I6" s="3041" t="s">
        <v>1385</v>
      </c>
      <c r="J6" s="3042"/>
      <c r="K6" s="1028" t="s">
        <v>1386</v>
      </c>
      <c r="L6" s="1289"/>
      <c r="M6" s="985"/>
      <c r="N6" s="985"/>
      <c r="O6" s="985"/>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45"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40" si="3">D8/F8</f>
        <v>#DIV/0!</v>
      </c>
      <c r="AB8" s="1076" t="e">
        <f t="shared" ref="AB8:AB40" si="4">D8/H8</f>
        <v>#DIV/0!</v>
      </c>
      <c r="AC8" s="1076" t="e">
        <f t="shared" ref="AC8:AC40" si="5">D8/J8</f>
        <v>#DIV/0!</v>
      </c>
    </row>
    <row r="9" spans="1:29" s="876" customFormat="1" ht="14.4">
      <c r="A9" s="904" t="s">
        <v>1393</v>
      </c>
      <c r="B9" s="905" t="s">
        <v>1394</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48"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48"/>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076">
        <f t="shared" si="5"/>
        <v>1</v>
      </c>
    </row>
    <row r="11" spans="1:29" ht="15">
      <c r="A11" s="912"/>
      <c r="B11" s="909" t="s">
        <v>1398</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48"/>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48"/>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48"/>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48"/>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076">
        <f t="shared" si="5"/>
        <v>1</v>
      </c>
    </row>
    <row r="15" spans="1:29" ht="69">
      <c r="A15" s="923" t="s">
        <v>1399</v>
      </c>
      <c r="B15" s="1174" t="s">
        <v>1489</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56" t="s">
        <v>1401</v>
      </c>
      <c r="Q15" s="1016" t="str">
        <f t="shared" si="6"/>
        <v>产业集聚程度</v>
      </c>
      <c r="R15" s="1011" t="s">
        <v>1389</v>
      </c>
      <c r="S15" s="1043">
        <f t="shared" si="0"/>
        <v>100</v>
      </c>
      <c r="T15" s="1011" t="s">
        <v>1389</v>
      </c>
      <c r="U15" s="1043">
        <f t="shared" si="1"/>
        <v>100</v>
      </c>
      <c r="V15" s="1011" t="s">
        <v>1389</v>
      </c>
      <c r="W15" s="1043">
        <f t="shared" si="2"/>
        <v>100</v>
      </c>
      <c r="X15" s="1072"/>
      <c r="Y15" s="3056" t="s">
        <v>1401</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57"/>
      <c r="Q16" s="1016"/>
      <c r="R16" s="1011"/>
      <c r="S16" s="1043"/>
      <c r="T16" s="1011"/>
      <c r="U16" s="1043"/>
      <c r="V16" s="1011"/>
      <c r="W16" s="1043"/>
      <c r="X16" s="1072"/>
      <c r="Y16" s="3057"/>
      <c r="Z16" s="1046"/>
      <c r="AA16" s="1046">
        <v>1</v>
      </c>
      <c r="AB16" s="1046">
        <v>1</v>
      </c>
      <c r="AC16" s="1046">
        <v>1</v>
      </c>
    </row>
    <row r="17" spans="1:29" ht="96.6">
      <c r="A17" s="912"/>
      <c r="B17" s="1175" t="s">
        <v>1402</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57"/>
      <c r="Q17" s="1016" t="str">
        <f>B17</f>
        <v>交通便捷度</v>
      </c>
      <c r="R17" s="1011" t="s">
        <v>1389</v>
      </c>
      <c r="S17" s="1043">
        <f>F17</f>
        <v>100</v>
      </c>
      <c r="T17" s="1011" t="s">
        <v>1389</v>
      </c>
      <c r="U17" s="1043">
        <f>H17</f>
        <v>100</v>
      </c>
      <c r="V17" s="1011" t="s">
        <v>1389</v>
      </c>
      <c r="W17" s="1043">
        <f>J17</f>
        <v>100</v>
      </c>
      <c r="X17" s="1072"/>
      <c r="Y17" s="3057"/>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57"/>
      <c r="Q18" s="1016"/>
      <c r="R18" s="1011"/>
      <c r="S18" s="1043"/>
      <c r="T18" s="1011"/>
      <c r="U18" s="1043"/>
      <c r="V18" s="1011"/>
      <c r="W18" s="1043"/>
      <c r="X18" s="1072"/>
      <c r="Y18" s="3057"/>
      <c r="Z18" s="1046"/>
      <c r="AA18" s="1046">
        <v>1</v>
      </c>
      <c r="AB18" s="1046">
        <v>1</v>
      </c>
      <c r="AC18" s="1046">
        <v>1</v>
      </c>
    </row>
    <row r="19" spans="1:29" ht="41.4">
      <c r="A19" s="912"/>
      <c r="B19" s="1175" t="s">
        <v>1403</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57"/>
      <c r="Q19" s="1016" t="str">
        <f>B19</f>
        <v>公共配套设施</v>
      </c>
      <c r="R19" s="1011" t="s">
        <v>1389</v>
      </c>
      <c r="S19" s="1043">
        <f>F19</f>
        <v>100</v>
      </c>
      <c r="T19" s="1011" t="s">
        <v>1389</v>
      </c>
      <c r="U19" s="1043">
        <f>H19</f>
        <v>100</v>
      </c>
      <c r="V19" s="1011" t="s">
        <v>1389</v>
      </c>
      <c r="W19" s="1043">
        <f>J19</f>
        <v>100</v>
      </c>
      <c r="X19" s="1072"/>
      <c r="Y19" s="3057"/>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57"/>
      <c r="Q20" s="1016"/>
      <c r="R20" s="1011"/>
      <c r="S20" s="1043"/>
      <c r="T20" s="1011"/>
      <c r="U20" s="1043"/>
      <c r="V20" s="1011"/>
      <c r="W20" s="1043"/>
      <c r="X20" s="1072"/>
      <c r="Y20" s="3057"/>
      <c r="Z20" s="1046"/>
      <c r="AA20" s="1046">
        <v>1</v>
      </c>
      <c r="AB20" s="1046">
        <v>1</v>
      </c>
      <c r="AC20" s="1046">
        <v>1</v>
      </c>
    </row>
    <row r="21" spans="1:29" ht="41.4">
      <c r="A21" s="912"/>
      <c r="B21" s="1177" t="s">
        <v>1404</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57"/>
      <c r="Q21" s="1016" t="str">
        <f>B21</f>
        <v>基础设施水平</v>
      </c>
      <c r="R21" s="1011" t="s">
        <v>1389</v>
      </c>
      <c r="S21" s="1043">
        <f>F21</f>
        <v>100</v>
      </c>
      <c r="T21" s="1011" t="s">
        <v>1389</v>
      </c>
      <c r="U21" s="1043">
        <f>H21</f>
        <v>100</v>
      </c>
      <c r="V21" s="1011" t="s">
        <v>1389</v>
      </c>
      <c r="W21" s="1043">
        <f>J21</f>
        <v>100</v>
      </c>
      <c r="X21" s="1072"/>
      <c r="Y21" s="3057"/>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57"/>
      <c r="Q22" s="1016"/>
      <c r="R22" s="1011"/>
      <c r="S22" s="1043"/>
      <c r="T22" s="1011"/>
      <c r="U22" s="1043"/>
      <c r="V22" s="1011"/>
      <c r="W22" s="1043"/>
      <c r="X22" s="1072"/>
      <c r="Y22" s="3057"/>
      <c r="Z22" s="1046"/>
      <c r="AA22" s="1046">
        <v>1</v>
      </c>
      <c r="AB22" s="1046">
        <v>1</v>
      </c>
      <c r="AC22" s="1046">
        <v>1</v>
      </c>
    </row>
    <row r="23" spans="1:29" ht="82.8">
      <c r="A23" s="912"/>
      <c r="B23" s="1175" t="s">
        <v>1483</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57"/>
      <c r="Q23" s="1016" t="str">
        <f>B23</f>
        <v>环境质量</v>
      </c>
      <c r="R23" s="1011" t="s">
        <v>1389</v>
      </c>
      <c r="S23" s="1043">
        <f>F23</f>
        <v>100</v>
      </c>
      <c r="T23" s="1011" t="s">
        <v>1389</v>
      </c>
      <c r="U23" s="1043">
        <f>H23</f>
        <v>100</v>
      </c>
      <c r="V23" s="1011" t="s">
        <v>1389</v>
      </c>
      <c r="W23" s="1043">
        <f>J23</f>
        <v>100</v>
      </c>
      <c r="X23" s="1072"/>
      <c r="Y23" s="3057"/>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57"/>
      <c r="Q24" s="1016"/>
      <c r="R24" s="1011"/>
      <c r="S24" s="1043"/>
      <c r="T24" s="1011"/>
      <c r="U24" s="1043"/>
      <c r="V24" s="1011"/>
      <c r="W24" s="1043"/>
      <c r="X24" s="1072"/>
      <c r="Y24" s="3057"/>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57"/>
      <c r="Q25" s="1016">
        <f>B25</f>
        <v>111</v>
      </c>
      <c r="R25" s="1011" t="s">
        <v>1389</v>
      </c>
      <c r="S25" s="1043">
        <f>F25</f>
        <v>100</v>
      </c>
      <c r="T25" s="1011" t="s">
        <v>1389</v>
      </c>
      <c r="U25" s="1043">
        <f>H25</f>
        <v>100</v>
      </c>
      <c r="V25" s="1011" t="s">
        <v>1389</v>
      </c>
      <c r="W25" s="1043">
        <f>J25</f>
        <v>100</v>
      </c>
      <c r="X25" s="1072"/>
      <c r="Y25" s="3057"/>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57"/>
      <c r="Q26" s="1016">
        <f t="shared" ref="Q26:Q40" si="11">B26</f>
        <v>111</v>
      </c>
      <c r="R26" s="1011" t="s">
        <v>1389</v>
      </c>
      <c r="S26" s="1043">
        <f>F26</f>
        <v>100</v>
      </c>
      <c r="T26" s="1011" t="s">
        <v>1389</v>
      </c>
      <c r="U26" s="1043">
        <f>H26</f>
        <v>100</v>
      </c>
      <c r="V26" s="1011" t="s">
        <v>1389</v>
      </c>
      <c r="W26" s="1043">
        <f>J26</f>
        <v>100</v>
      </c>
      <c r="X26" s="1072"/>
      <c r="Y26" s="3057"/>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57"/>
      <c r="Q27" s="1069">
        <f t="shared" si="11"/>
        <v>111</v>
      </c>
      <c r="R27" s="1056" t="s">
        <v>1389</v>
      </c>
      <c r="S27" s="1068">
        <f>F27</f>
        <v>100</v>
      </c>
      <c r="T27" s="1056" t="s">
        <v>1389</v>
      </c>
      <c r="U27" s="1068">
        <f>H27</f>
        <v>100</v>
      </c>
      <c r="V27" s="1056" t="s">
        <v>1389</v>
      </c>
      <c r="W27" s="1068">
        <f>J27</f>
        <v>100</v>
      </c>
      <c r="X27" s="1073"/>
      <c r="Y27" s="3057"/>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57"/>
      <c r="Q28" s="1016">
        <f t="shared" si="11"/>
        <v>111</v>
      </c>
      <c r="R28" s="1011" t="s">
        <v>1389</v>
      </c>
      <c r="S28" s="1043">
        <f t="shared" ref="S28:S40" si="12">F28</f>
        <v>100</v>
      </c>
      <c r="T28" s="1011" t="s">
        <v>1389</v>
      </c>
      <c r="U28" s="1043">
        <f t="shared" ref="U28:U40" si="13">H28</f>
        <v>100</v>
      </c>
      <c r="V28" s="1011" t="s">
        <v>1389</v>
      </c>
      <c r="W28" s="1043">
        <f t="shared" ref="W28:W40" si="14">J28</f>
        <v>100</v>
      </c>
      <c r="X28" s="1072"/>
      <c r="Y28" s="3057"/>
      <c r="Z28" s="1046">
        <f t="shared" ref="Z28:Z40" si="15">Q28</f>
        <v>111</v>
      </c>
      <c r="AA28" s="1046">
        <f t="shared" si="3"/>
        <v>1</v>
      </c>
      <c r="AB28" s="1046">
        <f t="shared" si="4"/>
        <v>1</v>
      </c>
      <c r="AC28" s="1046">
        <f t="shared" si="5"/>
        <v>1</v>
      </c>
    </row>
    <row r="29" spans="1:29" ht="30">
      <c r="A29" s="1208" t="s">
        <v>1408</v>
      </c>
      <c r="B29" s="905" t="s">
        <v>1409</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3" t="s">
        <v>1410</v>
      </c>
      <c r="Q29" s="1016" t="str">
        <f t="shared" si="11"/>
        <v>建筑类型</v>
      </c>
      <c r="R29" s="1011" t="s">
        <v>1389</v>
      </c>
      <c r="S29" s="1043">
        <f t="shared" si="12"/>
        <v>100</v>
      </c>
      <c r="T29" s="1011" t="s">
        <v>1389</v>
      </c>
      <c r="U29" s="1043">
        <f t="shared" si="13"/>
        <v>100</v>
      </c>
      <c r="V29" s="1011" t="s">
        <v>1389</v>
      </c>
      <c r="W29" s="1043">
        <f t="shared" si="14"/>
        <v>100</v>
      </c>
      <c r="X29" s="1072"/>
      <c r="Y29" s="3058" t="s">
        <v>1410</v>
      </c>
      <c r="Z29" s="1046" t="str">
        <f t="shared" si="15"/>
        <v>建筑类型</v>
      </c>
      <c r="AA29" s="1046">
        <f t="shared" si="3"/>
        <v>1</v>
      </c>
      <c r="AB29" s="1046">
        <f t="shared" si="4"/>
        <v>1</v>
      </c>
      <c r="AC29" s="1046">
        <f t="shared" si="5"/>
        <v>1</v>
      </c>
    </row>
    <row r="30" spans="1:29" s="878" customFormat="1" ht="15">
      <c r="A30" s="955"/>
      <c r="B30" s="909" t="s">
        <v>1411</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58"/>
      <c r="Q30" s="1231" t="str">
        <f t="shared" si="11"/>
        <v>项目建筑规模</v>
      </c>
      <c r="R30" s="1070" t="s">
        <v>1389</v>
      </c>
      <c r="S30" s="1071" t="e">
        <f t="shared" si="12"/>
        <v>#N/A</v>
      </c>
      <c r="T30" s="1070" t="s">
        <v>1389</v>
      </c>
      <c r="U30" s="1071" t="e">
        <f t="shared" si="13"/>
        <v>#N/A</v>
      </c>
      <c r="V30" s="1070" t="s">
        <v>1389</v>
      </c>
      <c r="W30" s="1071" t="e">
        <f t="shared" si="14"/>
        <v>#N/A</v>
      </c>
      <c r="X30" s="1074"/>
      <c r="Y30" s="3058"/>
      <c r="Z30" s="1077" t="str">
        <f t="shared" si="15"/>
        <v>项目建筑规模</v>
      </c>
      <c r="AA30" s="1046" t="e">
        <f t="shared" si="3"/>
        <v>#N/A</v>
      </c>
      <c r="AB30" s="1046" t="e">
        <f t="shared" si="4"/>
        <v>#N/A</v>
      </c>
      <c r="AC30" s="1046" t="e">
        <f t="shared" si="5"/>
        <v>#N/A</v>
      </c>
    </row>
    <row r="31" spans="1:29" ht="15">
      <c r="A31" s="950"/>
      <c r="B31" s="909" t="s">
        <v>1412</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58"/>
      <c r="Q31" s="1016" t="str">
        <f t="shared" si="11"/>
        <v>建筑结构</v>
      </c>
      <c r="R31" s="1011" t="s">
        <v>1389</v>
      </c>
      <c r="S31" s="1043">
        <f t="shared" si="12"/>
        <v>100</v>
      </c>
      <c r="T31" s="1011" t="s">
        <v>1389</v>
      </c>
      <c r="U31" s="1043">
        <f t="shared" si="13"/>
        <v>100</v>
      </c>
      <c r="V31" s="1011" t="s">
        <v>1389</v>
      </c>
      <c r="W31" s="1043">
        <f t="shared" si="14"/>
        <v>100</v>
      </c>
      <c r="X31" s="1072"/>
      <c r="Y31" s="3058"/>
      <c r="Z31" s="1046" t="str">
        <f t="shared" si="15"/>
        <v>建筑结构</v>
      </c>
      <c r="AA31" s="1046">
        <f t="shared" si="3"/>
        <v>1</v>
      </c>
      <c r="AB31" s="1046">
        <f t="shared" si="4"/>
        <v>1</v>
      </c>
      <c r="AC31" s="1046">
        <f t="shared" si="5"/>
        <v>1</v>
      </c>
    </row>
    <row r="32" spans="1:29" ht="15">
      <c r="A32" s="950"/>
      <c r="B32" s="909" t="s">
        <v>1414</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58"/>
      <c r="Q32" s="1016" t="str">
        <f t="shared" si="11"/>
        <v>公共部分装修</v>
      </c>
      <c r="R32" s="1011" t="s">
        <v>1389</v>
      </c>
      <c r="S32" s="1043">
        <f t="shared" si="12"/>
        <v>100</v>
      </c>
      <c r="T32" s="1011" t="s">
        <v>1389</v>
      </c>
      <c r="U32" s="1043">
        <f t="shared" si="13"/>
        <v>100</v>
      </c>
      <c r="V32" s="1011" t="s">
        <v>1389</v>
      </c>
      <c r="W32" s="1043">
        <f t="shared" si="14"/>
        <v>100</v>
      </c>
      <c r="X32" s="1072"/>
      <c r="Y32" s="3058"/>
      <c r="Z32" s="1046" t="str">
        <f t="shared" si="15"/>
        <v>公共部分装修</v>
      </c>
      <c r="AA32" s="1046">
        <f t="shared" si="3"/>
        <v>1</v>
      </c>
      <c r="AB32" s="1046">
        <f t="shared" si="4"/>
        <v>1</v>
      </c>
      <c r="AC32" s="1046">
        <f t="shared" si="5"/>
        <v>1</v>
      </c>
    </row>
    <row r="33" spans="1:29" ht="15">
      <c r="A33" s="950"/>
      <c r="B33" s="909" t="s">
        <v>542</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58"/>
      <c r="Q33" s="1016" t="str">
        <f t="shared" si="11"/>
        <v>成新度</v>
      </c>
      <c r="R33" s="1011" t="s">
        <v>1389</v>
      </c>
      <c r="S33" s="1043" t="e">
        <f t="shared" si="12"/>
        <v>#N/A</v>
      </c>
      <c r="T33" s="1011" t="s">
        <v>1389</v>
      </c>
      <c r="U33" s="1043" t="e">
        <f t="shared" si="13"/>
        <v>#N/A</v>
      </c>
      <c r="V33" s="1011" t="s">
        <v>1389</v>
      </c>
      <c r="W33" s="1043" t="e">
        <f t="shared" si="14"/>
        <v>#N/A</v>
      </c>
      <c r="X33" s="1072"/>
      <c r="Y33" s="3058"/>
      <c r="Z33" s="1046" t="str">
        <f t="shared" si="15"/>
        <v>成新度</v>
      </c>
      <c r="AA33" s="1046" t="e">
        <f t="shared" si="3"/>
        <v>#N/A</v>
      </c>
      <c r="AB33" s="1046" t="e">
        <f t="shared" si="4"/>
        <v>#N/A</v>
      </c>
      <c r="AC33" s="1046" t="e">
        <f t="shared" si="5"/>
        <v>#N/A</v>
      </c>
    </row>
    <row r="34" spans="1:29" s="876" customFormat="1" ht="15">
      <c r="A34" s="952"/>
      <c r="B34" s="909" t="s">
        <v>1415</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58"/>
      <c r="Q34" s="1069" t="str">
        <f t="shared" si="11"/>
        <v>物业管理</v>
      </c>
      <c r="R34" s="1056" t="s">
        <v>1389</v>
      </c>
      <c r="S34" s="1068">
        <f t="shared" si="12"/>
        <v>100</v>
      </c>
      <c r="T34" s="1056" t="s">
        <v>1389</v>
      </c>
      <c r="U34" s="1068">
        <f t="shared" si="13"/>
        <v>100</v>
      </c>
      <c r="V34" s="1056" t="s">
        <v>1389</v>
      </c>
      <c r="W34" s="1068">
        <f t="shared" si="14"/>
        <v>100</v>
      </c>
      <c r="X34" s="1073"/>
      <c r="Y34" s="3058"/>
      <c r="Z34" s="1076" t="str">
        <f t="shared" si="15"/>
        <v>物业管理</v>
      </c>
      <c r="AA34" s="1076">
        <f t="shared" si="3"/>
        <v>1</v>
      </c>
      <c r="AB34" s="1076">
        <f t="shared" si="4"/>
        <v>1</v>
      </c>
      <c r="AC34" s="1076">
        <f t="shared" si="5"/>
        <v>1</v>
      </c>
    </row>
    <row r="35" spans="1:29" ht="15">
      <c r="A35" s="950"/>
      <c r="B35" s="909" t="s">
        <v>1416</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58" t="s">
        <v>1410</v>
      </c>
      <c r="Q35" s="1016" t="str">
        <f t="shared" si="11"/>
        <v>市政基础设施</v>
      </c>
      <c r="R35" s="1011" t="s">
        <v>1389</v>
      </c>
      <c r="S35" s="1043">
        <f t="shared" si="12"/>
        <v>100</v>
      </c>
      <c r="T35" s="1011" t="s">
        <v>1389</v>
      </c>
      <c r="U35" s="1043">
        <f t="shared" si="13"/>
        <v>100</v>
      </c>
      <c r="V35" s="1011" t="s">
        <v>1389</v>
      </c>
      <c r="W35" s="1043">
        <f t="shared" si="14"/>
        <v>100</v>
      </c>
      <c r="X35" s="1072"/>
      <c r="Y35" s="3058" t="s">
        <v>1410</v>
      </c>
      <c r="Z35" s="1046" t="str">
        <f t="shared" si="15"/>
        <v>市政基础设施</v>
      </c>
      <c r="AA35" s="1046">
        <f t="shared" si="3"/>
        <v>1</v>
      </c>
      <c r="AB35" s="1046">
        <f t="shared" si="4"/>
        <v>1</v>
      </c>
      <c r="AC35" s="1046">
        <f t="shared" si="5"/>
        <v>1</v>
      </c>
    </row>
    <row r="36" spans="1:29" ht="15">
      <c r="A36" s="950"/>
      <c r="B36" s="909" t="s">
        <v>1419</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58"/>
      <c r="Q36" s="1016" t="str">
        <f t="shared" si="11"/>
        <v>内部装修</v>
      </c>
      <c r="R36" s="1011" t="s">
        <v>1389</v>
      </c>
      <c r="S36" s="1043">
        <f t="shared" si="12"/>
        <v>100</v>
      </c>
      <c r="T36" s="1011" t="s">
        <v>1389</v>
      </c>
      <c r="U36" s="1043">
        <f t="shared" si="13"/>
        <v>100</v>
      </c>
      <c r="V36" s="1011" t="s">
        <v>1389</v>
      </c>
      <c r="W36" s="1043">
        <f t="shared" si="14"/>
        <v>100</v>
      </c>
      <c r="X36" s="1072"/>
      <c r="Y36" s="3058"/>
      <c r="Z36" s="1046" t="str">
        <f t="shared" si="15"/>
        <v>内部装修</v>
      </c>
      <c r="AA36" s="1046">
        <f t="shared" si="3"/>
        <v>1</v>
      </c>
      <c r="AB36" s="1046">
        <f t="shared" si="4"/>
        <v>1</v>
      </c>
      <c r="AC36" s="1046">
        <f t="shared" si="5"/>
        <v>1</v>
      </c>
    </row>
    <row r="37" spans="1:29" ht="15">
      <c r="A37" s="950"/>
      <c r="B37" s="909" t="s">
        <v>1490</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58"/>
      <c r="Q37" s="1016" t="str">
        <f t="shared" si="11"/>
        <v>内部装修状况</v>
      </c>
      <c r="R37" s="1011" t="s">
        <v>1389</v>
      </c>
      <c r="S37" s="1043">
        <f t="shared" si="12"/>
        <v>100</v>
      </c>
      <c r="T37" s="1011" t="s">
        <v>1389</v>
      </c>
      <c r="U37" s="1043">
        <f t="shared" si="13"/>
        <v>100</v>
      </c>
      <c r="V37" s="1011" t="s">
        <v>1389</v>
      </c>
      <c r="W37" s="1043">
        <f t="shared" si="14"/>
        <v>100</v>
      </c>
      <c r="X37" s="1072"/>
      <c r="Y37" s="3058"/>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58"/>
      <c r="Q38" s="1231">
        <f t="shared" si="11"/>
        <v>111</v>
      </c>
      <c r="R38" s="1070" t="s">
        <v>1389</v>
      </c>
      <c r="S38" s="1071">
        <f t="shared" si="12"/>
        <v>100</v>
      </c>
      <c r="T38" s="1070" t="s">
        <v>1389</v>
      </c>
      <c r="U38" s="1071">
        <f t="shared" si="13"/>
        <v>100</v>
      </c>
      <c r="V38" s="1070" t="s">
        <v>1389</v>
      </c>
      <c r="W38" s="1071">
        <f t="shared" si="14"/>
        <v>100</v>
      </c>
      <c r="X38" s="1074"/>
      <c r="Y38" s="3058"/>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58"/>
      <c r="Q39" s="1016">
        <f t="shared" si="11"/>
        <v>111</v>
      </c>
      <c r="R39" s="1011" t="s">
        <v>1389</v>
      </c>
      <c r="S39" s="1043">
        <f t="shared" si="12"/>
        <v>100</v>
      </c>
      <c r="T39" s="1011" t="s">
        <v>1389</v>
      </c>
      <c r="U39" s="1043">
        <f t="shared" si="13"/>
        <v>100</v>
      </c>
      <c r="V39" s="1011" t="s">
        <v>1389</v>
      </c>
      <c r="W39" s="1043">
        <f t="shared" si="14"/>
        <v>100</v>
      </c>
      <c r="X39" s="1072"/>
      <c r="Y39" s="3058"/>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59"/>
      <c r="Q40" s="1016">
        <f t="shared" si="11"/>
        <v>111</v>
      </c>
      <c r="R40" s="1011" t="s">
        <v>1389</v>
      </c>
      <c r="S40" s="1043">
        <f t="shared" si="12"/>
        <v>100</v>
      </c>
      <c r="T40" s="1011" t="s">
        <v>1389</v>
      </c>
      <c r="U40" s="1043">
        <f t="shared" si="13"/>
        <v>100</v>
      </c>
      <c r="V40" s="1011" t="s">
        <v>1389</v>
      </c>
      <c r="W40" s="1043">
        <f t="shared" si="14"/>
        <v>100</v>
      </c>
      <c r="X40" s="1072"/>
      <c r="Y40" s="3059"/>
      <c r="Z40" s="1046">
        <f t="shared" si="15"/>
        <v>111</v>
      </c>
      <c r="AA40" s="1046">
        <f t="shared" si="3"/>
        <v>1</v>
      </c>
      <c r="AB40" s="1046">
        <f t="shared" si="4"/>
        <v>1</v>
      </c>
      <c r="AC40" s="1046">
        <f t="shared" si="5"/>
        <v>1</v>
      </c>
    </row>
    <row r="41" spans="1:29" ht="14.4">
      <c r="A41" s="957" t="s">
        <v>1421</v>
      </c>
      <c r="B41" s="1212"/>
      <c r="C41" s="1213" t="s">
        <v>124</v>
      </c>
      <c r="D41" s="960"/>
      <c r="E41" s="1005"/>
      <c r="F41" s="1006"/>
      <c r="G41" s="1007"/>
      <c r="H41" s="1008"/>
      <c r="I41" s="1005"/>
      <c r="J41" s="1008"/>
      <c r="K41" s="1043"/>
      <c r="L41" s="1294"/>
      <c r="M41" s="985"/>
      <c r="N41" s="985"/>
      <c r="O41" s="985"/>
      <c r="P41" s="3048" t="str">
        <f>A41</f>
        <v>成交单价（元/平方米）</v>
      </c>
      <c r="Q41" s="3048"/>
      <c r="R41" s="3049">
        <f>E41</f>
        <v>0</v>
      </c>
      <c r="S41" s="3049"/>
      <c r="T41" s="3049">
        <f>G41</f>
        <v>0</v>
      </c>
      <c r="U41" s="3049"/>
      <c r="V41" s="3049">
        <f>I41</f>
        <v>0</v>
      </c>
      <c r="W41" s="3049"/>
      <c r="X41" s="972"/>
      <c r="Y41" s="1078"/>
      <c r="Z41" s="972"/>
      <c r="AA41" s="972"/>
      <c r="AB41" s="972"/>
      <c r="AC41" s="972"/>
    </row>
    <row r="42" spans="1:29" ht="14.4">
      <c r="A42" s="961" t="s">
        <v>1422</v>
      </c>
      <c r="B42" s="1214"/>
      <c r="C42" s="1010" t="e">
        <f>R43</f>
        <v>#DIV/0!</v>
      </c>
      <c r="D42" s="964" t="s">
        <v>1423</v>
      </c>
      <c r="E42" s="963" t="e">
        <f>R42</f>
        <v>#DIV/0!</v>
      </c>
      <c r="F42" s="1009"/>
      <c r="G42" s="1010" t="e">
        <f>T42</f>
        <v>#DIV/0!</v>
      </c>
      <c r="H42" s="1009"/>
      <c r="I42" s="963" t="e">
        <f>V42</f>
        <v>#DIV/0!</v>
      </c>
      <c r="J42" s="1009"/>
      <c r="K42" s="1045">
        <f>F42+H42+J42</f>
        <v>0</v>
      </c>
      <c r="L42" s="1294"/>
      <c r="M42" s="985"/>
      <c r="N42" s="985"/>
      <c r="O42" s="985"/>
      <c r="P42" s="3048" t="str">
        <f>A42</f>
        <v>比较价值（元/平方米）</v>
      </c>
      <c r="Q42" s="3048"/>
      <c r="R42" s="3049" t="e">
        <f>IF(F1="售价",ROUND(PRODUCT(R41,AA7:AA40),0),ROUND(PRODUCT(R41,AA7:AA40),1))</f>
        <v>#DIV/0!</v>
      </c>
      <c r="S42" s="3049"/>
      <c r="T42" s="3049" t="e">
        <f>IF(F1="售价",ROUND(PRODUCT(T41,AB7:AB40),0),ROUND(PRODUCT(T41,AB7:AB40),1))</f>
        <v>#DIV/0!</v>
      </c>
      <c r="U42" s="3049"/>
      <c r="V42" s="3049" t="e">
        <f>IF(F1="售价",ROUND(PRODUCT(V41,AC7:AC40),0),ROUND(PRODUCT(V41,AC7:AC40),1))</f>
        <v>#DIV/0!</v>
      </c>
      <c r="W42" s="3049"/>
      <c r="X42" s="972"/>
      <c r="Y42" s="972"/>
      <c r="Z42" s="972"/>
      <c r="AA42" s="972"/>
      <c r="AB42" s="972"/>
      <c r="AC42" s="972"/>
    </row>
    <row r="43" spans="1:29" ht="14.4">
      <c r="A43" s="965" t="s">
        <v>1424</v>
      </c>
      <c r="B43" s="966"/>
      <c r="C43" s="896" t="e">
        <f>R43</f>
        <v>#DIV/0!</v>
      </c>
      <c r="D43" s="896"/>
      <c r="E43" s="896"/>
      <c r="F43" s="896"/>
      <c r="G43" s="896"/>
      <c r="H43" s="896"/>
      <c r="I43" s="896"/>
      <c r="J43" s="896"/>
      <c r="K43" s="1016"/>
      <c r="L43" s="1294"/>
      <c r="M43" s="985"/>
      <c r="N43" s="985"/>
      <c r="O43" s="985"/>
      <c r="P43" s="3060" t="str">
        <f>A43</f>
        <v>估价对象XX用房的比较价值（楼面单价，元/平方米）</v>
      </c>
      <c r="Q43" s="3061"/>
      <c r="R43" s="3062" t="e">
        <f>IF(F1="售价",ROUND(IF(D42="简单平均",AVERAGE(R42:V42),R42*F42+T42*H42+V42*J42),0),ROUND(IF(D42="简单平均",AVERAGE(R42:V42),R42*F42+T42*H42+V42*J42),1))</f>
        <v>#DIV/0!</v>
      </c>
      <c r="S43" s="3062"/>
      <c r="T43" s="3062"/>
      <c r="U43" s="3062"/>
      <c r="V43" s="3062"/>
      <c r="W43" s="3062"/>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1428</v>
      </c>
      <c r="B51" s="972"/>
      <c r="C51" s="987"/>
      <c r="D51" s="987"/>
      <c r="E51" s="987"/>
      <c r="F51" s="1024"/>
      <c r="G51" s="1024"/>
      <c r="H51" s="987"/>
      <c r="I51" s="987"/>
      <c r="J51" s="987"/>
      <c r="K51" s="1193"/>
      <c r="L51" s="1065"/>
      <c r="M51" s="1065"/>
      <c r="N51" s="1065"/>
      <c r="O51" s="1065"/>
      <c r="P51" s="1303"/>
      <c r="Q51" s="1304"/>
    </row>
    <row r="52" spans="1:17" s="876" customFormat="1" ht="14.4">
      <c r="A52" s="1215" t="s">
        <v>1387</v>
      </c>
      <c r="B52" s="1216"/>
      <c r="C52" s="1082" t="str">
        <f>YEAR(C7)&amp;"-"&amp;MONTH(C7)</f>
        <v>2022-12</v>
      </c>
      <c r="D52" s="1112">
        <f>EDATE(C52,-1)</f>
        <v>44866</v>
      </c>
      <c r="E52" s="1112">
        <f t="shared" ref="E52:O52" si="16">EDATE(D52,-1)</f>
        <v>44835</v>
      </c>
      <c r="F52" s="1112">
        <f t="shared" si="16"/>
        <v>44805</v>
      </c>
      <c r="G52" s="1112">
        <f t="shared" si="16"/>
        <v>44774</v>
      </c>
      <c r="H52" s="1112">
        <f t="shared" si="16"/>
        <v>44743</v>
      </c>
      <c r="I52" s="1112">
        <f t="shared" si="16"/>
        <v>44713</v>
      </c>
      <c r="J52" s="1112">
        <f t="shared" si="16"/>
        <v>44682</v>
      </c>
      <c r="K52" s="1112">
        <f t="shared" si="16"/>
        <v>44652</v>
      </c>
      <c r="L52" s="1112">
        <f t="shared" si="16"/>
        <v>44621</v>
      </c>
      <c r="M52" s="1112">
        <f t="shared" si="16"/>
        <v>44593</v>
      </c>
      <c r="N52" s="1112">
        <f t="shared" si="16"/>
        <v>44562</v>
      </c>
      <c r="O52" s="1112">
        <f t="shared" si="16"/>
        <v>44531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1429</v>
      </c>
      <c r="B54" s="1087"/>
      <c r="C54" s="1088"/>
      <c r="D54" s="1089"/>
      <c r="E54" s="1089"/>
      <c r="F54" s="1089"/>
      <c r="G54" s="1089"/>
      <c r="H54" s="1089"/>
      <c r="I54" s="1089"/>
      <c r="J54" s="1089"/>
      <c r="K54" s="1089"/>
      <c r="L54" s="1089"/>
      <c r="M54" s="1148"/>
      <c r="N54" s="1305"/>
      <c r="O54" s="1306"/>
      <c r="P54" s="1304"/>
      <c r="Q54" s="1304"/>
    </row>
    <row r="55" spans="1:17" s="876" customFormat="1" ht="14.4">
      <c r="A55" s="1090" t="s">
        <v>1390</v>
      </c>
      <c r="B55" s="1091"/>
      <c r="C55" s="1092" t="s">
        <v>1391</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1430</v>
      </c>
      <c r="B57" s="1096" t="s">
        <v>1394</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1397</v>
      </c>
      <c r="C59" s="1100" t="s">
        <v>1431</v>
      </c>
      <c r="D59" s="1100" t="s">
        <v>1432</v>
      </c>
      <c r="E59" s="1100" t="s">
        <v>1433</v>
      </c>
      <c r="F59" s="1100" t="s">
        <v>1434</v>
      </c>
      <c r="G59" s="1100" t="s">
        <v>1435</v>
      </c>
      <c r="H59" s="1100" t="s">
        <v>1436</v>
      </c>
      <c r="I59" s="1100" t="s">
        <v>1437</v>
      </c>
      <c r="J59" s="1100"/>
      <c r="K59" s="1130"/>
      <c r="L59" s="1131"/>
      <c r="M59" s="1155"/>
      <c r="N59" s="1293"/>
      <c r="O59" s="1293"/>
      <c r="P59" s="1304"/>
      <c r="Q59" s="1304"/>
    </row>
    <row r="60" spans="1:17">
      <c r="A60" s="912"/>
      <c r="B60" s="1101"/>
      <c r="C60" s="1102" t="s">
        <v>1479</v>
      </c>
      <c r="D60" s="1102" t="s">
        <v>1479</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1398</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1399</v>
      </c>
      <c r="B70" s="1096" t="s">
        <v>1489</v>
      </c>
      <c r="C70" s="1112" t="s">
        <v>1438</v>
      </c>
      <c r="D70" s="1112" t="s">
        <v>1439</v>
      </c>
      <c r="E70" s="1112" t="s">
        <v>1440</v>
      </c>
      <c r="F70" s="1112" t="s">
        <v>1441</v>
      </c>
      <c r="G70" s="1112" t="s">
        <v>1442</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1402</v>
      </c>
      <c r="C72" s="1113" t="s">
        <v>1438</v>
      </c>
      <c r="D72" s="1113" t="s">
        <v>1439</v>
      </c>
      <c r="E72" s="1113" t="s">
        <v>1440</v>
      </c>
      <c r="F72" s="1113" t="s">
        <v>1441</v>
      </c>
      <c r="G72" s="1113" t="s">
        <v>1442</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1403</v>
      </c>
      <c r="C74" s="1113" t="s">
        <v>1438</v>
      </c>
      <c r="D74" s="1113" t="s">
        <v>1439</v>
      </c>
      <c r="E74" s="1113" t="s">
        <v>1440</v>
      </c>
      <c r="F74" s="1113" t="s">
        <v>1441</v>
      </c>
      <c r="G74" s="1113" t="s">
        <v>1442</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1404</v>
      </c>
      <c r="C76" s="1061" t="s">
        <v>1443</v>
      </c>
      <c r="D76" s="1061" t="s">
        <v>1444</v>
      </c>
      <c r="E76" s="1061" t="s">
        <v>1445</v>
      </c>
      <c r="F76" s="1061" t="s">
        <v>1446</v>
      </c>
      <c r="G76" s="1061" t="s">
        <v>1447</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1483</v>
      </c>
      <c r="C78" s="1113" t="s">
        <v>1438</v>
      </c>
      <c r="D78" s="1113" t="s">
        <v>1439</v>
      </c>
      <c r="E78" s="1113" t="s">
        <v>1440</v>
      </c>
      <c r="F78" s="1113" t="s">
        <v>1441</v>
      </c>
      <c r="G78" s="1113" t="s">
        <v>1442</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1408</v>
      </c>
      <c r="B88" s="1096" t="s">
        <v>1409</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1411</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1412</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1414</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542</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1415</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1416</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1419</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1491</v>
      </c>
      <c r="C106" s="1113" t="s">
        <v>1438</v>
      </c>
      <c r="D106" s="1113" t="s">
        <v>1439</v>
      </c>
      <c r="E106" s="1113" t="s">
        <v>1440</v>
      </c>
      <c r="F106" s="1113" t="s">
        <v>1441</v>
      </c>
      <c r="G106" s="1113" t="s">
        <v>1442</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62"/>
      <c r="F1" s="1219"/>
      <c r="G1" s="1263" t="s">
        <v>1372</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889</v>
      </c>
      <c r="B2" s="1202" t="e">
        <f ca="1">IF(C2="——",IF(B37="元/平方米",ROUND(C39*D3/10000,0),ROUND(F3*C39/10000,0)),IF(B37="元/平方米",ROUND(C39*D3/10000,0),ROUND(F3*C39/10000,0))-D2)</f>
        <v>#DIV/0!</v>
      </c>
      <c r="C2" s="1203"/>
      <c r="D2" s="1173" t="e">
        <f ca="1">SUMIF(INDIRECT("'"&amp;F2&amp;"'"&amp;"!A:A"),"承租人权益价值",INDIRECT("'"&amp;F2&amp;"'"&amp;"!c:c"))</f>
        <v>#REF!</v>
      </c>
      <c r="E2" s="1221" t="s">
        <v>890</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891</v>
      </c>
      <c r="B3" s="888" t="e">
        <f ca="1">IF(AND(C2="——",B37="元/平方米"),C39,ROUND(B2*10000/D3,0))</f>
        <v>#DIV/0!</v>
      </c>
      <c r="C3" s="1204" t="s">
        <v>1373</v>
      </c>
      <c r="D3" s="888">
        <f>SUMIF('数据-汇总表'!$C19:$C33,D1,'数据-汇总表'!$E19:$E33)</f>
        <v>0</v>
      </c>
      <c r="E3" s="1204" t="s">
        <v>1493</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64" t="s">
        <v>1377</v>
      </c>
      <c r="AC4" s="3063" t="s">
        <v>1378</v>
      </c>
    </row>
    <row r="5" spans="1:29">
      <c r="A5" s="893"/>
      <c r="B5" s="894"/>
      <c r="C5" s="3037" t="s">
        <v>1381</v>
      </c>
      <c r="D5" s="3038"/>
      <c r="E5" s="3039" t="s">
        <v>1382</v>
      </c>
      <c r="F5" s="3040"/>
      <c r="G5" s="3037" t="s">
        <v>1383</v>
      </c>
      <c r="H5" s="3038"/>
      <c r="I5" s="3037" t="s">
        <v>1384</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1385</v>
      </c>
      <c r="D6" s="3042"/>
      <c r="E6" s="3043" t="s">
        <v>1385</v>
      </c>
      <c r="F6" s="3044"/>
      <c r="G6" s="3041" t="s">
        <v>1385</v>
      </c>
      <c r="H6" s="3042"/>
      <c r="I6" s="3041" t="s">
        <v>1385</v>
      </c>
      <c r="J6" s="3042"/>
      <c r="K6" s="1028" t="s">
        <v>1386</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45" t="s">
        <v>1388</v>
      </c>
      <c r="Q7" s="3046"/>
      <c r="R7" s="1056" t="s">
        <v>1389</v>
      </c>
      <c r="S7" s="1068">
        <f t="shared" ref="S7:S14" si="0">F7</f>
        <v>0</v>
      </c>
      <c r="T7" s="1056" t="s">
        <v>1389</v>
      </c>
      <c r="U7" s="1068">
        <f t="shared" ref="U7:U14" si="1">H7</f>
        <v>0</v>
      </c>
      <c r="V7" s="1056" t="s">
        <v>1389</v>
      </c>
      <c r="W7" s="1068">
        <f t="shared" ref="W7:W14"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36" si="3">D8/F8</f>
        <v>#DIV/0!</v>
      </c>
      <c r="AB8" s="1076" t="e">
        <f t="shared" ref="AB8:AB36" si="4">D8/H8</f>
        <v>#DIV/0!</v>
      </c>
      <c r="AC8" s="1076" t="e">
        <f t="shared" ref="AC8:AC36" si="5">D8/J8</f>
        <v>#DIV/0!</v>
      </c>
    </row>
    <row r="9" spans="1:29" s="876" customFormat="1" ht="14.4">
      <c r="A9" s="1242" t="s">
        <v>1393</v>
      </c>
      <c r="B9" s="1243" t="s">
        <v>1394</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48" t="s">
        <v>1395</v>
      </c>
      <c r="Q9" s="1069" t="str">
        <f t="shared" ref="Q9:Q14" si="6">B9</f>
        <v>用途</v>
      </c>
      <c r="R9" s="1056" t="s">
        <v>1389</v>
      </c>
      <c r="S9" s="1068">
        <f t="shared" si="0"/>
        <v>100</v>
      </c>
      <c r="T9" s="1056" t="s">
        <v>1389</v>
      </c>
      <c r="U9" s="1068">
        <f t="shared" si="1"/>
        <v>100</v>
      </c>
      <c r="V9" s="1056" t="s">
        <v>1389</v>
      </c>
      <c r="W9" s="1068">
        <f t="shared" si="2"/>
        <v>100</v>
      </c>
      <c r="X9" s="1073"/>
      <c r="Y9" s="2998" t="s">
        <v>1396</v>
      </c>
      <c r="Z9" s="1076" t="str">
        <f t="shared" ref="Z9:Z14" si="7">Q9</f>
        <v>用途</v>
      </c>
      <c r="AA9" s="1076">
        <f t="shared" si="3"/>
        <v>1</v>
      </c>
      <c r="AB9" s="1076">
        <f t="shared" si="4"/>
        <v>1</v>
      </c>
      <c r="AC9" s="1076">
        <f t="shared" si="5"/>
        <v>1</v>
      </c>
    </row>
    <row r="10" spans="1:29" s="877" customFormat="1" ht="28.8">
      <c r="A10" s="1244"/>
      <c r="B10" s="1245" t="s">
        <v>1397</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48"/>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48"/>
      <c r="Q11" s="1069">
        <f t="shared" si="6"/>
        <v>111</v>
      </c>
      <c r="R11" s="1056" t="s">
        <v>1389</v>
      </c>
      <c r="S11" s="1068">
        <f t="shared" si="0"/>
        <v>100</v>
      </c>
      <c r="T11" s="1056" t="s">
        <v>1389</v>
      </c>
      <c r="U11" s="1068">
        <f t="shared" si="1"/>
        <v>100</v>
      </c>
      <c r="V11" s="1056" t="s">
        <v>1389</v>
      </c>
      <c r="W11" s="1068">
        <f t="shared" si="2"/>
        <v>100</v>
      </c>
      <c r="X11" s="1073"/>
      <c r="Y11" s="2998"/>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48"/>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48"/>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96.6">
      <c r="A14" s="890" t="s">
        <v>1399</v>
      </c>
      <c r="B14" s="924" t="s">
        <v>1402</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56" t="s">
        <v>1401</v>
      </c>
      <c r="Q14" s="1016" t="str">
        <f t="shared" si="6"/>
        <v>交通便捷度</v>
      </c>
      <c r="R14" s="1011" t="s">
        <v>1389</v>
      </c>
      <c r="S14" s="1043">
        <f t="shared" si="0"/>
        <v>100</v>
      </c>
      <c r="T14" s="1011" t="s">
        <v>1389</v>
      </c>
      <c r="U14" s="1043">
        <f t="shared" si="1"/>
        <v>100</v>
      </c>
      <c r="V14" s="1011" t="s">
        <v>1389</v>
      </c>
      <c r="W14" s="1043">
        <f t="shared" si="2"/>
        <v>100</v>
      </c>
      <c r="X14" s="1072"/>
      <c r="Y14" s="3056" t="s">
        <v>1401</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57"/>
      <c r="Q15" s="1016"/>
      <c r="R15" s="1011"/>
      <c r="S15" s="1043"/>
      <c r="T15" s="1011"/>
      <c r="U15" s="1043"/>
      <c r="V15" s="1011"/>
      <c r="W15" s="1043"/>
      <c r="X15" s="1072"/>
      <c r="Y15" s="3057"/>
      <c r="Z15" s="1046"/>
      <c r="AA15" s="1046">
        <v>1</v>
      </c>
      <c r="AB15" s="1046">
        <v>1</v>
      </c>
      <c r="AC15" s="1046">
        <v>1</v>
      </c>
    </row>
    <row r="16" spans="1:29" ht="41.4">
      <c r="A16" s="893"/>
      <c r="B16" s="930" t="s">
        <v>1403</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57"/>
      <c r="Q16" s="1016" t="str">
        <f>B16</f>
        <v>公共配套设施</v>
      </c>
      <c r="R16" s="1011" t="s">
        <v>1389</v>
      </c>
      <c r="S16" s="1043">
        <f>F16</f>
        <v>100</v>
      </c>
      <c r="T16" s="1011" t="s">
        <v>1389</v>
      </c>
      <c r="U16" s="1043">
        <f>H16</f>
        <v>100</v>
      </c>
      <c r="V16" s="1011" t="s">
        <v>1389</v>
      </c>
      <c r="W16" s="1043">
        <f>J16</f>
        <v>100</v>
      </c>
      <c r="X16" s="1072"/>
      <c r="Y16" s="3057"/>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57"/>
      <c r="Q17" s="1016"/>
      <c r="R17" s="1011"/>
      <c r="S17" s="1043"/>
      <c r="T17" s="1011"/>
      <c r="U17" s="1043"/>
      <c r="V17" s="1011"/>
      <c r="W17" s="1043"/>
      <c r="X17" s="1072"/>
      <c r="Y17" s="3057"/>
      <c r="Z17" s="1046"/>
      <c r="AA17" s="1046">
        <v>1</v>
      </c>
      <c r="AB17" s="1046">
        <v>1</v>
      </c>
      <c r="AC17" s="1046">
        <v>1</v>
      </c>
    </row>
    <row r="18" spans="1:29" ht="41.4">
      <c r="A18" s="893"/>
      <c r="B18" s="935" t="s">
        <v>1404</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57"/>
      <c r="Q18" s="1016" t="str">
        <f>B18</f>
        <v>基础设施水平</v>
      </c>
      <c r="R18" s="1011" t="s">
        <v>1389</v>
      </c>
      <c r="S18" s="1043">
        <f>F18</f>
        <v>100</v>
      </c>
      <c r="T18" s="1011" t="s">
        <v>1389</v>
      </c>
      <c r="U18" s="1043">
        <f>H18</f>
        <v>100</v>
      </c>
      <c r="V18" s="1011" t="s">
        <v>1389</v>
      </c>
      <c r="W18" s="1043">
        <f>J18</f>
        <v>100</v>
      </c>
      <c r="X18" s="1072"/>
      <c r="Y18" s="3057"/>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57"/>
      <c r="Q19" s="1016"/>
      <c r="R19" s="1011"/>
      <c r="S19" s="1043"/>
      <c r="T19" s="1011"/>
      <c r="U19" s="1043"/>
      <c r="V19" s="1011"/>
      <c r="W19" s="1043"/>
      <c r="X19" s="1072"/>
      <c r="Y19" s="3057"/>
      <c r="Z19" s="1046"/>
      <c r="AA19" s="1046">
        <v>1</v>
      </c>
      <c r="AB19" s="1046">
        <v>1</v>
      </c>
      <c r="AC19" s="1046">
        <v>1</v>
      </c>
    </row>
    <row r="20" spans="1:29" ht="55.2">
      <c r="A20" s="893"/>
      <c r="B20" s="930" t="s">
        <v>1405</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57"/>
      <c r="Q20" s="1016" t="str">
        <f>B20</f>
        <v>自然及人文环境</v>
      </c>
      <c r="R20" s="1011" t="s">
        <v>1389</v>
      </c>
      <c r="S20" s="1043">
        <f>F20</f>
        <v>100</v>
      </c>
      <c r="T20" s="1011" t="s">
        <v>1389</v>
      </c>
      <c r="U20" s="1043">
        <f>H20</f>
        <v>100</v>
      </c>
      <c r="V20" s="1011" t="s">
        <v>1389</v>
      </c>
      <c r="W20" s="1043">
        <f>J20</f>
        <v>100</v>
      </c>
      <c r="X20" s="1072"/>
      <c r="Y20" s="3057"/>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57"/>
      <c r="Q21" s="1016"/>
      <c r="R21" s="1011"/>
      <c r="S21" s="1043"/>
      <c r="T21" s="1011"/>
      <c r="U21" s="1043"/>
      <c r="V21" s="1011"/>
      <c r="W21" s="1043"/>
      <c r="X21" s="1072"/>
      <c r="Y21" s="3057"/>
      <c r="Z21" s="1046"/>
      <c r="AA21" s="1046">
        <v>1</v>
      </c>
      <c r="AB21" s="1046">
        <v>1</v>
      </c>
      <c r="AC21" s="1046">
        <v>1</v>
      </c>
    </row>
    <row r="22" spans="1:29" ht="15">
      <c r="A22" s="893"/>
      <c r="B22" s="930" t="s">
        <v>1473</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57"/>
      <c r="Q22" s="1016" t="str">
        <f>B22</f>
        <v>楼层</v>
      </c>
      <c r="R22" s="1011" t="s">
        <v>1389</v>
      </c>
      <c r="S22" s="1043">
        <f>F22</f>
        <v>100</v>
      </c>
      <c r="T22" s="1011" t="s">
        <v>1389</v>
      </c>
      <c r="U22" s="1043">
        <f>H22</f>
        <v>100</v>
      </c>
      <c r="V22" s="1011" t="s">
        <v>1389</v>
      </c>
      <c r="W22" s="1043">
        <f>J22</f>
        <v>100</v>
      </c>
      <c r="X22" s="1072"/>
      <c r="Y22" s="3057"/>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57"/>
      <c r="Q23" s="1016">
        <f>B23</f>
        <v>111</v>
      </c>
      <c r="R23" s="1011" t="s">
        <v>1389</v>
      </c>
      <c r="S23" s="1043">
        <f>F23</f>
        <v>100</v>
      </c>
      <c r="T23" s="1011" t="s">
        <v>1389</v>
      </c>
      <c r="U23" s="1043">
        <f>H23</f>
        <v>100</v>
      </c>
      <c r="V23" s="1011" t="s">
        <v>1389</v>
      </c>
      <c r="W23" s="1043">
        <f>J23</f>
        <v>100</v>
      </c>
      <c r="X23" s="1072"/>
      <c r="Y23" s="3057"/>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57"/>
      <c r="Q24" s="1016">
        <f t="shared" ref="Q24:Q36" si="11">B24</f>
        <v>111</v>
      </c>
      <c r="R24" s="1011" t="s">
        <v>1389</v>
      </c>
      <c r="S24" s="1043">
        <f>F24</f>
        <v>100</v>
      </c>
      <c r="T24" s="1011" t="s">
        <v>1389</v>
      </c>
      <c r="U24" s="1043">
        <f>H24</f>
        <v>100</v>
      </c>
      <c r="V24" s="1011" t="s">
        <v>1389</v>
      </c>
      <c r="W24" s="1043">
        <f>J24</f>
        <v>100</v>
      </c>
      <c r="X24" s="1072"/>
      <c r="Y24" s="3057"/>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57"/>
      <c r="Q25" s="1069">
        <f t="shared" si="11"/>
        <v>111</v>
      </c>
      <c r="R25" s="1056" t="s">
        <v>1389</v>
      </c>
      <c r="S25" s="1068">
        <f>F25</f>
        <v>100</v>
      </c>
      <c r="T25" s="1056" t="s">
        <v>1389</v>
      </c>
      <c r="U25" s="1068">
        <f>H25</f>
        <v>100</v>
      </c>
      <c r="V25" s="1056" t="s">
        <v>1389</v>
      </c>
      <c r="W25" s="1068">
        <f>J25</f>
        <v>100</v>
      </c>
      <c r="X25" s="1073"/>
      <c r="Y25" s="3057"/>
      <c r="Z25" s="1076">
        <f>Q25</f>
        <v>111</v>
      </c>
      <c r="AA25" s="1046">
        <f t="shared" si="3"/>
        <v>1</v>
      </c>
      <c r="AB25" s="1046">
        <f t="shared" si="4"/>
        <v>1</v>
      </c>
      <c r="AC25" s="1046">
        <f t="shared" si="5"/>
        <v>1</v>
      </c>
    </row>
    <row r="26" spans="1:29" ht="30">
      <c r="A26" s="1253" t="s">
        <v>1408</v>
      </c>
      <c r="B26" s="907" t="s">
        <v>1494</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3" t="s">
        <v>1410</v>
      </c>
      <c r="Q26" s="1016" t="str">
        <f t="shared" si="11"/>
        <v>配套类型</v>
      </c>
      <c r="R26" s="1011" t="s">
        <v>1389</v>
      </c>
      <c r="S26" s="1043">
        <f t="shared" ref="S26:S36" si="12">F26</f>
        <v>100</v>
      </c>
      <c r="T26" s="1011" t="s">
        <v>1389</v>
      </c>
      <c r="U26" s="1043">
        <f t="shared" ref="U26:U36" si="13">H26</f>
        <v>100</v>
      </c>
      <c r="V26" s="1011" t="s">
        <v>1389</v>
      </c>
      <c r="W26" s="1043">
        <f t="shared" ref="W26:W36" si="14">J26</f>
        <v>100</v>
      </c>
      <c r="X26" s="1072"/>
      <c r="Y26" s="3058" t="s">
        <v>1410</v>
      </c>
      <c r="Z26" s="1046" t="str">
        <f t="shared" ref="Z26:Z36" si="15">Q26</f>
        <v>配套类型</v>
      </c>
      <c r="AA26" s="1046">
        <f t="shared" si="3"/>
        <v>1</v>
      </c>
      <c r="AB26" s="1046">
        <f t="shared" si="4"/>
        <v>1</v>
      </c>
      <c r="AC26" s="1046">
        <f t="shared" si="5"/>
        <v>1</v>
      </c>
    </row>
    <row r="27" spans="1:29" s="878" customFormat="1" ht="15">
      <c r="A27" s="1255"/>
      <c r="B27" s="911" t="s">
        <v>1495</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58"/>
      <c r="Q27" s="1231" t="str">
        <f t="shared" si="11"/>
        <v>项目停车位配比</v>
      </c>
      <c r="R27" s="1070" t="s">
        <v>1389</v>
      </c>
      <c r="S27" s="1071">
        <f t="shared" si="12"/>
        <v>100</v>
      </c>
      <c r="T27" s="1070" t="s">
        <v>1389</v>
      </c>
      <c r="U27" s="1071">
        <f t="shared" si="13"/>
        <v>100</v>
      </c>
      <c r="V27" s="1070" t="s">
        <v>1389</v>
      </c>
      <c r="W27" s="1071">
        <f t="shared" si="14"/>
        <v>100</v>
      </c>
      <c r="X27" s="1074"/>
      <c r="Y27" s="3058"/>
      <c r="Z27" s="1077" t="str">
        <f t="shared" si="15"/>
        <v>项目停车位配比</v>
      </c>
      <c r="AA27" s="1046">
        <f t="shared" si="3"/>
        <v>1</v>
      </c>
      <c r="AB27" s="1046">
        <f t="shared" si="4"/>
        <v>1</v>
      </c>
      <c r="AC27" s="1046">
        <f t="shared" si="5"/>
        <v>1</v>
      </c>
    </row>
    <row r="28" spans="1:29" ht="15">
      <c r="A28" s="1256"/>
      <c r="B28" s="911" t="s">
        <v>1414</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58"/>
      <c r="Q28" s="1016" t="str">
        <f t="shared" si="11"/>
        <v>公共部分装修</v>
      </c>
      <c r="R28" s="1011" t="s">
        <v>1389</v>
      </c>
      <c r="S28" s="1043">
        <f t="shared" si="12"/>
        <v>100</v>
      </c>
      <c r="T28" s="1011" t="s">
        <v>1389</v>
      </c>
      <c r="U28" s="1043">
        <f t="shared" si="13"/>
        <v>100</v>
      </c>
      <c r="V28" s="1011" t="s">
        <v>1389</v>
      </c>
      <c r="W28" s="1043">
        <f t="shared" si="14"/>
        <v>100</v>
      </c>
      <c r="X28" s="1072"/>
      <c r="Y28" s="3058"/>
      <c r="Z28" s="1046" t="str">
        <f t="shared" si="15"/>
        <v>公共部分装修</v>
      </c>
      <c r="AA28" s="1046">
        <f t="shared" si="3"/>
        <v>1</v>
      </c>
      <c r="AB28" s="1046">
        <f t="shared" si="4"/>
        <v>1</v>
      </c>
      <c r="AC28" s="1046">
        <f t="shared" si="5"/>
        <v>1</v>
      </c>
    </row>
    <row r="29" spans="1:29" ht="15">
      <c r="A29" s="1256"/>
      <c r="B29" s="911" t="s">
        <v>1496</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58"/>
      <c r="Q29" s="1016" t="str">
        <f t="shared" si="11"/>
        <v>成新率</v>
      </c>
      <c r="R29" s="1011" t="s">
        <v>1389</v>
      </c>
      <c r="S29" s="1043" t="e">
        <f t="shared" si="12"/>
        <v>#N/A</v>
      </c>
      <c r="T29" s="1011" t="s">
        <v>1389</v>
      </c>
      <c r="U29" s="1043" t="e">
        <f t="shared" si="13"/>
        <v>#N/A</v>
      </c>
      <c r="V29" s="1011" t="s">
        <v>1389</v>
      </c>
      <c r="W29" s="1043" t="e">
        <f t="shared" si="14"/>
        <v>#N/A</v>
      </c>
      <c r="X29" s="1072"/>
      <c r="Y29" s="3058"/>
      <c r="Z29" s="1046" t="str">
        <f t="shared" si="15"/>
        <v>成新率</v>
      </c>
      <c r="AA29" s="1046" t="e">
        <f t="shared" si="3"/>
        <v>#N/A</v>
      </c>
      <c r="AB29" s="1046" t="e">
        <f t="shared" si="4"/>
        <v>#N/A</v>
      </c>
      <c r="AC29" s="1046" t="e">
        <f t="shared" si="5"/>
        <v>#N/A</v>
      </c>
    </row>
    <row r="30" spans="1:29" ht="15">
      <c r="A30" s="1256"/>
      <c r="B30" s="911" t="s">
        <v>1497</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58"/>
      <c r="Q30" s="1016" t="str">
        <f t="shared" si="11"/>
        <v>物业等级</v>
      </c>
      <c r="R30" s="1011" t="s">
        <v>1389</v>
      </c>
      <c r="S30" s="1043">
        <f t="shared" si="12"/>
        <v>100</v>
      </c>
      <c r="T30" s="1011" t="s">
        <v>1389</v>
      </c>
      <c r="U30" s="1043">
        <f t="shared" si="13"/>
        <v>100</v>
      </c>
      <c r="V30" s="1011" t="s">
        <v>1389</v>
      </c>
      <c r="W30" s="1043">
        <f t="shared" si="14"/>
        <v>100</v>
      </c>
      <c r="X30" s="1072"/>
      <c r="Y30" s="3058"/>
      <c r="Z30" s="1046" t="str">
        <f t="shared" si="15"/>
        <v>物业等级</v>
      </c>
      <c r="AA30" s="1046">
        <f t="shared" si="3"/>
        <v>1</v>
      </c>
      <c r="AB30" s="1046">
        <f t="shared" si="4"/>
        <v>1</v>
      </c>
      <c r="AC30" s="1046">
        <f t="shared" si="5"/>
        <v>1</v>
      </c>
    </row>
    <row r="31" spans="1:29" s="876" customFormat="1" ht="15">
      <c r="A31" s="1257"/>
      <c r="B31" s="911" t="s">
        <v>1498</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58"/>
      <c r="Q31" s="1069" t="str">
        <f t="shared" si="11"/>
        <v>停车位面积</v>
      </c>
      <c r="R31" s="1056" t="s">
        <v>1389</v>
      </c>
      <c r="S31" s="1068" t="e">
        <f t="shared" si="12"/>
        <v>#N/A</v>
      </c>
      <c r="T31" s="1056" t="s">
        <v>1389</v>
      </c>
      <c r="U31" s="1068" t="e">
        <f t="shared" si="13"/>
        <v>#N/A</v>
      </c>
      <c r="V31" s="1056" t="s">
        <v>1389</v>
      </c>
      <c r="W31" s="1068" t="e">
        <f t="shared" si="14"/>
        <v>#N/A</v>
      </c>
      <c r="X31" s="1073"/>
      <c r="Y31" s="3058"/>
      <c r="Z31" s="1076" t="str">
        <f t="shared" si="15"/>
        <v>停车位面积</v>
      </c>
      <c r="AA31" s="1076" t="e">
        <f t="shared" si="3"/>
        <v>#N/A</v>
      </c>
      <c r="AB31" s="1076" t="e">
        <f t="shared" si="4"/>
        <v>#N/A</v>
      </c>
      <c r="AC31" s="1076" t="e">
        <f t="shared" si="5"/>
        <v>#N/A</v>
      </c>
    </row>
    <row r="32" spans="1:29" ht="15">
      <c r="A32" s="1256"/>
      <c r="B32" s="911" t="s">
        <v>1499</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58" t="s">
        <v>1410</v>
      </c>
      <c r="Q32" s="1016" t="str">
        <f t="shared" si="11"/>
        <v>车位类型</v>
      </c>
      <c r="R32" s="1011" t="s">
        <v>1389</v>
      </c>
      <c r="S32" s="1043">
        <f t="shared" si="12"/>
        <v>100</v>
      </c>
      <c r="T32" s="1011" t="s">
        <v>1389</v>
      </c>
      <c r="U32" s="1043">
        <f t="shared" si="13"/>
        <v>100</v>
      </c>
      <c r="V32" s="1011" t="s">
        <v>1389</v>
      </c>
      <c r="W32" s="1043">
        <f t="shared" si="14"/>
        <v>100</v>
      </c>
      <c r="X32" s="1072"/>
      <c r="Y32" s="3058" t="s">
        <v>1410</v>
      </c>
      <c r="Z32" s="1046" t="str">
        <f t="shared" si="15"/>
        <v>车位类型</v>
      </c>
      <c r="AA32" s="1046">
        <f t="shared" si="3"/>
        <v>1</v>
      </c>
      <c r="AB32" s="1046">
        <f t="shared" si="4"/>
        <v>1</v>
      </c>
      <c r="AC32" s="1046">
        <f t="shared" si="5"/>
        <v>1</v>
      </c>
    </row>
    <row r="33" spans="1:29" ht="15">
      <c r="A33" s="1256"/>
      <c r="B33" s="911" t="s">
        <v>1500</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58"/>
      <c r="Q33" s="1016" t="str">
        <f t="shared" si="11"/>
        <v>是否直接入户</v>
      </c>
      <c r="R33" s="1011" t="s">
        <v>1389</v>
      </c>
      <c r="S33" s="1043">
        <f t="shared" si="12"/>
        <v>100</v>
      </c>
      <c r="T33" s="1011" t="s">
        <v>1389</v>
      </c>
      <c r="U33" s="1043">
        <f t="shared" si="13"/>
        <v>100</v>
      </c>
      <c r="V33" s="1011" t="s">
        <v>1389</v>
      </c>
      <c r="W33" s="1043">
        <f t="shared" si="14"/>
        <v>100</v>
      </c>
      <c r="X33" s="1072"/>
      <c r="Y33" s="3058"/>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58"/>
      <c r="Q34" s="1016">
        <f t="shared" si="11"/>
        <v>111</v>
      </c>
      <c r="R34" s="1011" t="s">
        <v>1389</v>
      </c>
      <c r="S34" s="1043">
        <f t="shared" si="12"/>
        <v>100</v>
      </c>
      <c r="T34" s="1011" t="s">
        <v>1389</v>
      </c>
      <c r="U34" s="1043">
        <f t="shared" si="13"/>
        <v>100</v>
      </c>
      <c r="V34" s="1011" t="s">
        <v>1389</v>
      </c>
      <c r="W34" s="1043">
        <f t="shared" si="14"/>
        <v>100</v>
      </c>
      <c r="X34" s="1072"/>
      <c r="Y34" s="3058"/>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58"/>
      <c r="Q35" s="1231">
        <f t="shared" si="11"/>
        <v>111</v>
      </c>
      <c r="R35" s="1070" t="s">
        <v>1389</v>
      </c>
      <c r="S35" s="1071">
        <f t="shared" si="12"/>
        <v>100</v>
      </c>
      <c r="T35" s="1070" t="s">
        <v>1389</v>
      </c>
      <c r="U35" s="1071">
        <f t="shared" si="13"/>
        <v>100</v>
      </c>
      <c r="V35" s="1070" t="s">
        <v>1389</v>
      </c>
      <c r="W35" s="1071">
        <f t="shared" si="14"/>
        <v>100</v>
      </c>
      <c r="X35" s="1074"/>
      <c r="Y35" s="3058"/>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58"/>
      <c r="Q36" s="1016">
        <f t="shared" si="11"/>
        <v>111</v>
      </c>
      <c r="R36" s="1011" t="s">
        <v>1389</v>
      </c>
      <c r="S36" s="1043">
        <f t="shared" si="12"/>
        <v>100</v>
      </c>
      <c r="T36" s="1011" t="s">
        <v>1389</v>
      </c>
      <c r="U36" s="1043">
        <f t="shared" si="13"/>
        <v>100</v>
      </c>
      <c r="V36" s="1011" t="s">
        <v>1389</v>
      </c>
      <c r="W36" s="1043">
        <f t="shared" si="14"/>
        <v>100</v>
      </c>
      <c r="X36" s="1072"/>
      <c r="Y36" s="3058"/>
      <c r="Z36" s="1046">
        <f t="shared" si="15"/>
        <v>111</v>
      </c>
      <c r="AA36" s="1046">
        <f t="shared" si="3"/>
        <v>1</v>
      </c>
      <c r="AB36" s="1046">
        <f t="shared" si="4"/>
        <v>1</v>
      </c>
      <c r="AC36" s="1046">
        <f t="shared" si="5"/>
        <v>1</v>
      </c>
    </row>
    <row r="37" spans="1:29" ht="14.4">
      <c r="A37" s="957" t="s">
        <v>1501</v>
      </c>
      <c r="B37" s="1259" t="s">
        <v>1502</v>
      </c>
      <c r="C37" s="1213" t="s">
        <v>124</v>
      </c>
      <c r="D37" s="960"/>
      <c r="E37" s="1005"/>
      <c r="F37" s="1006"/>
      <c r="G37" s="1007"/>
      <c r="H37" s="1008"/>
      <c r="I37" s="1005"/>
      <c r="J37" s="1008"/>
      <c r="K37" s="1269"/>
      <c r="L37" s="1044"/>
      <c r="M37" s="967"/>
      <c r="N37" s="967"/>
      <c r="O37" s="967"/>
      <c r="P37" s="3048" t="str">
        <f>A37</f>
        <v>成交单价</v>
      </c>
      <c r="Q37" s="3048"/>
      <c r="R37" s="3049">
        <f>E37</f>
        <v>0</v>
      </c>
      <c r="S37" s="3049"/>
      <c r="T37" s="3049">
        <f>G37</f>
        <v>0</v>
      </c>
      <c r="U37" s="3049"/>
      <c r="V37" s="3049">
        <f>I37</f>
        <v>0</v>
      </c>
      <c r="W37" s="3049"/>
      <c r="X37" s="972"/>
      <c r="Y37" s="1078"/>
      <c r="Z37" s="972"/>
      <c r="AA37" s="972"/>
      <c r="AB37" s="972"/>
      <c r="AC37" s="972"/>
    </row>
    <row r="38" spans="1:29" ht="14.4">
      <c r="A38" s="961" t="s">
        <v>1422</v>
      </c>
      <c r="B38" s="1214" t="str">
        <f>B37</f>
        <v>元/车位</v>
      </c>
      <c r="C38" s="1010" t="e">
        <f>R39</f>
        <v>#DIV/0!</v>
      </c>
      <c r="D38" s="964" t="s">
        <v>1423</v>
      </c>
      <c r="E38" s="963" t="e">
        <f>R38</f>
        <v>#DIV/0!</v>
      </c>
      <c r="F38" s="1009"/>
      <c r="G38" s="1010" t="e">
        <f>T38</f>
        <v>#DIV/0!</v>
      </c>
      <c r="H38" s="1009"/>
      <c r="I38" s="963" t="e">
        <f>V38</f>
        <v>#DIV/0!</v>
      </c>
      <c r="J38" s="1009"/>
      <c r="K38" s="1045">
        <f>F38+H38+J38</f>
        <v>0</v>
      </c>
      <c r="L38" s="1044"/>
      <c r="M38" s="967"/>
      <c r="N38" s="967"/>
      <c r="O38" s="967"/>
      <c r="P38" s="3048" t="str">
        <f>A38</f>
        <v>比较价值（元/平方米）</v>
      </c>
      <c r="Q38" s="3048"/>
      <c r="R38" s="3049" t="e">
        <f>IF(F1="售价",ROUND(PRODUCT(R37,AA7:AA36),0),ROUND(PRODUCT(R37,AA7:AA36),1))</f>
        <v>#DIV/0!</v>
      </c>
      <c r="S38" s="3049"/>
      <c r="T38" s="3049" t="e">
        <f>IF(F1="售价",ROUND(PRODUCT(T37,AB7:AB36),0),ROUND(PRODUCT(T37,AB7:AB36),1))</f>
        <v>#DIV/0!</v>
      </c>
      <c r="U38" s="3049"/>
      <c r="V38" s="3049" t="e">
        <f>IF(F1="售价",ROUND(PRODUCT(V37,AC7:AC36),0),ROUND(PRODUCT(V37,AC7:AC36),1))</f>
        <v>#DIV/0!</v>
      </c>
      <c r="W38" s="3049"/>
      <c r="X38" s="972"/>
      <c r="Y38" s="972"/>
      <c r="Z38" s="972"/>
      <c r="AA38" s="972"/>
      <c r="AB38" s="972"/>
      <c r="AC38" s="972"/>
    </row>
    <row r="39" spans="1:29" ht="14.4">
      <c r="A39" s="965" t="s">
        <v>1503</v>
      </c>
      <c r="B39" s="966"/>
      <c r="C39" s="896" t="e">
        <f>R39</f>
        <v>#DIV/0!</v>
      </c>
      <c r="D39" s="896"/>
      <c r="E39" s="896"/>
      <c r="F39" s="896"/>
      <c r="G39" s="896"/>
      <c r="H39" s="896"/>
      <c r="I39" s="896"/>
      <c r="J39" s="896"/>
      <c r="K39" s="1270"/>
      <c r="L39" s="1044"/>
      <c r="M39" s="967"/>
      <c r="N39" s="967"/>
      <c r="O39" s="967"/>
      <c r="P39" s="3060" t="str">
        <f>A39</f>
        <v>估价对象XX用房的比较价值（楼面单价，元/平方米）</v>
      </c>
      <c r="Q39" s="3061"/>
      <c r="R39" s="3094" t="e">
        <f>IF(F1="售价",ROUND(IF(D38="简单平均",AVERAGE(R38:W38),R38*F38+T38*H38+V38*J38),0),ROUND(IF(D38="简单平均",AVERAGE(R38:V38),R38*F38+T38*H38+V38*J38),1))</f>
        <v>#DIV/0!</v>
      </c>
      <c r="S39" s="3094"/>
      <c r="T39" s="3094"/>
      <c r="U39" s="3094"/>
      <c r="V39" s="3094"/>
      <c r="W39" s="3094"/>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1425</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1426</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1427</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1428</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1387</v>
      </c>
      <c r="B48" s="1216"/>
      <c r="C48" s="1082" t="str">
        <f>YEAR(C7)&amp;"-"&amp;MONTH(C7)</f>
        <v>2022-12</v>
      </c>
      <c r="D48" s="1112">
        <f>EDATE(C48,-1)</f>
        <v>44866</v>
      </c>
      <c r="E48" s="1112">
        <f t="shared" ref="E48:O48" si="16">EDATE(D48,-1)</f>
        <v>44835</v>
      </c>
      <c r="F48" s="1112">
        <f t="shared" si="16"/>
        <v>44805</v>
      </c>
      <c r="G48" s="1112">
        <f t="shared" si="16"/>
        <v>44774</v>
      </c>
      <c r="H48" s="1112">
        <f t="shared" si="16"/>
        <v>44743</v>
      </c>
      <c r="I48" s="1112">
        <f t="shared" si="16"/>
        <v>44713</v>
      </c>
      <c r="J48" s="1112">
        <f t="shared" si="16"/>
        <v>44682</v>
      </c>
      <c r="K48" s="1112">
        <f t="shared" si="16"/>
        <v>44652</v>
      </c>
      <c r="L48" s="1112">
        <f t="shared" si="16"/>
        <v>44621</v>
      </c>
      <c r="M48" s="1112">
        <f t="shared" si="16"/>
        <v>44593</v>
      </c>
      <c r="N48" s="1112">
        <f t="shared" si="16"/>
        <v>44562</v>
      </c>
      <c r="O48" s="1112">
        <f t="shared" si="16"/>
        <v>44531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1429</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1390</v>
      </c>
      <c r="B51" s="1091"/>
      <c r="C51" s="1092" t="s">
        <v>1391</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1430</v>
      </c>
      <c r="B53" s="1096" t="s">
        <v>1394</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1397</v>
      </c>
      <c r="C55" s="1100" t="s">
        <v>1431</v>
      </c>
      <c r="D55" s="1100" t="s">
        <v>1432</v>
      </c>
      <c r="E55" s="1100" t="s">
        <v>1433</v>
      </c>
      <c r="F55" s="1100" t="s">
        <v>1434</v>
      </c>
      <c r="G55" s="1100" t="s">
        <v>1435</v>
      </c>
      <c r="H55" s="1100" t="s">
        <v>1436</v>
      </c>
      <c r="I55" s="1100" t="s">
        <v>1437</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1479</v>
      </c>
      <c r="D56" s="1102" t="s">
        <v>1479</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1399</v>
      </c>
      <c r="B63" s="1096" t="s">
        <v>1402</v>
      </c>
      <c r="C63" s="1112" t="s">
        <v>1438</v>
      </c>
      <c r="D63" s="1112" t="s">
        <v>1439</v>
      </c>
      <c r="E63" s="1112" t="s">
        <v>1440</v>
      </c>
      <c r="F63" s="1112" t="s">
        <v>1441</v>
      </c>
      <c r="G63" s="1112" t="s">
        <v>1442</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1403</v>
      </c>
      <c r="C65" s="1113" t="s">
        <v>1438</v>
      </c>
      <c r="D65" s="1113" t="s">
        <v>1439</v>
      </c>
      <c r="E65" s="1113" t="s">
        <v>1440</v>
      </c>
      <c r="F65" s="1113" t="s">
        <v>1441</v>
      </c>
      <c r="G65" s="1113" t="s">
        <v>1442</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1404</v>
      </c>
      <c r="C67" s="1061" t="s">
        <v>1443</v>
      </c>
      <c r="D67" s="1061" t="s">
        <v>1444</v>
      </c>
      <c r="E67" s="1061" t="s">
        <v>1445</v>
      </c>
      <c r="F67" s="1061" t="s">
        <v>1446</v>
      </c>
      <c r="G67" s="1061" t="s">
        <v>1447</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1405</v>
      </c>
      <c r="C69" s="1113" t="s">
        <v>1438</v>
      </c>
      <c r="D69" s="1113" t="s">
        <v>1439</v>
      </c>
      <c r="E69" s="1113" t="s">
        <v>1440</v>
      </c>
      <c r="F69" s="1113" t="s">
        <v>1441</v>
      </c>
      <c r="G69" s="1113" t="s">
        <v>1442</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1473</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1408</v>
      </c>
      <c r="B79" s="1096" t="s">
        <v>1504</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1495</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1414</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1496</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1497</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1498</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1499</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1500</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2022年12月9日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IF(C2="——",ROUND(C37*D3/10000,0),ROUND(C37*D3/10000,0)-D2)</f>
        <v>#DIV/0!</v>
      </c>
      <c r="C2" s="1203"/>
      <c r="D2" s="1173" t="e">
        <f ca="1">SUMIF(INDIRECT("'"&amp;F2&amp;"'"&amp;"!A:A"),"承租人权益价值",INDIRECT("'"&amp;F2&amp;"'"&amp;"!c:c"))</f>
        <v>#REF!</v>
      </c>
      <c r="E2" s="1221" t="s">
        <v>890</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IF(C2="——",C37,ROUND(B2*10000/D3,0))</f>
        <v>#DIV/0!</v>
      </c>
      <c r="C3" s="1204" t="s">
        <v>1373</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64" t="s">
        <v>1377</v>
      </c>
      <c r="AC4" s="3063" t="s">
        <v>1378</v>
      </c>
    </row>
    <row r="5" spans="1:29">
      <c r="A5" s="893"/>
      <c r="B5" s="894"/>
      <c r="C5" s="3037" t="s">
        <v>1381</v>
      </c>
      <c r="D5" s="3038"/>
      <c r="E5" s="3039" t="s">
        <v>1382</v>
      </c>
      <c r="F5" s="3040"/>
      <c r="G5" s="3037" t="s">
        <v>1383</v>
      </c>
      <c r="H5" s="3038"/>
      <c r="I5" s="3037" t="s">
        <v>1384</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1385</v>
      </c>
      <c r="D6" s="3042"/>
      <c r="E6" s="3043" t="s">
        <v>1385</v>
      </c>
      <c r="F6" s="3044"/>
      <c r="G6" s="3041" t="s">
        <v>1385</v>
      </c>
      <c r="H6" s="3042"/>
      <c r="I6" s="3041" t="s">
        <v>1385</v>
      </c>
      <c r="J6" s="3042"/>
      <c r="K6" s="1028" t="s">
        <v>1386</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45" t="s">
        <v>1388</v>
      </c>
      <c r="Q7" s="3046"/>
      <c r="R7" s="1056" t="s">
        <v>1389</v>
      </c>
      <c r="S7" s="1068">
        <f t="shared" ref="S7:S14" si="0">F7</f>
        <v>0</v>
      </c>
      <c r="T7" s="1056" t="s">
        <v>1389</v>
      </c>
      <c r="U7" s="1068">
        <f t="shared" ref="U7:U14" si="1">H7</f>
        <v>0</v>
      </c>
      <c r="V7" s="1056" t="s">
        <v>1389</v>
      </c>
      <c r="W7" s="1068">
        <f t="shared" ref="W7:W14"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34" si="3">D8/F8</f>
        <v>#DIV/0!</v>
      </c>
      <c r="AB8" s="1076" t="e">
        <f t="shared" ref="AB8:AB34" si="4">D8/H8</f>
        <v>#DIV/0!</v>
      </c>
      <c r="AC8" s="1076" t="e">
        <f t="shared" ref="AC8:AC34" si="5">D8/J8</f>
        <v>#DIV/0!</v>
      </c>
    </row>
    <row r="9" spans="1:29" s="876" customFormat="1" ht="14.4">
      <c r="A9" s="904" t="s">
        <v>1393</v>
      </c>
      <c r="B9" s="905" t="s">
        <v>1394</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48" t="s">
        <v>1395</v>
      </c>
      <c r="Q9" s="1069" t="str">
        <f t="shared" ref="Q9:Q14" si="6">B9</f>
        <v>用途</v>
      </c>
      <c r="R9" s="1056" t="s">
        <v>1389</v>
      </c>
      <c r="S9" s="1068">
        <f t="shared" si="0"/>
        <v>100</v>
      </c>
      <c r="T9" s="1056" t="s">
        <v>1389</v>
      </c>
      <c r="U9" s="1068">
        <f t="shared" si="1"/>
        <v>100</v>
      </c>
      <c r="V9" s="1056" t="s">
        <v>1389</v>
      </c>
      <c r="W9" s="1068">
        <f t="shared" si="2"/>
        <v>100</v>
      </c>
      <c r="X9" s="1073"/>
      <c r="Y9" s="2998" t="s">
        <v>1396</v>
      </c>
      <c r="Z9" s="1076" t="str">
        <f t="shared" ref="Z9:Z14" si="7">Q9</f>
        <v>用途</v>
      </c>
      <c r="AA9" s="1076">
        <f t="shared" si="3"/>
        <v>1</v>
      </c>
      <c r="AB9" s="1076">
        <f t="shared" si="4"/>
        <v>1</v>
      </c>
      <c r="AC9" s="1076">
        <f t="shared" si="5"/>
        <v>1</v>
      </c>
    </row>
    <row r="10" spans="1:29" s="877" customFormat="1" ht="28.8">
      <c r="A10" s="908"/>
      <c r="B10" s="909" t="s">
        <v>1397</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48"/>
      <c r="Q10" s="1069" t="str">
        <f t="shared" si="6"/>
        <v>土地使用年限（年）</v>
      </c>
      <c r="R10" s="1056" t="s">
        <v>1389</v>
      </c>
      <c r="S10" s="1068">
        <f t="shared" si="0"/>
        <v>100</v>
      </c>
      <c r="T10" s="1056" t="s">
        <v>1389</v>
      </c>
      <c r="U10" s="1068">
        <f t="shared" si="1"/>
        <v>100</v>
      </c>
      <c r="V10" s="1056" t="s">
        <v>1389</v>
      </c>
      <c r="W10" s="1068">
        <f t="shared" si="2"/>
        <v>100</v>
      </c>
      <c r="X10" s="1073"/>
      <c r="Y10" s="2998"/>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48"/>
      <c r="Q11" s="1069">
        <f t="shared" si="6"/>
        <v>111</v>
      </c>
      <c r="R11" s="1056" t="s">
        <v>1389</v>
      </c>
      <c r="S11" s="1068">
        <f t="shared" si="0"/>
        <v>100</v>
      </c>
      <c r="T11" s="1056" t="s">
        <v>1389</v>
      </c>
      <c r="U11" s="1068">
        <f t="shared" si="1"/>
        <v>100</v>
      </c>
      <c r="V11" s="1056" t="s">
        <v>1389</v>
      </c>
      <c r="W11" s="1068">
        <f t="shared" si="2"/>
        <v>100</v>
      </c>
      <c r="X11" s="1073"/>
      <c r="Y11" s="2998"/>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96.6">
      <c r="A14" s="923" t="s">
        <v>1399</v>
      </c>
      <c r="B14" s="1174" t="s">
        <v>1402</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56" t="s">
        <v>1401</v>
      </c>
      <c r="Q14" s="1016" t="str">
        <f t="shared" si="6"/>
        <v>交通便捷度</v>
      </c>
      <c r="R14" s="1011" t="s">
        <v>1389</v>
      </c>
      <c r="S14" s="1043">
        <f t="shared" si="0"/>
        <v>100</v>
      </c>
      <c r="T14" s="1011" t="s">
        <v>1389</v>
      </c>
      <c r="U14" s="1043">
        <f t="shared" si="1"/>
        <v>100</v>
      </c>
      <c r="V14" s="1011" t="s">
        <v>1389</v>
      </c>
      <c r="W14" s="1043">
        <f t="shared" si="2"/>
        <v>100</v>
      </c>
      <c r="X14" s="1072"/>
      <c r="Y14" s="3056" t="s">
        <v>1401</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57"/>
      <c r="Q15" s="1016"/>
      <c r="R15" s="1011"/>
      <c r="S15" s="1043"/>
      <c r="T15" s="1011"/>
      <c r="U15" s="1043"/>
      <c r="V15" s="1011"/>
      <c r="W15" s="1043"/>
      <c r="X15" s="1072"/>
      <c r="Y15" s="3057"/>
      <c r="Z15" s="1046"/>
      <c r="AA15" s="1046">
        <v>1</v>
      </c>
      <c r="AB15" s="1046">
        <v>1</v>
      </c>
      <c r="AC15" s="1046">
        <v>1</v>
      </c>
    </row>
    <row r="16" spans="1:29" ht="41.4">
      <c r="A16" s="912"/>
      <c r="B16" s="1175" t="s">
        <v>1403</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57"/>
      <c r="Q16" s="1016" t="str">
        <f>B16</f>
        <v>公共配套设施</v>
      </c>
      <c r="R16" s="1011" t="s">
        <v>1389</v>
      </c>
      <c r="S16" s="1043">
        <f>F16</f>
        <v>100</v>
      </c>
      <c r="T16" s="1011" t="s">
        <v>1389</v>
      </c>
      <c r="U16" s="1043">
        <f>H16</f>
        <v>100</v>
      </c>
      <c r="V16" s="1011" t="s">
        <v>1389</v>
      </c>
      <c r="W16" s="1043">
        <f>J16</f>
        <v>100</v>
      </c>
      <c r="X16" s="1072"/>
      <c r="Y16" s="3057"/>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57"/>
      <c r="Q17" s="1016"/>
      <c r="R17" s="1011"/>
      <c r="S17" s="1043"/>
      <c r="T17" s="1011"/>
      <c r="U17" s="1043"/>
      <c r="V17" s="1011"/>
      <c r="W17" s="1043"/>
      <c r="X17" s="1072"/>
      <c r="Y17" s="3057"/>
      <c r="Z17" s="1046"/>
      <c r="AA17" s="1046">
        <v>1</v>
      </c>
      <c r="AB17" s="1046">
        <v>1</v>
      </c>
      <c r="AC17" s="1046">
        <v>1</v>
      </c>
    </row>
    <row r="18" spans="1:29" ht="41.4">
      <c r="A18" s="912"/>
      <c r="B18" s="1177" t="s">
        <v>1404</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57"/>
      <c r="Q18" s="1016" t="str">
        <f>B18</f>
        <v>基础设施水平</v>
      </c>
      <c r="R18" s="1011" t="s">
        <v>1389</v>
      </c>
      <c r="S18" s="1043">
        <f>F18</f>
        <v>100</v>
      </c>
      <c r="T18" s="1011" t="s">
        <v>1389</v>
      </c>
      <c r="U18" s="1043">
        <f>H18</f>
        <v>100</v>
      </c>
      <c r="V18" s="1011" t="s">
        <v>1389</v>
      </c>
      <c r="W18" s="1043">
        <f>J18</f>
        <v>100</v>
      </c>
      <c r="X18" s="1072"/>
      <c r="Y18" s="3057"/>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57"/>
      <c r="Q19" s="1016"/>
      <c r="R19" s="1011"/>
      <c r="S19" s="1043"/>
      <c r="T19" s="1011"/>
      <c r="U19" s="1043"/>
      <c r="V19" s="1011"/>
      <c r="W19" s="1043"/>
      <c r="X19" s="1072"/>
      <c r="Y19" s="3057"/>
      <c r="Z19" s="1046"/>
      <c r="AA19" s="1046">
        <v>1</v>
      </c>
      <c r="AB19" s="1046">
        <v>1</v>
      </c>
      <c r="AC19" s="1046">
        <v>1</v>
      </c>
    </row>
    <row r="20" spans="1:29" ht="55.2">
      <c r="A20" s="912"/>
      <c r="B20" s="1175" t="s">
        <v>1405</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57"/>
      <c r="Q20" s="1016" t="str">
        <f>B20</f>
        <v>自然及人文环境</v>
      </c>
      <c r="R20" s="1011" t="s">
        <v>1389</v>
      </c>
      <c r="S20" s="1043">
        <f>F20</f>
        <v>100</v>
      </c>
      <c r="T20" s="1011" t="s">
        <v>1389</v>
      </c>
      <c r="U20" s="1043">
        <f>H20</f>
        <v>100</v>
      </c>
      <c r="V20" s="1011" t="s">
        <v>1389</v>
      </c>
      <c r="W20" s="1043">
        <f>J20</f>
        <v>100</v>
      </c>
      <c r="X20" s="1072"/>
      <c r="Y20" s="3057"/>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57"/>
      <c r="Q21" s="1016"/>
      <c r="R21" s="1011"/>
      <c r="S21" s="1043"/>
      <c r="T21" s="1011"/>
      <c r="U21" s="1043"/>
      <c r="V21" s="1011"/>
      <c r="W21" s="1043"/>
      <c r="X21" s="1072"/>
      <c r="Y21" s="3057"/>
      <c r="Z21" s="1046"/>
      <c r="AA21" s="1046">
        <v>1</v>
      </c>
      <c r="AB21" s="1046">
        <v>1</v>
      </c>
      <c r="AC21" s="1046">
        <v>1</v>
      </c>
    </row>
    <row r="22" spans="1:29" ht="15">
      <c r="A22" s="912"/>
      <c r="B22" s="1175" t="s">
        <v>1473</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57"/>
      <c r="Q22" s="1016" t="str">
        <f>B22</f>
        <v>楼层</v>
      </c>
      <c r="R22" s="1011" t="s">
        <v>1389</v>
      </c>
      <c r="S22" s="1043">
        <f>F22</f>
        <v>100</v>
      </c>
      <c r="T22" s="1011" t="s">
        <v>1389</v>
      </c>
      <c r="U22" s="1043">
        <f>H22</f>
        <v>100</v>
      </c>
      <c r="V22" s="1011" t="s">
        <v>1389</v>
      </c>
      <c r="W22" s="1043">
        <f>J22</f>
        <v>100</v>
      </c>
      <c r="X22" s="1072"/>
      <c r="Y22" s="3057"/>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57"/>
      <c r="Q23" s="1016">
        <f>B23</f>
        <v>111</v>
      </c>
      <c r="R23" s="1011" t="s">
        <v>1389</v>
      </c>
      <c r="S23" s="1043">
        <f>F23</f>
        <v>100</v>
      </c>
      <c r="T23" s="1011" t="s">
        <v>1389</v>
      </c>
      <c r="U23" s="1043">
        <f>H23</f>
        <v>100</v>
      </c>
      <c r="V23" s="1011" t="s">
        <v>1389</v>
      </c>
      <c r="W23" s="1043">
        <f>J23</f>
        <v>100</v>
      </c>
      <c r="X23" s="1072"/>
      <c r="Y23" s="3057"/>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57"/>
      <c r="Q24" s="1016">
        <f t="shared" ref="Q24:Q34" si="11">B24</f>
        <v>111</v>
      </c>
      <c r="R24" s="1011" t="s">
        <v>1389</v>
      </c>
      <c r="S24" s="1043">
        <f>F24</f>
        <v>100</v>
      </c>
      <c r="T24" s="1011" t="s">
        <v>1389</v>
      </c>
      <c r="U24" s="1043">
        <f>H24</f>
        <v>100</v>
      </c>
      <c r="V24" s="1011" t="s">
        <v>1389</v>
      </c>
      <c r="W24" s="1043">
        <f>J24</f>
        <v>100</v>
      </c>
      <c r="X24" s="1072"/>
      <c r="Y24" s="3057"/>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57"/>
      <c r="Q25" s="1069">
        <f t="shared" si="11"/>
        <v>111</v>
      </c>
      <c r="R25" s="1056" t="s">
        <v>1389</v>
      </c>
      <c r="S25" s="1068">
        <f>F25</f>
        <v>100</v>
      </c>
      <c r="T25" s="1056" t="s">
        <v>1389</v>
      </c>
      <c r="U25" s="1068">
        <f>H25</f>
        <v>100</v>
      </c>
      <c r="V25" s="1056" t="s">
        <v>1389</v>
      </c>
      <c r="W25" s="1068">
        <f>J25</f>
        <v>100</v>
      </c>
      <c r="X25" s="1073"/>
      <c r="Y25" s="3057"/>
      <c r="Z25" s="1076">
        <f>Q25</f>
        <v>111</v>
      </c>
      <c r="AA25" s="1046">
        <f t="shared" si="3"/>
        <v>1</v>
      </c>
      <c r="AB25" s="1046">
        <f t="shared" si="4"/>
        <v>1</v>
      </c>
      <c r="AC25" s="1046">
        <f t="shared" si="5"/>
        <v>1</v>
      </c>
    </row>
    <row r="26" spans="1:29" ht="30">
      <c r="A26" s="1208" t="s">
        <v>1408</v>
      </c>
      <c r="B26" s="905" t="s">
        <v>1414</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3" t="s">
        <v>1410</v>
      </c>
      <c r="Q26" s="1016" t="str">
        <f t="shared" si="11"/>
        <v>公共部分装修</v>
      </c>
      <c r="R26" s="1011" t="s">
        <v>1389</v>
      </c>
      <c r="S26" s="1043">
        <f t="shared" ref="S26:S34" si="12">F26</f>
        <v>100</v>
      </c>
      <c r="T26" s="1011" t="s">
        <v>1389</v>
      </c>
      <c r="U26" s="1043">
        <f t="shared" ref="U26:U34" si="13">H26</f>
        <v>100</v>
      </c>
      <c r="V26" s="1011" t="s">
        <v>1389</v>
      </c>
      <c r="W26" s="1043">
        <f t="shared" ref="W26:W34" si="14">J26</f>
        <v>100</v>
      </c>
      <c r="X26" s="1072"/>
      <c r="Y26" s="3058" t="s">
        <v>1410</v>
      </c>
      <c r="Z26" s="1046" t="str">
        <f t="shared" ref="Z26:Z34" si="15">Q26</f>
        <v>公共部分装修</v>
      </c>
      <c r="AA26" s="1046">
        <f t="shared" si="3"/>
        <v>1</v>
      </c>
      <c r="AB26" s="1046">
        <f t="shared" si="4"/>
        <v>1</v>
      </c>
      <c r="AC26" s="1046">
        <f t="shared" si="5"/>
        <v>1</v>
      </c>
    </row>
    <row r="27" spans="1:29" s="878" customFormat="1" ht="15">
      <c r="A27" s="955"/>
      <c r="B27" s="909" t="s">
        <v>1496</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58"/>
      <c r="Q27" s="1231" t="str">
        <f t="shared" si="11"/>
        <v>成新率</v>
      </c>
      <c r="R27" s="1070" t="s">
        <v>1389</v>
      </c>
      <c r="S27" s="1071" t="e">
        <f t="shared" si="12"/>
        <v>#N/A</v>
      </c>
      <c r="T27" s="1070" t="s">
        <v>1389</v>
      </c>
      <c r="U27" s="1071" t="e">
        <f t="shared" si="13"/>
        <v>#N/A</v>
      </c>
      <c r="V27" s="1070" t="s">
        <v>1389</v>
      </c>
      <c r="W27" s="1071" t="e">
        <f t="shared" si="14"/>
        <v>#N/A</v>
      </c>
      <c r="X27" s="1074"/>
      <c r="Y27" s="3058"/>
      <c r="Z27" s="1077" t="str">
        <f t="shared" si="15"/>
        <v>成新率</v>
      </c>
      <c r="AA27" s="1046" t="e">
        <f t="shared" si="3"/>
        <v>#N/A</v>
      </c>
      <c r="AB27" s="1046" t="e">
        <f t="shared" si="4"/>
        <v>#N/A</v>
      </c>
      <c r="AC27" s="1046" t="e">
        <f t="shared" si="5"/>
        <v>#N/A</v>
      </c>
    </row>
    <row r="28" spans="1:29" ht="15">
      <c r="A28" s="950"/>
      <c r="B28" s="909" t="s">
        <v>1497</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58"/>
      <c r="Q28" s="1016" t="str">
        <f t="shared" si="11"/>
        <v>物业等级</v>
      </c>
      <c r="R28" s="1011" t="s">
        <v>1389</v>
      </c>
      <c r="S28" s="1043">
        <f t="shared" si="12"/>
        <v>100</v>
      </c>
      <c r="T28" s="1011" t="s">
        <v>1389</v>
      </c>
      <c r="U28" s="1043">
        <f t="shared" si="13"/>
        <v>100</v>
      </c>
      <c r="V28" s="1011" t="s">
        <v>1389</v>
      </c>
      <c r="W28" s="1043">
        <f t="shared" si="14"/>
        <v>100</v>
      </c>
      <c r="X28" s="1072"/>
      <c r="Y28" s="3058"/>
      <c r="Z28" s="1046" t="str">
        <f t="shared" si="15"/>
        <v>物业等级</v>
      </c>
      <c r="AA28" s="1046">
        <f t="shared" si="3"/>
        <v>1</v>
      </c>
      <c r="AB28" s="1046">
        <f t="shared" si="4"/>
        <v>1</v>
      </c>
      <c r="AC28" s="1046">
        <f t="shared" si="5"/>
        <v>1</v>
      </c>
    </row>
    <row r="29" spans="1:29" ht="15">
      <c r="A29" s="950"/>
      <c r="B29" s="909" t="s">
        <v>1505</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58"/>
      <c r="Q29" s="1016" t="str">
        <f t="shared" si="11"/>
        <v>有无电梯</v>
      </c>
      <c r="R29" s="1011" t="s">
        <v>1389</v>
      </c>
      <c r="S29" s="1043">
        <f t="shared" si="12"/>
        <v>100</v>
      </c>
      <c r="T29" s="1011" t="s">
        <v>1389</v>
      </c>
      <c r="U29" s="1043">
        <f t="shared" si="13"/>
        <v>100</v>
      </c>
      <c r="V29" s="1011" t="s">
        <v>1389</v>
      </c>
      <c r="W29" s="1043">
        <f t="shared" si="14"/>
        <v>100</v>
      </c>
      <c r="X29" s="1072"/>
      <c r="Y29" s="3058"/>
      <c r="Z29" s="1046" t="str">
        <f t="shared" si="15"/>
        <v>有无电梯</v>
      </c>
      <c r="AA29" s="1046">
        <f t="shared" si="3"/>
        <v>1</v>
      </c>
      <c r="AB29" s="1046">
        <f t="shared" si="4"/>
        <v>1</v>
      </c>
      <c r="AC29" s="1046">
        <f t="shared" si="5"/>
        <v>1</v>
      </c>
    </row>
    <row r="30" spans="1:29" ht="15">
      <c r="A30" s="950"/>
      <c r="B30" s="909" t="s">
        <v>503</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58"/>
      <c r="Q30" s="1016" t="str">
        <f t="shared" si="11"/>
        <v>建筑面积</v>
      </c>
      <c r="R30" s="1011" t="s">
        <v>1389</v>
      </c>
      <c r="S30" s="1043" t="e">
        <f t="shared" si="12"/>
        <v>#N/A</v>
      </c>
      <c r="T30" s="1011" t="s">
        <v>1389</v>
      </c>
      <c r="U30" s="1043" t="e">
        <f t="shared" si="13"/>
        <v>#N/A</v>
      </c>
      <c r="V30" s="1011" t="s">
        <v>1389</v>
      </c>
      <c r="W30" s="1043" t="e">
        <f t="shared" si="14"/>
        <v>#N/A</v>
      </c>
      <c r="X30" s="1072"/>
      <c r="Y30" s="3058"/>
      <c r="Z30" s="1046" t="str">
        <f t="shared" si="15"/>
        <v>建筑面积</v>
      </c>
      <c r="AA30" s="1046" t="e">
        <f t="shared" si="3"/>
        <v>#N/A</v>
      </c>
      <c r="AB30" s="1046" t="e">
        <f t="shared" si="4"/>
        <v>#N/A</v>
      </c>
      <c r="AC30" s="1046" t="e">
        <f t="shared" si="5"/>
        <v>#N/A</v>
      </c>
    </row>
    <row r="31" spans="1:29" s="876" customFormat="1" ht="15">
      <c r="A31" s="952"/>
      <c r="B31" s="909" t="s">
        <v>1506</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58"/>
      <c r="Q31" s="1069" t="str">
        <f t="shared" si="11"/>
        <v>是否封闭</v>
      </c>
      <c r="R31" s="1056" t="s">
        <v>1389</v>
      </c>
      <c r="S31" s="1068">
        <f t="shared" si="12"/>
        <v>100</v>
      </c>
      <c r="T31" s="1056" t="s">
        <v>1389</v>
      </c>
      <c r="U31" s="1068">
        <f t="shared" si="13"/>
        <v>100</v>
      </c>
      <c r="V31" s="1056" t="s">
        <v>1389</v>
      </c>
      <c r="W31" s="1068">
        <f t="shared" si="14"/>
        <v>100</v>
      </c>
      <c r="X31" s="1073"/>
      <c r="Y31" s="3058"/>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58" t="s">
        <v>1410</v>
      </c>
      <c r="Q32" s="1016">
        <f t="shared" si="11"/>
        <v>111</v>
      </c>
      <c r="R32" s="1011" t="s">
        <v>1389</v>
      </c>
      <c r="S32" s="1043">
        <f t="shared" si="12"/>
        <v>100</v>
      </c>
      <c r="T32" s="1011" t="s">
        <v>1389</v>
      </c>
      <c r="U32" s="1043">
        <f t="shared" si="13"/>
        <v>100</v>
      </c>
      <c r="V32" s="1011" t="s">
        <v>1389</v>
      </c>
      <c r="W32" s="1043">
        <f t="shared" si="14"/>
        <v>100</v>
      </c>
      <c r="X32" s="1072"/>
      <c r="Y32" s="3058" t="s">
        <v>1410</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58"/>
      <c r="Q33" s="1016">
        <f t="shared" si="11"/>
        <v>111</v>
      </c>
      <c r="R33" s="1011" t="s">
        <v>1389</v>
      </c>
      <c r="S33" s="1043">
        <f t="shared" si="12"/>
        <v>100</v>
      </c>
      <c r="T33" s="1011" t="s">
        <v>1389</v>
      </c>
      <c r="U33" s="1043">
        <f t="shared" si="13"/>
        <v>100</v>
      </c>
      <c r="V33" s="1011" t="s">
        <v>1389</v>
      </c>
      <c r="W33" s="1043">
        <f t="shared" si="14"/>
        <v>100</v>
      </c>
      <c r="X33" s="1072"/>
      <c r="Y33" s="3058"/>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58"/>
      <c r="Q34" s="1016">
        <f t="shared" si="11"/>
        <v>111</v>
      </c>
      <c r="R34" s="1011" t="s">
        <v>1389</v>
      </c>
      <c r="S34" s="1043">
        <f t="shared" si="12"/>
        <v>100</v>
      </c>
      <c r="T34" s="1011" t="s">
        <v>1389</v>
      </c>
      <c r="U34" s="1043">
        <f t="shared" si="13"/>
        <v>100</v>
      </c>
      <c r="V34" s="1011" t="s">
        <v>1389</v>
      </c>
      <c r="W34" s="1043">
        <f t="shared" si="14"/>
        <v>100</v>
      </c>
      <c r="X34" s="1072"/>
      <c r="Y34" s="3058"/>
      <c r="Z34" s="1046">
        <f t="shared" si="15"/>
        <v>111</v>
      </c>
      <c r="AA34" s="1046">
        <f t="shared" si="3"/>
        <v>1</v>
      </c>
      <c r="AB34" s="1046">
        <f t="shared" si="4"/>
        <v>1</v>
      </c>
      <c r="AC34" s="1046">
        <f t="shared" si="5"/>
        <v>1</v>
      </c>
    </row>
    <row r="35" spans="1:30" ht="14.4">
      <c r="A35" s="957" t="s">
        <v>1421</v>
      </c>
      <c r="B35" s="1212"/>
      <c r="C35" s="1213" t="s">
        <v>124</v>
      </c>
      <c r="D35" s="960"/>
      <c r="E35" s="1005"/>
      <c r="F35" s="1006"/>
      <c r="G35" s="1007"/>
      <c r="H35" s="1008"/>
      <c r="I35" s="1005"/>
      <c r="J35" s="1008"/>
      <c r="K35" s="1043"/>
      <c r="L35" s="1044"/>
      <c r="M35" s="967"/>
      <c r="N35" s="967"/>
      <c r="O35" s="967"/>
      <c r="P35" s="3048" t="str">
        <f>A35</f>
        <v>成交单价（元/平方米）</v>
      </c>
      <c r="Q35" s="3048"/>
      <c r="R35" s="3049">
        <f>E35</f>
        <v>0</v>
      </c>
      <c r="S35" s="3049"/>
      <c r="T35" s="3049">
        <f>G35</f>
        <v>0</v>
      </c>
      <c r="U35" s="3049"/>
      <c r="V35" s="3049">
        <f>I35</f>
        <v>0</v>
      </c>
      <c r="W35" s="3049"/>
      <c r="X35" s="972"/>
      <c r="Y35" s="1078"/>
      <c r="Z35" s="972"/>
      <c r="AA35" s="972"/>
      <c r="AB35" s="972"/>
      <c r="AC35" s="972"/>
    </row>
    <row r="36" spans="1:30" ht="14.4">
      <c r="A36" s="961" t="s">
        <v>1422</v>
      </c>
      <c r="B36" s="1214"/>
      <c r="C36" s="1010" t="e">
        <f>R37</f>
        <v>#DIV/0!</v>
      </c>
      <c r="D36" s="964" t="s">
        <v>1423</v>
      </c>
      <c r="E36" s="963" t="e">
        <f>R36</f>
        <v>#DIV/0!</v>
      </c>
      <c r="F36" s="1009"/>
      <c r="G36" s="1010" t="e">
        <f>T36</f>
        <v>#DIV/0!</v>
      </c>
      <c r="H36" s="1009"/>
      <c r="I36" s="963" t="e">
        <f>V36</f>
        <v>#DIV/0!</v>
      </c>
      <c r="J36" s="1009"/>
      <c r="K36" s="1045">
        <f>F36+H36+J36</f>
        <v>0</v>
      </c>
      <c r="L36" s="1044"/>
      <c r="M36" s="967"/>
      <c r="N36" s="967"/>
      <c r="O36" s="967"/>
      <c r="P36" s="3048" t="str">
        <f>A36</f>
        <v>比较价值（元/平方米）</v>
      </c>
      <c r="Q36" s="3048"/>
      <c r="R36" s="3049" t="e">
        <f>IF(F1="售价",ROUND(PRODUCT(R35,AA7:AA34),0),ROUND(PRODUCT(R35,AA7:AA34),1))</f>
        <v>#DIV/0!</v>
      </c>
      <c r="S36" s="3049"/>
      <c r="T36" s="3049" t="e">
        <f>IF(F1="售价",ROUND(PRODUCT(T35,AB7:AB34),0),ROUND(PRODUCT(T35,AB7:AB34),1))</f>
        <v>#DIV/0!</v>
      </c>
      <c r="U36" s="3049"/>
      <c r="V36" s="3049" t="e">
        <f>IF(F1="售价",ROUND(PRODUCT(V35,AC7:AC34),0),ROUND(PRODUCT(V35,AC7:AC34),1))</f>
        <v>#DIV/0!</v>
      </c>
      <c r="W36" s="3049"/>
      <c r="X36" s="972"/>
      <c r="Y36" s="972"/>
      <c r="Z36" s="972"/>
      <c r="AA36" s="972"/>
      <c r="AB36" s="972"/>
      <c r="AC36" s="972"/>
    </row>
    <row r="37" spans="1:30" ht="14.4">
      <c r="A37" s="965" t="s">
        <v>1424</v>
      </c>
      <c r="B37" s="966"/>
      <c r="C37" s="896" t="e">
        <f>R37</f>
        <v>#DIV/0!</v>
      </c>
      <c r="D37" s="896"/>
      <c r="E37" s="896"/>
      <c r="F37" s="896"/>
      <c r="G37" s="896"/>
      <c r="H37" s="896"/>
      <c r="I37" s="896"/>
      <c r="J37" s="896"/>
      <c r="K37" s="1016"/>
      <c r="L37" s="1044"/>
      <c r="M37" s="967"/>
      <c r="N37" s="967"/>
      <c r="O37" s="967"/>
      <c r="P37" s="3060" t="str">
        <f>A37</f>
        <v>估价对象XX用房的比较价值（楼面单价，元/平方米）</v>
      </c>
      <c r="Q37" s="3061"/>
      <c r="R37" s="3094" t="e">
        <f>IF(F1="售价",ROUND(IF(D36="简单平均",AVERAGE(R36:W36),R36*F36+T36*H36+V36*J36),0),ROUND(IF(D36="简单平均",AVERAGE(R36:V36),R36*F36+T36*H36+V36*J36),1))</f>
        <v>#DIV/0!</v>
      </c>
      <c r="S37" s="3094"/>
      <c r="T37" s="3094"/>
      <c r="U37" s="3094"/>
      <c r="V37" s="3094"/>
      <c r="W37" s="3094"/>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1425</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1426</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1427</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1428</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1387</v>
      </c>
      <c r="B46" s="1216"/>
      <c r="C46" s="1082" t="str">
        <f>YEAR(C7)&amp;"-"&amp;MONTH(C7)</f>
        <v>2022-12</v>
      </c>
      <c r="D46" s="1112">
        <f>EDATE(C46,-1)</f>
        <v>44866</v>
      </c>
      <c r="E46" s="1112">
        <f t="shared" ref="E46:O46" si="16">EDATE(D46,-1)</f>
        <v>44835</v>
      </c>
      <c r="F46" s="1112">
        <f t="shared" si="16"/>
        <v>44805</v>
      </c>
      <c r="G46" s="1112">
        <f t="shared" si="16"/>
        <v>44774</v>
      </c>
      <c r="H46" s="1112">
        <f t="shared" si="16"/>
        <v>44743</v>
      </c>
      <c r="I46" s="1112">
        <f t="shared" si="16"/>
        <v>44713</v>
      </c>
      <c r="J46" s="1112">
        <f t="shared" si="16"/>
        <v>44682</v>
      </c>
      <c r="K46" s="1112">
        <f t="shared" si="16"/>
        <v>44652</v>
      </c>
      <c r="L46" s="1112">
        <f t="shared" si="16"/>
        <v>44621</v>
      </c>
      <c r="M46" s="1112">
        <f t="shared" si="16"/>
        <v>44593</v>
      </c>
      <c r="N46" s="1112">
        <f t="shared" si="16"/>
        <v>44562</v>
      </c>
      <c r="O46" s="1112">
        <f t="shared" si="16"/>
        <v>44531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1429</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1390</v>
      </c>
      <c r="B49" s="1091"/>
      <c r="C49" s="1092" t="s">
        <v>1391</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1430</v>
      </c>
      <c r="B51" s="1096" t="s">
        <v>1394</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1397</v>
      </c>
      <c r="C53" s="1100" t="s">
        <v>1431</v>
      </c>
      <c r="D53" s="1100" t="s">
        <v>1432</v>
      </c>
      <c r="E53" s="1100" t="s">
        <v>1433</v>
      </c>
      <c r="F53" s="1100" t="s">
        <v>1434</v>
      </c>
      <c r="G53" s="1100" t="s">
        <v>1435</v>
      </c>
      <c r="H53" s="1100" t="s">
        <v>1436</v>
      </c>
      <c r="I53" s="1100" t="s">
        <v>1437</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1479</v>
      </c>
      <c r="D54" s="1102" t="s">
        <v>1479</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1399</v>
      </c>
      <c r="B61" s="1096" t="s">
        <v>1402</v>
      </c>
      <c r="C61" s="1112" t="s">
        <v>1438</v>
      </c>
      <c r="D61" s="1112" t="s">
        <v>1439</v>
      </c>
      <c r="E61" s="1112" t="s">
        <v>1440</v>
      </c>
      <c r="F61" s="1112" t="s">
        <v>1441</v>
      </c>
      <c r="G61" s="1112" t="s">
        <v>1442</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1507</v>
      </c>
      <c r="C63" s="1113" t="s">
        <v>1438</v>
      </c>
      <c r="D63" s="1113" t="s">
        <v>1439</v>
      </c>
      <c r="E63" s="1113" t="s">
        <v>1440</v>
      </c>
      <c r="F63" s="1113" t="s">
        <v>1441</v>
      </c>
      <c r="G63" s="1113" t="s">
        <v>1442</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1404</v>
      </c>
      <c r="C65" s="1061" t="s">
        <v>1443</v>
      </c>
      <c r="D65" s="1061" t="s">
        <v>1444</v>
      </c>
      <c r="E65" s="1061" t="s">
        <v>1445</v>
      </c>
      <c r="F65" s="1061" t="s">
        <v>1446</v>
      </c>
      <c r="G65" s="1061" t="s">
        <v>1447</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1405</v>
      </c>
      <c r="C67" s="1113" t="s">
        <v>1438</v>
      </c>
      <c r="D67" s="1113" t="s">
        <v>1439</v>
      </c>
      <c r="E67" s="1113" t="s">
        <v>1440</v>
      </c>
      <c r="F67" s="1113" t="s">
        <v>1441</v>
      </c>
      <c r="G67" s="1113" t="s">
        <v>1442</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1473</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1408</v>
      </c>
      <c r="B77" s="1096" t="s">
        <v>1414</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1496</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1497</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1505</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503</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1506</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1509</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64" t="s">
        <v>1377</v>
      </c>
      <c r="AC4" s="3063" t="s">
        <v>1378</v>
      </c>
    </row>
    <row r="5" spans="1:29">
      <c r="A5" s="893"/>
      <c r="B5" s="894"/>
      <c r="C5" s="3037" t="s">
        <v>1381</v>
      </c>
      <c r="D5" s="3038"/>
      <c r="E5" s="3039" t="s">
        <v>1382</v>
      </c>
      <c r="F5" s="3040"/>
      <c r="G5" s="3037" t="s">
        <v>1383</v>
      </c>
      <c r="H5" s="3038"/>
      <c r="I5" s="3037" t="s">
        <v>1384</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41" t="s">
        <v>1385</v>
      </c>
      <c r="D6" s="3042"/>
      <c r="E6" s="3043" t="s">
        <v>1385</v>
      </c>
      <c r="F6" s="3044"/>
      <c r="G6" s="3041" t="s">
        <v>1385</v>
      </c>
      <c r="H6" s="3042"/>
      <c r="I6" s="3041" t="s">
        <v>1385</v>
      </c>
      <c r="J6" s="3042"/>
      <c r="K6" s="1028" t="s">
        <v>1386</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45"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45" si="3">D8/F8</f>
        <v>#DIV/0!</v>
      </c>
      <c r="AB8" s="1076" t="e">
        <f t="shared" ref="AB8:AB45" si="4">D8/H8</f>
        <v>#DIV/0!</v>
      </c>
      <c r="AC8" s="1076" t="e">
        <f t="shared" ref="AC8:AC45" si="5">D8/J8</f>
        <v>#DIV/0!</v>
      </c>
    </row>
    <row r="9" spans="1:29" s="876" customFormat="1" ht="14.4">
      <c r="A9" s="904" t="s">
        <v>1393</v>
      </c>
      <c r="B9" s="905" t="s">
        <v>1394</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98"/>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t="s">
        <v>1510</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48"/>
      <c r="Q12" s="1069" t="str">
        <f t="shared" si="6"/>
        <v>配建</v>
      </c>
      <c r="R12" s="1056" t="s">
        <v>1389</v>
      </c>
      <c r="S12" s="1068">
        <f t="shared" si="0"/>
        <v>100</v>
      </c>
      <c r="T12" s="1056" t="s">
        <v>1389</v>
      </c>
      <c r="U12" s="1068">
        <f t="shared" si="1"/>
        <v>100</v>
      </c>
      <c r="V12" s="1056" t="s">
        <v>1389</v>
      </c>
      <c r="W12" s="1068">
        <f t="shared" si="2"/>
        <v>100</v>
      </c>
      <c r="X12" s="1073"/>
      <c r="Y12" s="2998"/>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076">
        <f t="shared" si="5"/>
        <v>1</v>
      </c>
    </row>
    <row r="15" spans="1:29" ht="96.6">
      <c r="A15" s="923" t="s">
        <v>1399</v>
      </c>
      <c r="B15" s="1174" t="s">
        <v>1400</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56" t="s">
        <v>1401</v>
      </c>
      <c r="Q15" s="1016" t="str">
        <f t="shared" si="6"/>
        <v>居住社区成熟度</v>
      </c>
      <c r="R15" s="1011" t="s">
        <v>1389</v>
      </c>
      <c r="S15" s="1043">
        <f t="shared" si="0"/>
        <v>100</v>
      </c>
      <c r="T15" s="1011" t="s">
        <v>1389</v>
      </c>
      <c r="U15" s="1043">
        <f t="shared" si="1"/>
        <v>100</v>
      </c>
      <c r="V15" s="1011" t="s">
        <v>1389</v>
      </c>
      <c r="W15" s="1043">
        <f t="shared" si="2"/>
        <v>100</v>
      </c>
      <c r="X15" s="1072"/>
      <c r="Y15" s="3056" t="s">
        <v>1401</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57"/>
      <c r="Q16" s="1016"/>
      <c r="R16" s="1011"/>
      <c r="S16" s="1043"/>
      <c r="T16" s="1011"/>
      <c r="U16" s="1043"/>
      <c r="V16" s="1011"/>
      <c r="W16" s="1043"/>
      <c r="X16" s="1072"/>
      <c r="Y16" s="3057"/>
      <c r="Z16" s="1046"/>
      <c r="AA16" s="1046">
        <v>1</v>
      </c>
      <c r="AB16" s="1046">
        <v>1</v>
      </c>
      <c r="AC16" s="1046">
        <v>1</v>
      </c>
    </row>
    <row r="17" spans="1:29" ht="82.8">
      <c r="A17" s="912"/>
      <c r="B17" s="1175" t="s">
        <v>1469</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57"/>
      <c r="Q17" s="1016" t="str">
        <f>B17</f>
        <v>商业繁华度</v>
      </c>
      <c r="R17" s="1011" t="s">
        <v>1389</v>
      </c>
      <c r="S17" s="1043">
        <f>F17</f>
        <v>100</v>
      </c>
      <c r="T17" s="1011" t="s">
        <v>1389</v>
      </c>
      <c r="U17" s="1043">
        <f>H17</f>
        <v>100</v>
      </c>
      <c r="V17" s="1011" t="s">
        <v>1389</v>
      </c>
      <c r="W17" s="1043">
        <f>J17</f>
        <v>100</v>
      </c>
      <c r="X17" s="1072"/>
      <c r="Y17" s="3057"/>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57"/>
      <c r="Q18" s="1016"/>
      <c r="R18" s="1011"/>
      <c r="S18" s="1043"/>
      <c r="T18" s="1011"/>
      <c r="U18" s="1043"/>
      <c r="V18" s="1011"/>
      <c r="W18" s="1043"/>
      <c r="X18" s="1072"/>
      <c r="Y18" s="3057"/>
      <c r="Z18" s="1046"/>
      <c r="AA18" s="1046">
        <v>1</v>
      </c>
      <c r="AB18" s="1046">
        <v>1</v>
      </c>
      <c r="AC18" s="1046">
        <v>1</v>
      </c>
    </row>
    <row r="19" spans="1:29" ht="82.8">
      <c r="A19" s="912"/>
      <c r="B19" s="1175" t="s">
        <v>1482</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57"/>
      <c r="Q19" s="1016" t="str">
        <f>B19</f>
        <v>办公集聚程度</v>
      </c>
      <c r="R19" s="1011" t="s">
        <v>1389</v>
      </c>
      <c r="S19" s="1043">
        <f>F19</f>
        <v>100</v>
      </c>
      <c r="T19" s="1011" t="s">
        <v>1389</v>
      </c>
      <c r="U19" s="1043">
        <f>H19</f>
        <v>100</v>
      </c>
      <c r="V19" s="1011" t="s">
        <v>1389</v>
      </c>
      <c r="W19" s="1043">
        <f>J19</f>
        <v>100</v>
      </c>
      <c r="X19" s="1072"/>
      <c r="Y19" s="3057"/>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57"/>
      <c r="Q20" s="1016"/>
      <c r="R20" s="1011"/>
      <c r="S20" s="1043"/>
      <c r="T20" s="1011"/>
      <c r="U20" s="1043"/>
      <c r="V20" s="1011"/>
      <c r="W20" s="1043"/>
      <c r="X20" s="1072"/>
      <c r="Y20" s="3057"/>
      <c r="Z20" s="1046"/>
      <c r="AA20" s="1046">
        <v>1</v>
      </c>
      <c r="AB20" s="1046">
        <v>1</v>
      </c>
      <c r="AC20" s="1046">
        <v>1</v>
      </c>
    </row>
    <row r="21" spans="1:29" ht="96.6">
      <c r="A21" s="912"/>
      <c r="B21" s="1175" t="s">
        <v>1402</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57"/>
      <c r="Q21" s="1016" t="str">
        <f>B21</f>
        <v>交通便捷度</v>
      </c>
      <c r="R21" s="1011" t="s">
        <v>1389</v>
      </c>
      <c r="S21" s="1043">
        <f>F21</f>
        <v>100</v>
      </c>
      <c r="T21" s="1011" t="s">
        <v>1389</v>
      </c>
      <c r="U21" s="1043">
        <f>H21</f>
        <v>100</v>
      </c>
      <c r="V21" s="1011" t="s">
        <v>1389</v>
      </c>
      <c r="W21" s="1043">
        <f>J21</f>
        <v>100</v>
      </c>
      <c r="X21" s="1072"/>
      <c r="Y21" s="3057"/>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57"/>
      <c r="Q22" s="1016"/>
      <c r="R22" s="1011"/>
      <c r="S22" s="1043"/>
      <c r="T22" s="1011"/>
      <c r="U22" s="1043"/>
      <c r="V22" s="1011"/>
      <c r="W22" s="1043"/>
      <c r="X22" s="1072"/>
      <c r="Y22" s="3057"/>
      <c r="Z22" s="1046"/>
      <c r="AA22" s="1046">
        <v>1</v>
      </c>
      <c r="AB22" s="1046">
        <v>1</v>
      </c>
      <c r="AC22" s="1046">
        <v>1</v>
      </c>
    </row>
    <row r="23" spans="1:29" ht="28.8">
      <c r="A23" s="893"/>
      <c r="B23" s="1175" t="s">
        <v>1511</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57"/>
      <c r="Q23" s="1016" t="str">
        <f t="shared" ref="Q23:Q38" si="8">B23</f>
        <v>区域土地利用方向</v>
      </c>
      <c r="R23" s="1011" t="s">
        <v>1389</v>
      </c>
      <c r="S23" s="1043">
        <f>F23</f>
        <v>100</v>
      </c>
      <c r="T23" s="1011" t="s">
        <v>1389</v>
      </c>
      <c r="U23" s="1043">
        <f>H23</f>
        <v>100</v>
      </c>
      <c r="V23" s="1011" t="s">
        <v>1389</v>
      </c>
      <c r="W23" s="1043">
        <f>J23</f>
        <v>100</v>
      </c>
      <c r="X23" s="1072"/>
      <c r="Y23" s="3057"/>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57"/>
      <c r="Q24" s="1016"/>
      <c r="R24" s="1011"/>
      <c r="S24" s="1043"/>
      <c r="T24" s="1011"/>
      <c r="U24" s="1043"/>
      <c r="V24" s="1011"/>
      <c r="W24" s="1043"/>
      <c r="X24" s="1072"/>
      <c r="Y24" s="3057"/>
      <c r="Z24" s="1046"/>
      <c r="AA24" s="1046"/>
      <c r="AB24" s="1046"/>
      <c r="AC24" s="1046"/>
    </row>
    <row r="25" spans="1:29" ht="55.2">
      <c r="A25" s="893"/>
      <c r="B25" s="1177" t="s">
        <v>1512</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57"/>
      <c r="Q25" s="1016" t="str">
        <f t="shared" si="8"/>
        <v>自然及人文环境状况</v>
      </c>
      <c r="R25" s="1011" t="s">
        <v>1389</v>
      </c>
      <c r="S25" s="1043">
        <f>F25</f>
        <v>100</v>
      </c>
      <c r="T25" s="1011" t="s">
        <v>1389</v>
      </c>
      <c r="U25" s="1043">
        <f>H25</f>
        <v>100</v>
      </c>
      <c r="V25" s="1011" t="s">
        <v>1389</v>
      </c>
      <c r="W25" s="1043">
        <f>J25</f>
        <v>100</v>
      </c>
      <c r="X25" s="1072"/>
      <c r="Y25" s="3057"/>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57"/>
      <c r="Q26" s="1016"/>
      <c r="R26" s="1011"/>
      <c r="S26" s="1043"/>
      <c r="T26" s="1011"/>
      <c r="U26" s="1043"/>
      <c r="V26" s="1011"/>
      <c r="W26" s="1043"/>
      <c r="X26" s="1072"/>
      <c r="Y26" s="3057"/>
      <c r="Z26" s="1046"/>
      <c r="AA26" s="1046">
        <v>1</v>
      </c>
      <c r="AB26" s="1046">
        <v>1</v>
      </c>
      <c r="AC26" s="1046">
        <v>1</v>
      </c>
    </row>
    <row r="27" spans="1:29" s="876" customFormat="1" ht="41.4">
      <c r="A27" s="934"/>
      <c r="B27" s="1177" t="s">
        <v>1403</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57"/>
      <c r="Q27" s="1069" t="str">
        <f t="shared" si="8"/>
        <v>公共配套设施</v>
      </c>
      <c r="R27" s="1056" t="s">
        <v>1389</v>
      </c>
      <c r="S27" s="1068">
        <f>F27</f>
        <v>100</v>
      </c>
      <c r="T27" s="1056" t="s">
        <v>1389</v>
      </c>
      <c r="U27" s="1068">
        <f>H27</f>
        <v>100</v>
      </c>
      <c r="V27" s="1056" t="s">
        <v>1389</v>
      </c>
      <c r="W27" s="1068">
        <f>J27</f>
        <v>100</v>
      </c>
      <c r="X27" s="1073"/>
      <c r="Y27" s="3057"/>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57"/>
      <c r="Q28" s="1069"/>
      <c r="R28" s="1056"/>
      <c r="S28" s="1068"/>
      <c r="T28" s="1056"/>
      <c r="U28" s="1068"/>
      <c r="V28" s="1056"/>
      <c r="W28" s="1068"/>
      <c r="X28" s="1073"/>
      <c r="Y28" s="3057"/>
      <c r="Z28" s="1076"/>
      <c r="AA28" s="1046">
        <v>1</v>
      </c>
      <c r="AB28" s="1046">
        <v>1</v>
      </c>
      <c r="AC28" s="1046">
        <v>1</v>
      </c>
    </row>
    <row r="29" spans="1:29" s="876" customFormat="1" ht="41.4">
      <c r="A29" s="934"/>
      <c r="B29" s="1177" t="s">
        <v>1404</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57"/>
      <c r="Q29" s="1069" t="str">
        <f t="shared" ref="Q29" si="9">B29</f>
        <v>基础设施水平</v>
      </c>
      <c r="R29" s="1056" t="s">
        <v>1389</v>
      </c>
      <c r="S29" s="1068">
        <f>F29</f>
        <v>100</v>
      </c>
      <c r="T29" s="1056" t="s">
        <v>1389</v>
      </c>
      <c r="U29" s="1068">
        <f>H29</f>
        <v>100</v>
      </c>
      <c r="V29" s="1056" t="s">
        <v>1389</v>
      </c>
      <c r="W29" s="1068">
        <f>J29</f>
        <v>100</v>
      </c>
      <c r="X29" s="1073"/>
      <c r="Y29" s="3057"/>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57"/>
      <c r="Q30" s="1069"/>
      <c r="R30" s="1056"/>
      <c r="S30" s="1068"/>
      <c r="T30" s="1056"/>
      <c r="U30" s="1068"/>
      <c r="V30" s="1056"/>
      <c r="W30" s="1068"/>
      <c r="X30" s="1073"/>
      <c r="Y30" s="3057"/>
      <c r="Z30" s="1076"/>
      <c r="AA30" s="1046">
        <v>1</v>
      </c>
      <c r="AB30" s="1046">
        <v>1</v>
      </c>
      <c r="AC30" s="1046">
        <v>1</v>
      </c>
    </row>
    <row r="31" spans="1:29" ht="15">
      <c r="A31" s="912"/>
      <c r="B31" s="948" t="s">
        <v>1470</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57"/>
      <c r="Q31" s="1016" t="str">
        <f t="shared" si="8"/>
        <v>临街状况</v>
      </c>
      <c r="R31" s="1011" t="s">
        <v>1389</v>
      </c>
      <c r="S31" s="1043">
        <f t="shared" ref="S31:S45" si="10">F31</f>
        <v>100</v>
      </c>
      <c r="T31" s="1011" t="s">
        <v>1389</v>
      </c>
      <c r="U31" s="1043">
        <f t="shared" ref="U31:U45" si="11">H31</f>
        <v>100</v>
      </c>
      <c r="V31" s="1011" t="s">
        <v>1389</v>
      </c>
      <c r="W31" s="1043">
        <f t="shared" ref="W31:W45" si="12">J31</f>
        <v>100</v>
      </c>
      <c r="X31" s="1072"/>
      <c r="Y31" s="3057"/>
      <c r="Z31" s="1046" t="str">
        <f t="shared" ref="Z31:Z45" si="13">Q31</f>
        <v>临街状况</v>
      </c>
      <c r="AA31" s="1046">
        <f t="shared" si="3"/>
        <v>1</v>
      </c>
      <c r="AB31" s="1046">
        <f t="shared" si="4"/>
        <v>1</v>
      </c>
      <c r="AC31" s="1046">
        <f t="shared" si="5"/>
        <v>1</v>
      </c>
    </row>
    <row r="32" spans="1:29" ht="28.8">
      <c r="A32" s="912"/>
      <c r="B32" s="1177" t="s">
        <v>1484</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57"/>
      <c r="Q32" s="1016" t="str">
        <f t="shared" si="8"/>
        <v>毗邻道路的类型与等级</v>
      </c>
      <c r="R32" s="1011" t="s">
        <v>1389</v>
      </c>
      <c r="S32" s="1043">
        <f t="shared" si="10"/>
        <v>100</v>
      </c>
      <c r="T32" s="1011" t="s">
        <v>1389</v>
      </c>
      <c r="U32" s="1043">
        <f t="shared" si="11"/>
        <v>100</v>
      </c>
      <c r="V32" s="1011" t="s">
        <v>1389</v>
      </c>
      <c r="W32" s="1043">
        <f t="shared" si="12"/>
        <v>100</v>
      </c>
      <c r="X32" s="1072"/>
      <c r="Y32" s="3057"/>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57"/>
      <c r="Q33" s="1016"/>
      <c r="R33" s="1011"/>
      <c r="S33" s="1043"/>
      <c r="T33" s="1011"/>
      <c r="U33" s="1043"/>
      <c r="V33" s="1011"/>
      <c r="W33" s="1043"/>
      <c r="X33" s="1072"/>
      <c r="Y33" s="3057"/>
      <c r="Z33" s="1046"/>
      <c r="AA33" s="1046">
        <v>1</v>
      </c>
      <c r="AB33" s="1046">
        <v>1</v>
      </c>
      <c r="AC33" s="1046">
        <v>1</v>
      </c>
    </row>
    <row r="34" spans="1:29" ht="15">
      <c r="A34" s="912"/>
      <c r="B34" s="909" t="s">
        <v>1513</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57"/>
      <c r="Q34" s="1016" t="str">
        <f t="shared" si="8"/>
        <v>土地级别</v>
      </c>
      <c r="R34" s="1011" t="s">
        <v>1389</v>
      </c>
      <c r="S34" s="1043">
        <f t="shared" si="10"/>
        <v>100</v>
      </c>
      <c r="T34" s="1011" t="s">
        <v>1389</v>
      </c>
      <c r="U34" s="1043">
        <f t="shared" si="11"/>
        <v>100</v>
      </c>
      <c r="V34" s="1011" t="s">
        <v>1389</v>
      </c>
      <c r="W34" s="1043">
        <f t="shared" si="12"/>
        <v>100</v>
      </c>
      <c r="X34" s="1072"/>
      <c r="Y34" s="3057"/>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57"/>
      <c r="Q35" s="1016">
        <f t="shared" si="8"/>
        <v>111</v>
      </c>
      <c r="R35" s="1011" t="s">
        <v>1389</v>
      </c>
      <c r="S35" s="1043">
        <f t="shared" si="10"/>
        <v>100</v>
      </c>
      <c r="T35" s="1011" t="s">
        <v>1389</v>
      </c>
      <c r="U35" s="1043">
        <f t="shared" si="11"/>
        <v>100</v>
      </c>
      <c r="V35" s="1011" t="s">
        <v>1389</v>
      </c>
      <c r="W35" s="1043">
        <f t="shared" si="12"/>
        <v>100</v>
      </c>
      <c r="X35" s="1072"/>
      <c r="Y35" s="3057"/>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3" t="s">
        <v>1410</v>
      </c>
      <c r="Q36" s="1016">
        <f t="shared" si="8"/>
        <v>111</v>
      </c>
      <c r="R36" s="1011" t="s">
        <v>1389</v>
      </c>
      <c r="S36" s="1043">
        <f t="shared" si="10"/>
        <v>100</v>
      </c>
      <c r="T36" s="1011" t="s">
        <v>1389</v>
      </c>
      <c r="U36" s="1043">
        <f t="shared" si="11"/>
        <v>100</v>
      </c>
      <c r="V36" s="1011" t="s">
        <v>1389</v>
      </c>
      <c r="W36" s="1043">
        <f t="shared" si="12"/>
        <v>100</v>
      </c>
      <c r="X36" s="1072"/>
      <c r="Y36" s="3058" t="s">
        <v>1410</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58"/>
      <c r="Q37" s="1016">
        <f t="shared" si="8"/>
        <v>111</v>
      </c>
      <c r="R37" s="1070" t="s">
        <v>1389</v>
      </c>
      <c r="S37" s="1071">
        <f t="shared" si="10"/>
        <v>100</v>
      </c>
      <c r="T37" s="1070" t="s">
        <v>1389</v>
      </c>
      <c r="U37" s="1071">
        <f t="shared" si="11"/>
        <v>100</v>
      </c>
      <c r="V37" s="1070" t="s">
        <v>1389</v>
      </c>
      <c r="W37" s="1071">
        <f t="shared" si="12"/>
        <v>100</v>
      </c>
      <c r="X37" s="1074"/>
      <c r="Y37" s="3058"/>
      <c r="Z37" s="1077">
        <f t="shared" si="13"/>
        <v>111</v>
      </c>
      <c r="AA37" s="1046">
        <f t="shared" si="3"/>
        <v>1</v>
      </c>
      <c r="AB37" s="1046">
        <f t="shared" si="4"/>
        <v>1</v>
      </c>
      <c r="AC37" s="1046">
        <f t="shared" si="5"/>
        <v>1</v>
      </c>
    </row>
    <row r="38" spans="1:29" ht="15.6">
      <c r="A38" s="950" t="s">
        <v>1408</v>
      </c>
      <c r="B38" s="948" t="s">
        <v>1514</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58"/>
      <c r="Q38" s="1016" t="str">
        <f t="shared" si="8"/>
        <v>宗地面积</v>
      </c>
      <c r="R38" s="1011" t="s">
        <v>1389</v>
      </c>
      <c r="S38" s="1043" t="e">
        <f t="shared" si="10"/>
        <v>#N/A</v>
      </c>
      <c r="T38" s="1011" t="s">
        <v>1389</v>
      </c>
      <c r="U38" s="1043" t="e">
        <f t="shared" si="11"/>
        <v>#N/A</v>
      </c>
      <c r="V38" s="1011" t="s">
        <v>1389</v>
      </c>
      <c r="W38" s="1043" t="e">
        <f t="shared" si="12"/>
        <v>#N/A</v>
      </c>
      <c r="X38" s="1072"/>
      <c r="Y38" s="3058"/>
      <c r="Z38" s="1046" t="str">
        <f t="shared" si="13"/>
        <v>宗地面积</v>
      </c>
      <c r="AA38" s="1046" t="e">
        <f t="shared" si="3"/>
        <v>#N/A</v>
      </c>
      <c r="AB38" s="1046" t="e">
        <f t="shared" si="4"/>
        <v>#N/A</v>
      </c>
      <c r="AC38" s="1046" t="e">
        <f t="shared" si="5"/>
        <v>#N/A</v>
      </c>
    </row>
    <row r="39" spans="1:29" ht="15">
      <c r="A39" s="950"/>
      <c r="B39" s="909" t="s">
        <v>1515</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58"/>
      <c r="Q39" s="1016" t="str">
        <f t="shared" ref="Q39:Q45" si="14">B39</f>
        <v>宗地形状</v>
      </c>
      <c r="R39" s="1011" t="s">
        <v>1389</v>
      </c>
      <c r="S39" s="1043">
        <f t="shared" si="10"/>
        <v>100</v>
      </c>
      <c r="T39" s="1011" t="s">
        <v>1389</v>
      </c>
      <c r="U39" s="1043">
        <f t="shared" si="11"/>
        <v>100</v>
      </c>
      <c r="V39" s="1011" t="s">
        <v>1389</v>
      </c>
      <c r="W39" s="1043">
        <f t="shared" si="12"/>
        <v>100</v>
      </c>
      <c r="X39" s="1072"/>
      <c r="Y39" s="3058"/>
      <c r="Z39" s="1046" t="str">
        <f t="shared" si="13"/>
        <v>宗地形状</v>
      </c>
      <c r="AA39" s="1046">
        <f t="shared" si="3"/>
        <v>1</v>
      </c>
      <c r="AB39" s="1046">
        <f t="shared" si="4"/>
        <v>1</v>
      </c>
      <c r="AC39" s="1046">
        <f t="shared" si="5"/>
        <v>1</v>
      </c>
    </row>
    <row r="40" spans="1:29" ht="15">
      <c r="A40" s="950"/>
      <c r="B40" s="909" t="s">
        <v>1516</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58"/>
      <c r="Q40" s="1016" t="str">
        <f t="shared" si="14"/>
        <v>临街宽度及深度</v>
      </c>
      <c r="R40" s="1011" t="s">
        <v>1389</v>
      </c>
      <c r="S40" s="1043">
        <f t="shared" si="10"/>
        <v>100</v>
      </c>
      <c r="T40" s="1011" t="s">
        <v>1389</v>
      </c>
      <c r="U40" s="1043">
        <f t="shared" si="11"/>
        <v>100</v>
      </c>
      <c r="V40" s="1011" t="s">
        <v>1389</v>
      </c>
      <c r="W40" s="1043">
        <f t="shared" si="12"/>
        <v>100</v>
      </c>
      <c r="X40" s="1072"/>
      <c r="Y40" s="3058"/>
      <c r="Z40" s="1046" t="str">
        <f t="shared" si="13"/>
        <v>临街宽度及深度</v>
      </c>
      <c r="AA40" s="1046">
        <f t="shared" si="3"/>
        <v>1</v>
      </c>
      <c r="AB40" s="1046">
        <f t="shared" si="4"/>
        <v>1</v>
      </c>
      <c r="AC40" s="1046">
        <f t="shared" si="5"/>
        <v>1</v>
      </c>
    </row>
    <row r="41" spans="1:29" s="876" customFormat="1" ht="15">
      <c r="A41" s="952"/>
      <c r="B41" s="909" t="s">
        <v>1517</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58"/>
      <c r="Q41" s="1016" t="str">
        <f t="shared" si="14"/>
        <v>宗地开发程度</v>
      </c>
      <c r="R41" s="1056" t="s">
        <v>1389</v>
      </c>
      <c r="S41" s="1068">
        <f t="shared" si="10"/>
        <v>100</v>
      </c>
      <c r="T41" s="1056" t="s">
        <v>1389</v>
      </c>
      <c r="U41" s="1068">
        <f t="shared" si="11"/>
        <v>100</v>
      </c>
      <c r="V41" s="1056" t="s">
        <v>1389</v>
      </c>
      <c r="W41" s="1068">
        <f t="shared" si="12"/>
        <v>100</v>
      </c>
      <c r="X41" s="1073"/>
      <c r="Y41" s="3058"/>
      <c r="Z41" s="1076" t="str">
        <f t="shared" si="13"/>
        <v>宗地开发程度</v>
      </c>
      <c r="AA41" s="1076">
        <f t="shared" si="3"/>
        <v>1</v>
      </c>
      <c r="AB41" s="1076">
        <f t="shared" si="4"/>
        <v>1</v>
      </c>
      <c r="AC41" s="1076">
        <f t="shared" si="5"/>
        <v>1</v>
      </c>
    </row>
    <row r="42" spans="1:29" ht="15">
      <c r="A42" s="950"/>
      <c r="B42" s="909" t="s">
        <v>1518</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58" t="s">
        <v>1410</v>
      </c>
      <c r="Q42" s="1016" t="str">
        <f t="shared" si="14"/>
        <v>工程地质条件</v>
      </c>
      <c r="R42" s="1011" t="s">
        <v>1389</v>
      </c>
      <c r="S42" s="1043">
        <f t="shared" si="10"/>
        <v>100</v>
      </c>
      <c r="T42" s="1011" t="s">
        <v>1389</v>
      </c>
      <c r="U42" s="1043">
        <f t="shared" si="11"/>
        <v>100</v>
      </c>
      <c r="V42" s="1011" t="s">
        <v>1389</v>
      </c>
      <c r="W42" s="1043">
        <f t="shared" si="12"/>
        <v>100</v>
      </c>
      <c r="X42" s="1072"/>
      <c r="Y42" s="3058" t="s">
        <v>1410</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58"/>
      <c r="Q43" s="1016">
        <f t="shared" si="14"/>
        <v>111</v>
      </c>
      <c r="R43" s="1011" t="s">
        <v>1389</v>
      </c>
      <c r="S43" s="1043">
        <f t="shared" si="10"/>
        <v>100</v>
      </c>
      <c r="T43" s="1011" t="s">
        <v>1389</v>
      </c>
      <c r="U43" s="1043">
        <f t="shared" si="11"/>
        <v>100</v>
      </c>
      <c r="V43" s="1011" t="s">
        <v>1389</v>
      </c>
      <c r="W43" s="1043">
        <f t="shared" si="12"/>
        <v>100</v>
      </c>
      <c r="X43" s="1072"/>
      <c r="Y43" s="3058"/>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58"/>
      <c r="Q44" s="1016">
        <f t="shared" si="14"/>
        <v>111</v>
      </c>
      <c r="R44" s="1011" t="s">
        <v>1389</v>
      </c>
      <c r="S44" s="1043">
        <f t="shared" si="10"/>
        <v>100</v>
      </c>
      <c r="T44" s="1011" t="s">
        <v>1389</v>
      </c>
      <c r="U44" s="1043">
        <f t="shared" si="11"/>
        <v>100</v>
      </c>
      <c r="V44" s="1011" t="s">
        <v>1389</v>
      </c>
      <c r="W44" s="1043">
        <f t="shared" si="12"/>
        <v>100</v>
      </c>
      <c r="X44" s="1072"/>
      <c r="Y44" s="3058"/>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58"/>
      <c r="Q45" s="1016">
        <f t="shared" si="14"/>
        <v>111</v>
      </c>
      <c r="R45" s="1070" t="s">
        <v>1389</v>
      </c>
      <c r="S45" s="1071">
        <f t="shared" si="10"/>
        <v>100</v>
      </c>
      <c r="T45" s="1070" t="s">
        <v>1389</v>
      </c>
      <c r="U45" s="1071">
        <f t="shared" si="11"/>
        <v>100</v>
      </c>
      <c r="V45" s="1070" t="s">
        <v>1389</v>
      </c>
      <c r="W45" s="1071">
        <f t="shared" si="12"/>
        <v>100</v>
      </c>
      <c r="X45" s="1074"/>
      <c r="Y45" s="3058"/>
      <c r="Z45" s="1077">
        <f t="shared" si="13"/>
        <v>111</v>
      </c>
      <c r="AA45" s="1046">
        <f t="shared" si="3"/>
        <v>1</v>
      </c>
      <c r="AB45" s="1046">
        <f t="shared" si="4"/>
        <v>1</v>
      </c>
      <c r="AC45" s="1046">
        <f t="shared" si="5"/>
        <v>1</v>
      </c>
    </row>
    <row r="46" spans="1:29" ht="14.4">
      <c r="A46" s="957" t="s">
        <v>1501</v>
      </c>
      <c r="B46" s="958" t="s">
        <v>1519</v>
      </c>
      <c r="C46" s="959" t="s">
        <v>124</v>
      </c>
      <c r="D46" s="960"/>
      <c r="E46" s="1005"/>
      <c r="F46" s="1006"/>
      <c r="G46" s="1007"/>
      <c r="H46" s="1008"/>
      <c r="I46" s="1005"/>
      <c r="J46" s="1008"/>
      <c r="K46" s="1043"/>
      <c r="L46" s="1044"/>
      <c r="M46" s="967"/>
      <c r="N46" s="967"/>
      <c r="O46" s="967"/>
      <c r="P46" s="3048" t="str">
        <f>A46</f>
        <v>成交单价</v>
      </c>
      <c r="Q46" s="3048"/>
      <c r="R46" s="3049">
        <f>E46</f>
        <v>0</v>
      </c>
      <c r="S46" s="3049"/>
      <c r="T46" s="3049">
        <f>G46</f>
        <v>0</v>
      </c>
      <c r="U46" s="3049"/>
      <c r="V46" s="3049">
        <f>I46</f>
        <v>0</v>
      </c>
      <c r="W46" s="3049"/>
      <c r="X46" s="972"/>
      <c r="Y46" s="1078"/>
      <c r="Z46" s="972"/>
      <c r="AA46" s="972"/>
      <c r="AB46" s="972"/>
      <c r="AC46" s="972"/>
    </row>
    <row r="47" spans="1:29" ht="14.4">
      <c r="A47" s="961" t="s">
        <v>1422</v>
      </c>
      <c r="B47" s="962"/>
      <c r="C47" s="963" t="e">
        <f>R48</f>
        <v>#DIV/0!</v>
      </c>
      <c r="D47" s="964" t="s">
        <v>1423</v>
      </c>
      <c r="E47" s="963" t="e">
        <f>R47</f>
        <v>#DIV/0!</v>
      </c>
      <c r="F47" s="1009"/>
      <c r="G47" s="1010" t="e">
        <f>T47</f>
        <v>#DIV/0!</v>
      </c>
      <c r="H47" s="1009"/>
      <c r="I47" s="963" t="e">
        <f>V47</f>
        <v>#DIV/0!</v>
      </c>
      <c r="J47" s="1009"/>
      <c r="K47" s="1045">
        <f>F47+H47+J47</f>
        <v>0</v>
      </c>
      <c r="L47" s="1044"/>
      <c r="M47" s="967"/>
      <c r="N47" s="967"/>
      <c r="O47" s="967"/>
      <c r="P47" s="3048" t="str">
        <f>A47</f>
        <v>比较价值（元/平方米）</v>
      </c>
      <c r="Q47" s="3048"/>
      <c r="R47" s="3049" t="e">
        <f>ROUND(PRODUCT(R46,AA7:AA45),0)</f>
        <v>#DIV/0!</v>
      </c>
      <c r="S47" s="3049"/>
      <c r="T47" s="3049" t="e">
        <f>ROUND(PRODUCT(T46,AB7:AB45),0)</f>
        <v>#DIV/0!</v>
      </c>
      <c r="U47" s="3049"/>
      <c r="V47" s="3049" t="e">
        <f>ROUND(PRODUCT(V46,AC7:AC45),0)</f>
        <v>#DIV/0!</v>
      </c>
      <c r="W47" s="3049"/>
      <c r="X47" s="972"/>
      <c r="Y47" s="972"/>
      <c r="Z47" s="972"/>
      <c r="AA47" s="972"/>
      <c r="AB47" s="972"/>
      <c r="AC47" s="972"/>
    </row>
    <row r="48" spans="1:29" ht="14.4">
      <c r="A48" s="965" t="s">
        <v>1520</v>
      </c>
      <c r="B48" s="966"/>
      <c r="C48" s="896" t="e">
        <f>R48</f>
        <v>#DIV/0!</v>
      </c>
      <c r="D48" s="896"/>
      <c r="E48" s="896"/>
      <c r="F48" s="896"/>
      <c r="G48" s="896"/>
      <c r="H48" s="896"/>
      <c r="I48" s="896"/>
      <c r="J48" s="896"/>
      <c r="K48" s="1016"/>
      <c r="L48" s="1044"/>
      <c r="M48" s="967"/>
      <c r="N48" s="967"/>
      <c r="O48" s="967"/>
      <c r="P48" s="3060" t="str">
        <f>A48</f>
        <v>估价对象XX用房的比较价值（楼面单价，元/平方米）</v>
      </c>
      <c r="Q48" s="3061"/>
      <c r="R48" s="3062" t="e">
        <f>ROUND(IF(D47="简单平均",AVERAGE(R47:W47),R47*F47+T47*H47+V47*J47),0)</f>
        <v>#DIV/0!</v>
      </c>
      <c r="S48" s="3062"/>
      <c r="T48" s="3062"/>
      <c r="U48" s="3062"/>
      <c r="V48" s="3062"/>
      <c r="W48" s="3062"/>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1425</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1426</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1427</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1521</v>
      </c>
      <c r="B55" s="975" t="s">
        <v>1522</v>
      </c>
      <c r="C55" s="976" t="s">
        <v>1523</v>
      </c>
      <c r="D55" s="977" t="s">
        <v>1524</v>
      </c>
      <c r="E55" s="975" t="s">
        <v>1525</v>
      </c>
      <c r="F55" s="1182" t="s">
        <v>1526</v>
      </c>
      <c r="G55" s="3033" t="s">
        <v>1527</v>
      </c>
      <c r="H55" s="3096"/>
      <c r="I55" s="1183" t="s">
        <v>1528</v>
      </c>
      <c r="J55" s="1184">
        <f>项目基本情况!F35</f>
        <v>0</v>
      </c>
      <c r="K55" s="1047" t="s">
        <v>1529</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1530</v>
      </c>
      <c r="B56" s="240" t="e">
        <f>C48</f>
        <v>#DIV/0!</v>
      </c>
      <c r="C56" s="266">
        <v>1</v>
      </c>
      <c r="D56" s="979">
        <v>1</v>
      </c>
      <c r="E56" s="266">
        <f>'数据-汇总表'!E8+'数据-汇总表'!E9</f>
        <v>0</v>
      </c>
      <c r="F56" s="285" t="e">
        <f t="shared" ref="F56:F65" si="15">ROUND(B56*E56/10000,0)</f>
        <v>#DIV/0!</v>
      </c>
      <c r="G56" s="3050"/>
      <c r="H56" s="3048"/>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1531</v>
      </c>
      <c r="B57" s="240" t="e">
        <f>ROUND($C$48*C57*D57,0)</f>
        <v>#DIV/0!</v>
      </c>
      <c r="C57" s="981">
        <f t="shared" ref="C57:C65" si="16">IF($C$55="北京市系数",I57,J57)</f>
        <v>0.7</v>
      </c>
      <c r="D57" s="982">
        <v>0.25</v>
      </c>
      <c r="E57" s="239"/>
      <c r="F57" s="285" t="e">
        <f t="shared" si="15"/>
        <v>#DIV/0!</v>
      </c>
      <c r="G57" s="3095" t="s">
        <v>1532</v>
      </c>
      <c r="H57" s="1018" t="str">
        <f>项目基本情况!B37</f>
        <v>二级</v>
      </c>
      <c r="I57" s="1185">
        <f>SUMIF(修正!A57:A68,H57,修正!B57:B68)</f>
        <v>0.7</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1533</v>
      </c>
      <c r="B58" s="240" t="e">
        <f t="shared" ref="B58:B65" si="17">ROUND($C$48*C58*D58,0)</f>
        <v>#DIV/0!</v>
      </c>
      <c r="C58" s="981">
        <f t="shared" si="16"/>
        <v>0.4</v>
      </c>
      <c r="D58" s="982">
        <v>0.25</v>
      </c>
      <c r="E58" s="239"/>
      <c r="F58" s="285" t="e">
        <f t="shared" si="15"/>
        <v>#DIV/0!</v>
      </c>
      <c r="G58" s="3095"/>
      <c r="H58" s="1018" t="str">
        <f>项目基本情况!B37</f>
        <v>二级</v>
      </c>
      <c r="I58" s="1185">
        <f>SUMIF(修正!A57:A68,H58,修正!C57:C68)</f>
        <v>0.4</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1534</v>
      </c>
      <c r="B59" s="240" t="e">
        <f t="shared" si="17"/>
        <v>#DIV/0!</v>
      </c>
      <c r="C59" s="981">
        <f t="shared" si="16"/>
        <v>0.3</v>
      </c>
      <c r="D59" s="982">
        <v>0.25</v>
      </c>
      <c r="E59" s="239"/>
      <c r="F59" s="285" t="e">
        <f t="shared" si="15"/>
        <v>#DIV/0!</v>
      </c>
      <c r="G59" s="3095"/>
      <c r="H59" s="1018" t="str">
        <f>项目基本情况!B37</f>
        <v>二级</v>
      </c>
      <c r="I59" s="1185">
        <f>SUMIF(修正!A57:A68,H59,修正!D57:D68)</f>
        <v>0.3</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1535</v>
      </c>
      <c r="B60" s="240" t="e">
        <f t="shared" si="17"/>
        <v>#DIV/0!</v>
      </c>
      <c r="C60" s="981" t="e">
        <f t="shared" si="16"/>
        <v>#REF!</v>
      </c>
      <c r="D60" s="982">
        <v>0.25</v>
      </c>
      <c r="E60" s="239"/>
      <c r="F60" s="285" t="e">
        <f t="shared" si="15"/>
        <v>#DIV/0!</v>
      </c>
      <c r="G60" s="3095"/>
      <c r="H60" s="1018" t="str">
        <f>项目基本情况!B37</f>
        <v>二级</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1536</v>
      </c>
      <c r="B61" s="240" t="e">
        <f t="shared" si="17"/>
        <v>#DIV/0!</v>
      </c>
      <c r="C61" s="981">
        <f t="shared" si="16"/>
        <v>0.3</v>
      </c>
      <c r="D61" s="982">
        <v>0.25</v>
      </c>
      <c r="E61" s="240">
        <f>'数据-汇总表'!E11</f>
        <v>0</v>
      </c>
      <c r="F61" s="285" t="e">
        <f t="shared" si="15"/>
        <v>#DIV/0!</v>
      </c>
      <c r="G61" s="1017" t="s">
        <v>1537</v>
      </c>
      <c r="H61" s="1018" t="str">
        <f>项目基本情况!C37</f>
        <v>二级</v>
      </c>
      <c r="I61" s="1185">
        <f>SUMIF(修正!A57:A68,H61,修正!E57:E68)</f>
        <v>0.3</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1538</v>
      </c>
      <c r="B62" s="240" t="e">
        <f t="shared" si="17"/>
        <v>#DIV/0!</v>
      </c>
      <c r="C62" s="981">
        <f t="shared" si="16"/>
        <v>0.3</v>
      </c>
      <c r="D62" s="982">
        <v>0.25</v>
      </c>
      <c r="E62" s="240">
        <f>'数据-汇总表'!E12</f>
        <v>0</v>
      </c>
      <c r="F62" s="285" t="e">
        <f t="shared" si="15"/>
        <v>#DIV/0!</v>
      </c>
      <c r="G62" s="1019" t="s">
        <v>1539</v>
      </c>
      <c r="H62" s="1018" t="str">
        <f>IF(G62="商业",项目基本情况!B37,IF(G62="办公",项目基本情况!C37,IF(G62="住宅",项目基本情况!D37,项目基本情况!E37)))</f>
        <v>二级</v>
      </c>
      <c r="I62" s="1185">
        <f>SUMIF(修正!A57:A68,H62,修正!F57:F68)</f>
        <v>0.3</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1540</v>
      </c>
      <c r="B63" s="240" t="e">
        <f t="shared" si="17"/>
        <v>#DIV/0!</v>
      </c>
      <c r="C63" s="981">
        <f t="shared" si="16"/>
        <v>0</v>
      </c>
      <c r="D63" s="982">
        <v>0.25</v>
      </c>
      <c r="E63" s="240">
        <f>'数据-汇总表'!E13</f>
        <v>0</v>
      </c>
      <c r="F63" s="285" t="e">
        <f t="shared" si="15"/>
        <v>#DIV/0!</v>
      </c>
      <c r="G63" s="1019" t="s">
        <v>1541</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1542</v>
      </c>
      <c r="B64" s="240" t="e">
        <f t="shared" si="17"/>
        <v>#DIV/0!</v>
      </c>
      <c r="C64" s="981">
        <f t="shared" si="16"/>
        <v>0.2</v>
      </c>
      <c r="D64" s="982">
        <v>0.25</v>
      </c>
      <c r="E64" s="240">
        <f>'数据-汇总表'!E14</f>
        <v>0</v>
      </c>
      <c r="F64" s="285" t="e">
        <f t="shared" si="15"/>
        <v>#DIV/0!</v>
      </c>
      <c r="G64" s="1017" t="s">
        <v>1532</v>
      </c>
      <c r="H64" s="1018" t="str">
        <f>项目基本情况!B37</f>
        <v>二级</v>
      </c>
      <c r="I64" s="1185">
        <f>SUMIF(修正!A57:A68,H64,修正!G57:G68)</f>
        <v>0.2</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1543</v>
      </c>
      <c r="B65" s="240" t="e">
        <f t="shared" si="17"/>
        <v>#DIV/0!</v>
      </c>
      <c r="C65" s="981">
        <f t="shared" si="16"/>
        <v>0.2</v>
      </c>
      <c r="D65" s="982">
        <v>0.25</v>
      </c>
      <c r="E65" s="240">
        <f>'数据-汇总表'!E15</f>
        <v>0</v>
      </c>
      <c r="F65" s="285" t="e">
        <f t="shared" si="15"/>
        <v>#DIV/0!</v>
      </c>
      <c r="G65" s="1020" t="s">
        <v>1537</v>
      </c>
      <c r="H65" s="1021" t="str">
        <f>项目基本情况!C37</f>
        <v>二级</v>
      </c>
      <c r="I65" s="1190">
        <f>SUMIF(修正!A57:A68,H65,修正!G57:G68)</f>
        <v>0.2</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1544</v>
      </c>
      <c r="B66" s="984" t="s">
        <v>1479</v>
      </c>
      <c r="C66" s="984" t="s">
        <v>1479</v>
      </c>
      <c r="D66" s="984" t="s">
        <v>1479</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2022-12-1</v>
      </c>
      <c r="D68" s="972">
        <f>EDATE(C68,-3)</f>
        <v>44805</v>
      </c>
      <c r="E68" s="972">
        <f>EDATE(D68,-3)</f>
        <v>44713</v>
      </c>
      <c r="F68" s="972">
        <f t="shared" ref="F68:O68" si="18">EDATE(E68,-3)</f>
        <v>44621</v>
      </c>
      <c r="G68" s="972">
        <f t="shared" si="18"/>
        <v>44531</v>
      </c>
      <c r="H68" s="972">
        <f t="shared" si="18"/>
        <v>44440</v>
      </c>
      <c r="I68" s="972">
        <f t="shared" si="18"/>
        <v>44348</v>
      </c>
      <c r="J68" s="972">
        <f t="shared" si="18"/>
        <v>44256</v>
      </c>
      <c r="K68" s="972">
        <f t="shared" si="18"/>
        <v>44166</v>
      </c>
      <c r="L68" s="972">
        <f t="shared" si="18"/>
        <v>44075</v>
      </c>
      <c r="M68" s="972">
        <f t="shared" si="18"/>
        <v>43983</v>
      </c>
      <c r="N68" s="972">
        <f t="shared" si="18"/>
        <v>43891</v>
      </c>
      <c r="O68" s="972">
        <f t="shared" si="18"/>
        <v>43800</v>
      </c>
      <c r="P68" s="967"/>
      <c r="Q68" s="967"/>
      <c r="R68" s="967"/>
      <c r="S68" s="967"/>
      <c r="T68" s="967"/>
      <c r="U68" s="967"/>
      <c r="V68" s="967"/>
      <c r="W68" s="967"/>
      <c r="X68" s="967"/>
      <c r="Y68" s="967"/>
      <c r="Z68" s="967"/>
      <c r="AA68" s="967"/>
      <c r="AB68" s="967"/>
      <c r="AC68" s="967"/>
    </row>
    <row r="69" spans="1:29" ht="21.6">
      <c r="A69" s="986" t="s">
        <v>1428</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1545</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1546</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1429</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1390</v>
      </c>
      <c r="B73" s="1091"/>
      <c r="C73" s="1092" t="s">
        <v>1391</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1430</v>
      </c>
      <c r="B75" s="1096" t="s">
        <v>1394</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1397</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1398</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1399</v>
      </c>
      <c r="B88" s="1096" t="s">
        <v>1400</v>
      </c>
      <c r="C88" s="1112" t="s">
        <v>1438</v>
      </c>
      <c r="D88" s="1112" t="s">
        <v>1439</v>
      </c>
      <c r="E88" s="1112" t="s">
        <v>1440</v>
      </c>
      <c r="F88" s="1112" t="s">
        <v>1441</v>
      </c>
      <c r="G88" s="1112" t="s">
        <v>1442</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1469</v>
      </c>
      <c r="C90" s="1113" t="s">
        <v>1438</v>
      </c>
      <c r="D90" s="1113" t="s">
        <v>1439</v>
      </c>
      <c r="E90" s="1113" t="s">
        <v>1440</v>
      </c>
      <c r="F90" s="1113" t="s">
        <v>1441</v>
      </c>
      <c r="G90" s="1113" t="s">
        <v>1442</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1482</v>
      </c>
      <c r="C92" s="1113" t="s">
        <v>1438</v>
      </c>
      <c r="D92" s="1113" t="s">
        <v>1439</v>
      </c>
      <c r="E92" s="1113" t="s">
        <v>1440</v>
      </c>
      <c r="F92" s="1113" t="s">
        <v>1441</v>
      </c>
      <c r="G92" s="1113" t="s">
        <v>1442</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1402</v>
      </c>
      <c r="C94" s="1113" t="s">
        <v>1438</v>
      </c>
      <c r="D94" s="1113" t="s">
        <v>1439</v>
      </c>
      <c r="E94" s="1113" t="s">
        <v>1440</v>
      </c>
      <c r="F94" s="1113" t="s">
        <v>1441</v>
      </c>
      <c r="G94" s="1113" t="s">
        <v>1442</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1511</v>
      </c>
      <c r="C96" s="1113" t="s">
        <v>1438</v>
      </c>
      <c r="D96" s="1113" t="s">
        <v>1439</v>
      </c>
      <c r="E96" s="1113" t="s">
        <v>1440</v>
      </c>
      <c r="F96" s="1113" t="s">
        <v>1441</v>
      </c>
      <c r="G96" s="1113" t="s">
        <v>1442</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1512</v>
      </c>
      <c r="C98" s="1112" t="s">
        <v>1438</v>
      </c>
      <c r="D98" s="1112" t="s">
        <v>1439</v>
      </c>
      <c r="E98" s="1112" t="s">
        <v>1440</v>
      </c>
      <c r="F98" s="1112" t="s">
        <v>1441</v>
      </c>
      <c r="G98" s="1112" t="s">
        <v>1442</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1403</v>
      </c>
      <c r="C100" s="1112" t="s">
        <v>1438</v>
      </c>
      <c r="D100" s="1112" t="s">
        <v>1439</v>
      </c>
      <c r="E100" s="1112" t="s">
        <v>1440</v>
      </c>
      <c r="F100" s="1112" t="s">
        <v>1441</v>
      </c>
      <c r="G100" s="1112" t="s">
        <v>1442</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1404</v>
      </c>
      <c r="C102" s="1061" t="s">
        <v>1443</v>
      </c>
      <c r="D102" s="1061" t="s">
        <v>1444</v>
      </c>
      <c r="E102" s="1061" t="s">
        <v>1445</v>
      </c>
      <c r="F102" s="1061" t="s">
        <v>1446</v>
      </c>
      <c r="G102" s="1061" t="s">
        <v>1447</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1547</v>
      </c>
      <c r="D104" s="1100" t="s">
        <v>1548</v>
      </c>
      <c r="E104" s="1100" t="s">
        <v>1549</v>
      </c>
      <c r="F104" s="1100" t="s">
        <v>1550</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1484</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1513</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1408</v>
      </c>
      <c r="B116" s="1096" t="s">
        <v>1514</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1515</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1516</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1517</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1518</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1488</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3" t="s">
        <v>1375</v>
      </c>
      <c r="D4" s="3034"/>
      <c r="E4" s="3035" t="s">
        <v>1376</v>
      </c>
      <c r="F4" s="3036"/>
      <c r="G4" s="3033" t="s">
        <v>1377</v>
      </c>
      <c r="H4" s="3034"/>
      <c r="I4" s="3033" t="s">
        <v>1378</v>
      </c>
      <c r="J4" s="3034"/>
      <c r="K4" s="1028" t="s">
        <v>1379</v>
      </c>
      <c r="L4" s="1029"/>
      <c r="M4" s="967"/>
      <c r="N4" s="967"/>
      <c r="O4" s="967"/>
      <c r="P4" s="3066" t="s">
        <v>1380</v>
      </c>
      <c r="Q4" s="3067"/>
      <c r="R4" s="3072" t="s">
        <v>1376</v>
      </c>
      <c r="S4" s="3073"/>
      <c r="T4" s="3072" t="s">
        <v>1377</v>
      </c>
      <c r="U4" s="3073"/>
      <c r="V4" s="3049" t="s">
        <v>1378</v>
      </c>
      <c r="W4" s="3049"/>
      <c r="X4" s="1072"/>
      <c r="Y4" s="3072" t="s">
        <v>1380</v>
      </c>
      <c r="Z4" s="3073"/>
      <c r="AA4" s="3063" t="s">
        <v>1376</v>
      </c>
      <c r="AB4" s="3064" t="s">
        <v>1377</v>
      </c>
      <c r="AC4" s="3063" t="s">
        <v>1378</v>
      </c>
    </row>
    <row r="5" spans="1:29">
      <c r="A5" s="893"/>
      <c r="B5" s="894"/>
      <c r="C5" s="3037" t="s">
        <v>1381</v>
      </c>
      <c r="D5" s="3038"/>
      <c r="E5" s="3039" t="s">
        <v>1382</v>
      </c>
      <c r="F5" s="3040"/>
      <c r="G5" s="3037" t="s">
        <v>1383</v>
      </c>
      <c r="H5" s="3038"/>
      <c r="I5" s="3037" t="s">
        <v>1384</v>
      </c>
      <c r="J5" s="3038"/>
      <c r="K5" s="1028"/>
      <c r="L5" s="1029"/>
      <c r="M5" s="967"/>
      <c r="N5" s="967"/>
      <c r="O5" s="967"/>
      <c r="P5" s="3068"/>
      <c r="Q5" s="3069"/>
      <c r="R5" s="3074"/>
      <c r="S5" s="3075"/>
      <c r="T5" s="3074"/>
      <c r="U5" s="3075"/>
      <c r="V5" s="3049"/>
      <c r="W5" s="3049"/>
      <c r="X5" s="1072"/>
      <c r="Y5" s="3074"/>
      <c r="Z5" s="3075"/>
      <c r="AA5" s="3064"/>
      <c r="AB5" s="3064"/>
      <c r="AC5" s="3064"/>
    </row>
    <row r="6" spans="1:29" ht="14.4">
      <c r="A6" s="895"/>
      <c r="B6" s="896"/>
      <c r="C6" s="3097" t="s">
        <v>1551</v>
      </c>
      <c r="D6" s="3098"/>
      <c r="E6" s="3099" t="s">
        <v>1551</v>
      </c>
      <c r="F6" s="3100"/>
      <c r="G6" s="3097" t="s">
        <v>1551</v>
      </c>
      <c r="H6" s="3098"/>
      <c r="I6" s="3097" t="s">
        <v>1551</v>
      </c>
      <c r="J6" s="3098"/>
      <c r="K6" s="1028" t="s">
        <v>1386</v>
      </c>
      <c r="L6" s="1029"/>
      <c r="M6" s="967"/>
      <c r="N6" s="967"/>
      <c r="O6" s="967"/>
      <c r="P6" s="3070"/>
      <c r="Q6" s="3071"/>
      <c r="R6" s="3074"/>
      <c r="S6" s="3075"/>
      <c r="T6" s="3076"/>
      <c r="U6" s="3077"/>
      <c r="V6" s="3049"/>
      <c r="W6" s="3049"/>
      <c r="X6" s="1072"/>
      <c r="Y6" s="3076"/>
      <c r="Z6" s="3077"/>
      <c r="AA6" s="3065"/>
      <c r="AB6" s="3065"/>
      <c r="AC6" s="3065"/>
    </row>
    <row r="7" spans="1:29" s="876" customFormat="1" ht="14.4">
      <c r="A7" s="899" t="s">
        <v>1387</v>
      </c>
      <c r="B7" s="900"/>
      <c r="C7" s="901">
        <f>'数据-取费表'!B2</f>
        <v>44904</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45" t="s">
        <v>1388</v>
      </c>
      <c r="Q7" s="3046"/>
      <c r="R7" s="1056" t="s">
        <v>1389</v>
      </c>
      <c r="S7" s="1068">
        <f t="shared" ref="S7:S15" si="0">F7</f>
        <v>0</v>
      </c>
      <c r="T7" s="1056" t="s">
        <v>1389</v>
      </c>
      <c r="U7" s="1068">
        <f t="shared" ref="U7:U15" si="1">H7</f>
        <v>0</v>
      </c>
      <c r="V7" s="1056" t="s">
        <v>1389</v>
      </c>
      <c r="W7" s="1068">
        <f t="shared" ref="W7:W15" si="2">J7</f>
        <v>0</v>
      </c>
      <c r="X7" s="1073"/>
      <c r="Y7" s="3045" t="s">
        <v>1388</v>
      </c>
      <c r="Z7" s="3047"/>
      <c r="AA7" s="1076" t="e">
        <f>D7/F7</f>
        <v>#DIV/0!</v>
      </c>
      <c r="AB7" s="1076" t="e">
        <f>D7/H7</f>
        <v>#DIV/0!</v>
      </c>
      <c r="AC7" s="1076" t="e">
        <f>D7/J7</f>
        <v>#DIV/0!</v>
      </c>
    </row>
    <row r="8" spans="1:29" s="876" customFormat="1" ht="14.4">
      <c r="A8" s="899" t="s">
        <v>1390</v>
      </c>
      <c r="B8" s="900"/>
      <c r="C8" s="903" t="s">
        <v>1391</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45" t="s">
        <v>1392</v>
      </c>
      <c r="Q8" s="3047"/>
      <c r="R8" s="1056" t="s">
        <v>1389</v>
      </c>
      <c r="S8" s="1068">
        <f t="shared" si="0"/>
        <v>0</v>
      </c>
      <c r="T8" s="1056" t="s">
        <v>1389</v>
      </c>
      <c r="U8" s="1068">
        <f t="shared" si="1"/>
        <v>0</v>
      </c>
      <c r="V8" s="1056" t="s">
        <v>1389</v>
      </c>
      <c r="W8" s="1068">
        <f t="shared" si="2"/>
        <v>0</v>
      </c>
      <c r="X8" s="1073"/>
      <c r="Y8" s="3045" t="s">
        <v>1392</v>
      </c>
      <c r="Z8" s="3047"/>
      <c r="AA8" s="1076" t="e">
        <f t="shared" ref="AA8:AA40" si="3">D8/F8</f>
        <v>#DIV/0!</v>
      </c>
      <c r="AB8" s="1076" t="e">
        <f t="shared" ref="AB8:AB40" si="4">D8/H8</f>
        <v>#DIV/0!</v>
      </c>
      <c r="AC8" s="1076" t="e">
        <f t="shared" ref="AC8:AC40" si="5">D8/J8</f>
        <v>#DIV/0!</v>
      </c>
    </row>
    <row r="9" spans="1:29" s="876" customFormat="1" ht="14.4">
      <c r="A9" s="904" t="s">
        <v>1393</v>
      </c>
      <c r="B9" s="905" t="s">
        <v>1394</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48" t="s">
        <v>1395</v>
      </c>
      <c r="Q9" s="1069" t="str">
        <f t="shared" ref="Q9:Q15" si="6">B9</f>
        <v>用途</v>
      </c>
      <c r="R9" s="1056" t="s">
        <v>1389</v>
      </c>
      <c r="S9" s="1068">
        <f t="shared" si="0"/>
        <v>100</v>
      </c>
      <c r="T9" s="1056" t="s">
        <v>1389</v>
      </c>
      <c r="U9" s="1068">
        <f t="shared" si="1"/>
        <v>100</v>
      </c>
      <c r="V9" s="1056" t="s">
        <v>1389</v>
      </c>
      <c r="W9" s="1068">
        <f t="shared" si="2"/>
        <v>100</v>
      </c>
      <c r="X9" s="1073"/>
      <c r="Y9" s="2998"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48"/>
      <c r="Q10" s="1069" t="str">
        <f t="shared" si="6"/>
        <v>土地使用年限（年）</v>
      </c>
      <c r="R10" s="1056" t="s">
        <v>1389</v>
      </c>
      <c r="S10" s="1068" t="e">
        <f t="shared" si="0"/>
        <v>#DIV/0!</v>
      </c>
      <c r="T10" s="1056" t="s">
        <v>1389</v>
      </c>
      <c r="U10" s="1068" t="e">
        <f t="shared" si="1"/>
        <v>#DIV/0!</v>
      </c>
      <c r="V10" s="1056" t="s">
        <v>1389</v>
      </c>
      <c r="W10" s="1068" t="e">
        <f t="shared" si="2"/>
        <v>#DIV/0!</v>
      </c>
      <c r="X10" s="1073"/>
      <c r="Y10" s="2998"/>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48"/>
      <c r="Q11" s="1069" t="str">
        <f t="shared" si="6"/>
        <v>容积率</v>
      </c>
      <c r="R11" s="1056" t="s">
        <v>1389</v>
      </c>
      <c r="S11" s="1068" t="e">
        <f t="shared" si="0"/>
        <v>#N/A</v>
      </c>
      <c r="T11" s="1056" t="s">
        <v>1389</v>
      </c>
      <c r="U11" s="1068" t="e">
        <f t="shared" si="1"/>
        <v>#N/A</v>
      </c>
      <c r="V11" s="1056" t="s">
        <v>1389</v>
      </c>
      <c r="W11" s="1068" t="e">
        <f t="shared" si="2"/>
        <v>#N/A</v>
      </c>
      <c r="X11" s="1073"/>
      <c r="Y11" s="2998"/>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48"/>
      <c r="Q12" s="1069">
        <f t="shared" si="6"/>
        <v>111</v>
      </c>
      <c r="R12" s="1056" t="s">
        <v>1389</v>
      </c>
      <c r="S12" s="1068">
        <f t="shared" si="0"/>
        <v>100</v>
      </c>
      <c r="T12" s="1056" t="s">
        <v>1389</v>
      </c>
      <c r="U12" s="1068">
        <f t="shared" si="1"/>
        <v>100</v>
      </c>
      <c r="V12" s="1056" t="s">
        <v>1389</v>
      </c>
      <c r="W12" s="1068">
        <f t="shared" si="2"/>
        <v>100</v>
      </c>
      <c r="X12" s="1073"/>
      <c r="Y12" s="2998"/>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48"/>
      <c r="Q13" s="1069">
        <f t="shared" si="6"/>
        <v>111</v>
      </c>
      <c r="R13" s="1056" t="s">
        <v>1389</v>
      </c>
      <c r="S13" s="1068">
        <f t="shared" si="0"/>
        <v>100</v>
      </c>
      <c r="T13" s="1056" t="s">
        <v>1389</v>
      </c>
      <c r="U13" s="1068">
        <f t="shared" si="1"/>
        <v>100</v>
      </c>
      <c r="V13" s="1056" t="s">
        <v>1389</v>
      </c>
      <c r="W13" s="1068">
        <f t="shared" si="2"/>
        <v>100</v>
      </c>
      <c r="X13" s="1073"/>
      <c r="Y13" s="2998"/>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48"/>
      <c r="Q14" s="1069">
        <f t="shared" si="6"/>
        <v>111</v>
      </c>
      <c r="R14" s="1056" t="s">
        <v>1389</v>
      </c>
      <c r="S14" s="1068">
        <f t="shared" si="0"/>
        <v>100</v>
      </c>
      <c r="T14" s="1056" t="s">
        <v>1389</v>
      </c>
      <c r="U14" s="1068">
        <f t="shared" si="1"/>
        <v>100</v>
      </c>
      <c r="V14" s="1056" t="s">
        <v>1389</v>
      </c>
      <c r="W14" s="1068">
        <f t="shared" si="2"/>
        <v>100</v>
      </c>
      <c r="X14" s="1073"/>
      <c r="Y14" s="2998"/>
      <c r="Z14" s="1076">
        <f t="shared" si="7"/>
        <v>111</v>
      </c>
      <c r="AA14" s="1076">
        <f t="shared" si="3"/>
        <v>1</v>
      </c>
      <c r="AB14" s="1076">
        <f t="shared" si="4"/>
        <v>1</v>
      </c>
      <c r="AC14" s="1076">
        <f t="shared" si="5"/>
        <v>1</v>
      </c>
    </row>
    <row r="15" spans="1:29" ht="69">
      <c r="A15" s="923" t="s">
        <v>1399</v>
      </c>
      <c r="B15" s="924" t="s">
        <v>1489</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56" t="s">
        <v>1401</v>
      </c>
      <c r="Q15" s="1016" t="str">
        <f t="shared" si="6"/>
        <v>产业集聚程度</v>
      </c>
      <c r="R15" s="1011" t="s">
        <v>1389</v>
      </c>
      <c r="S15" s="1043">
        <f t="shared" si="0"/>
        <v>100</v>
      </c>
      <c r="T15" s="1011" t="s">
        <v>1389</v>
      </c>
      <c r="U15" s="1043">
        <f t="shared" si="1"/>
        <v>100</v>
      </c>
      <c r="V15" s="1011" t="s">
        <v>1389</v>
      </c>
      <c r="W15" s="1043">
        <f t="shared" si="2"/>
        <v>100</v>
      </c>
      <c r="X15" s="1072"/>
      <c r="Y15" s="3056" t="s">
        <v>1401</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57"/>
      <c r="Q16" s="1016"/>
      <c r="R16" s="1011"/>
      <c r="S16" s="1043"/>
      <c r="T16" s="1011"/>
      <c r="U16" s="1043"/>
      <c r="V16" s="1011"/>
      <c r="W16" s="1043"/>
      <c r="X16" s="1072"/>
      <c r="Y16" s="3057"/>
      <c r="Z16" s="1046"/>
      <c r="AA16" s="1046">
        <v>1</v>
      </c>
      <c r="AB16" s="1046">
        <v>1</v>
      </c>
      <c r="AC16" s="1046">
        <v>1</v>
      </c>
    </row>
    <row r="17" spans="1:29" ht="96.6">
      <c r="A17" s="912"/>
      <c r="B17" s="930" t="s">
        <v>1402</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57"/>
      <c r="Q17" s="1016" t="str">
        <f>B17</f>
        <v>交通便捷度</v>
      </c>
      <c r="R17" s="1011" t="s">
        <v>1389</v>
      </c>
      <c r="S17" s="1043">
        <f>F17</f>
        <v>100</v>
      </c>
      <c r="T17" s="1011" t="s">
        <v>1389</v>
      </c>
      <c r="U17" s="1043">
        <f>H17</f>
        <v>100</v>
      </c>
      <c r="V17" s="1011" t="s">
        <v>1389</v>
      </c>
      <c r="W17" s="1043">
        <f>J17</f>
        <v>100</v>
      </c>
      <c r="X17" s="1072"/>
      <c r="Y17" s="3057"/>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57"/>
      <c r="Q18" s="1016"/>
      <c r="R18" s="1011"/>
      <c r="S18" s="1043"/>
      <c r="T18" s="1011"/>
      <c r="U18" s="1043"/>
      <c r="V18" s="1011"/>
      <c r="W18" s="1043"/>
      <c r="X18" s="1072"/>
      <c r="Y18" s="3057"/>
      <c r="Z18" s="1046"/>
      <c r="AA18" s="1046">
        <v>1</v>
      </c>
      <c r="AB18" s="1046">
        <v>1</v>
      </c>
      <c r="AC18" s="1046">
        <v>1</v>
      </c>
    </row>
    <row r="19" spans="1:29" ht="28.8">
      <c r="A19" s="912"/>
      <c r="B19" s="930" t="s">
        <v>1511</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57"/>
      <c r="Q19" s="1016" t="str">
        <f t="shared" ref="Q19:Q34" si="8">B19</f>
        <v>区域土地利用方向</v>
      </c>
      <c r="R19" s="1011" t="s">
        <v>1389</v>
      </c>
      <c r="S19" s="1043">
        <f>F19</f>
        <v>100</v>
      </c>
      <c r="T19" s="1011" t="s">
        <v>1389</v>
      </c>
      <c r="U19" s="1043">
        <f>H19</f>
        <v>100</v>
      </c>
      <c r="V19" s="1011" t="s">
        <v>1389</v>
      </c>
      <c r="W19" s="1043">
        <f>J19</f>
        <v>100</v>
      </c>
      <c r="X19" s="1072"/>
      <c r="Y19" s="3057"/>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57"/>
      <c r="Q20" s="1016"/>
      <c r="R20" s="1011"/>
      <c r="S20" s="1043"/>
      <c r="T20" s="1011"/>
      <c r="U20" s="1043"/>
      <c r="V20" s="1011"/>
      <c r="W20" s="1043"/>
      <c r="X20" s="1072"/>
      <c r="Y20" s="3057"/>
      <c r="Z20" s="1046"/>
      <c r="AA20" s="1046"/>
      <c r="AB20" s="1046"/>
      <c r="AC20" s="1046"/>
    </row>
    <row r="21" spans="1:29" ht="82.8">
      <c r="A21" s="893"/>
      <c r="B21" s="930" t="s">
        <v>1552</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57"/>
      <c r="Q21" s="1016" t="str">
        <f t="shared" si="8"/>
        <v>环境状况</v>
      </c>
      <c r="R21" s="1011" t="s">
        <v>1389</v>
      </c>
      <c r="S21" s="1043">
        <f>F21</f>
        <v>100</v>
      </c>
      <c r="T21" s="1011" t="s">
        <v>1389</v>
      </c>
      <c r="U21" s="1043">
        <f>H21</f>
        <v>100</v>
      </c>
      <c r="V21" s="1011" t="s">
        <v>1389</v>
      </c>
      <c r="W21" s="1043">
        <f>J21</f>
        <v>100</v>
      </c>
      <c r="X21" s="1072"/>
      <c r="Y21" s="3057"/>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57"/>
      <c r="Q22" s="1016"/>
      <c r="R22" s="1011"/>
      <c r="S22" s="1043"/>
      <c r="T22" s="1011"/>
      <c r="U22" s="1043"/>
      <c r="V22" s="1011"/>
      <c r="W22" s="1043"/>
      <c r="X22" s="1072"/>
      <c r="Y22" s="3057"/>
      <c r="Z22" s="1046"/>
      <c r="AA22" s="1046">
        <v>1</v>
      </c>
      <c r="AB22" s="1046">
        <v>1</v>
      </c>
      <c r="AC22" s="1046">
        <v>1</v>
      </c>
    </row>
    <row r="23" spans="1:29" s="876" customFormat="1" ht="41.4">
      <c r="A23" s="934"/>
      <c r="B23" s="935" t="s">
        <v>1403</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57"/>
      <c r="Q23" s="1069" t="str">
        <f t="shared" si="8"/>
        <v>公共配套设施</v>
      </c>
      <c r="R23" s="1056" t="s">
        <v>1389</v>
      </c>
      <c r="S23" s="1068">
        <f>F23</f>
        <v>100</v>
      </c>
      <c r="T23" s="1056" t="s">
        <v>1389</v>
      </c>
      <c r="U23" s="1068">
        <f>H23</f>
        <v>100</v>
      </c>
      <c r="V23" s="1056" t="s">
        <v>1389</v>
      </c>
      <c r="W23" s="1068">
        <f>J23</f>
        <v>100</v>
      </c>
      <c r="X23" s="1073"/>
      <c r="Y23" s="3057"/>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57"/>
      <c r="Q24" s="1069"/>
      <c r="R24" s="1056"/>
      <c r="S24" s="1068"/>
      <c r="T24" s="1056"/>
      <c r="U24" s="1068"/>
      <c r="V24" s="1056"/>
      <c r="W24" s="1068"/>
      <c r="X24" s="1073"/>
      <c r="Y24" s="3057"/>
      <c r="Z24" s="1076"/>
      <c r="AA24" s="1076">
        <v>1</v>
      </c>
      <c r="AB24" s="1076">
        <v>1</v>
      </c>
      <c r="AC24" s="1076">
        <v>1</v>
      </c>
    </row>
    <row r="25" spans="1:29" s="876" customFormat="1" ht="41.4">
      <c r="A25" s="934"/>
      <c r="B25" s="935" t="s">
        <v>1404</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57"/>
      <c r="Q25" s="1069" t="str">
        <f t="shared" ref="Q25" si="9">B25</f>
        <v>基础设施水平</v>
      </c>
      <c r="R25" s="1056" t="s">
        <v>1389</v>
      </c>
      <c r="S25" s="1068">
        <f>F25</f>
        <v>100</v>
      </c>
      <c r="T25" s="1056" t="s">
        <v>1389</v>
      </c>
      <c r="U25" s="1068">
        <f>H25</f>
        <v>100</v>
      </c>
      <c r="V25" s="1056" t="s">
        <v>1389</v>
      </c>
      <c r="W25" s="1068">
        <f>J25</f>
        <v>100</v>
      </c>
      <c r="X25" s="1073"/>
      <c r="Y25" s="3057"/>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57"/>
      <c r="Q26" s="1069"/>
      <c r="R26" s="1056"/>
      <c r="S26" s="1068"/>
      <c r="T26" s="1056"/>
      <c r="U26" s="1068"/>
      <c r="V26" s="1056"/>
      <c r="W26" s="1068"/>
      <c r="X26" s="1073"/>
      <c r="Y26" s="3057"/>
      <c r="Z26" s="1076"/>
      <c r="AA26" s="1076">
        <v>1</v>
      </c>
      <c r="AB26" s="1076">
        <v>1</v>
      </c>
      <c r="AC26" s="1076">
        <v>1</v>
      </c>
    </row>
    <row r="27" spans="1:29" ht="15">
      <c r="A27" s="912"/>
      <c r="B27" s="933" t="s">
        <v>1470</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57"/>
      <c r="Q27" s="1016" t="str">
        <f t="shared" si="8"/>
        <v>临街状况</v>
      </c>
      <c r="R27" s="1011" t="s">
        <v>1389</v>
      </c>
      <c r="S27" s="1043">
        <f t="shared" ref="S27:S40" si="10">F27</f>
        <v>100</v>
      </c>
      <c r="T27" s="1011" t="s">
        <v>1389</v>
      </c>
      <c r="U27" s="1043">
        <f t="shared" ref="U27:U40" si="11">H27</f>
        <v>100</v>
      </c>
      <c r="V27" s="1011" t="s">
        <v>1389</v>
      </c>
      <c r="W27" s="1043">
        <f t="shared" ref="W27:W40" si="12">J27</f>
        <v>100</v>
      </c>
      <c r="X27" s="1072"/>
      <c r="Y27" s="3057"/>
      <c r="Z27" s="1046" t="str">
        <f t="shared" ref="Z27:Z40" si="13">Q27</f>
        <v>临街状况</v>
      </c>
      <c r="AA27" s="1046">
        <f t="shared" si="3"/>
        <v>1</v>
      </c>
      <c r="AB27" s="1046">
        <f t="shared" si="4"/>
        <v>1</v>
      </c>
      <c r="AC27" s="1046">
        <f t="shared" si="5"/>
        <v>1</v>
      </c>
    </row>
    <row r="28" spans="1:29" ht="28.8">
      <c r="A28" s="912"/>
      <c r="B28" s="935" t="s">
        <v>1484</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57"/>
      <c r="Q28" s="1016" t="str">
        <f t="shared" si="8"/>
        <v>毗邻道路的类型与等级</v>
      </c>
      <c r="R28" s="1011" t="s">
        <v>1389</v>
      </c>
      <c r="S28" s="1043">
        <f t="shared" si="10"/>
        <v>100</v>
      </c>
      <c r="T28" s="1011" t="s">
        <v>1389</v>
      </c>
      <c r="U28" s="1043">
        <f t="shared" si="11"/>
        <v>100</v>
      </c>
      <c r="V28" s="1011" t="s">
        <v>1389</v>
      </c>
      <c r="W28" s="1043">
        <f t="shared" si="12"/>
        <v>100</v>
      </c>
      <c r="X28" s="1072"/>
      <c r="Y28" s="3057"/>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57"/>
      <c r="Q29" s="1016"/>
      <c r="R29" s="1011"/>
      <c r="S29" s="1043"/>
      <c r="T29" s="1011"/>
      <c r="U29" s="1043"/>
      <c r="V29" s="1011"/>
      <c r="W29" s="1043"/>
      <c r="X29" s="1072"/>
      <c r="Y29" s="3057"/>
      <c r="Z29" s="1046"/>
      <c r="AA29" s="1046">
        <v>1</v>
      </c>
      <c r="AB29" s="1046">
        <v>1</v>
      </c>
      <c r="AC29" s="1046">
        <v>1</v>
      </c>
    </row>
    <row r="30" spans="1:29" ht="15">
      <c r="A30" s="912"/>
      <c r="B30" s="911" t="s">
        <v>1513</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57"/>
      <c r="Q30" s="1016" t="str">
        <f t="shared" si="8"/>
        <v>土地级别</v>
      </c>
      <c r="R30" s="1011" t="s">
        <v>1389</v>
      </c>
      <c r="S30" s="1043">
        <f t="shared" si="10"/>
        <v>100</v>
      </c>
      <c r="T30" s="1011" t="s">
        <v>1389</v>
      </c>
      <c r="U30" s="1043">
        <f t="shared" si="11"/>
        <v>100</v>
      </c>
      <c r="V30" s="1011" t="s">
        <v>1389</v>
      </c>
      <c r="W30" s="1043">
        <f t="shared" si="12"/>
        <v>100</v>
      </c>
      <c r="X30" s="1072"/>
      <c r="Y30" s="3057"/>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57"/>
      <c r="Q31" s="1016">
        <f t="shared" si="8"/>
        <v>111</v>
      </c>
      <c r="R31" s="1011" t="s">
        <v>1389</v>
      </c>
      <c r="S31" s="1043">
        <f t="shared" si="10"/>
        <v>100</v>
      </c>
      <c r="T31" s="1011" t="s">
        <v>1389</v>
      </c>
      <c r="U31" s="1043">
        <f t="shared" si="11"/>
        <v>100</v>
      </c>
      <c r="V31" s="1011" t="s">
        <v>1389</v>
      </c>
      <c r="W31" s="1043">
        <f t="shared" si="12"/>
        <v>100</v>
      </c>
      <c r="X31" s="1072"/>
      <c r="Y31" s="3057"/>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3" t="s">
        <v>1410</v>
      </c>
      <c r="Q32" s="1016">
        <f t="shared" si="8"/>
        <v>111</v>
      </c>
      <c r="R32" s="1011" t="s">
        <v>1389</v>
      </c>
      <c r="S32" s="1043">
        <f t="shared" si="10"/>
        <v>100</v>
      </c>
      <c r="T32" s="1011" t="s">
        <v>1389</v>
      </c>
      <c r="U32" s="1043">
        <f t="shared" si="11"/>
        <v>100</v>
      </c>
      <c r="V32" s="1011" t="s">
        <v>1389</v>
      </c>
      <c r="W32" s="1043">
        <f t="shared" si="12"/>
        <v>100</v>
      </c>
      <c r="X32" s="1072"/>
      <c r="Y32" s="3058" t="s">
        <v>1410</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58"/>
      <c r="Q33" s="1016">
        <f t="shared" si="8"/>
        <v>111</v>
      </c>
      <c r="R33" s="1070" t="s">
        <v>1389</v>
      </c>
      <c r="S33" s="1071">
        <f t="shared" si="10"/>
        <v>100</v>
      </c>
      <c r="T33" s="1070" t="s">
        <v>1389</v>
      </c>
      <c r="U33" s="1071">
        <f t="shared" si="11"/>
        <v>100</v>
      </c>
      <c r="V33" s="1070" t="s">
        <v>1389</v>
      </c>
      <c r="W33" s="1071">
        <f t="shared" si="12"/>
        <v>100</v>
      </c>
      <c r="X33" s="1074"/>
      <c r="Y33" s="3058"/>
      <c r="Z33" s="1077">
        <f t="shared" si="13"/>
        <v>111</v>
      </c>
      <c r="AA33" s="1046">
        <f t="shared" si="3"/>
        <v>1</v>
      </c>
      <c r="AB33" s="1046">
        <f t="shared" si="4"/>
        <v>1</v>
      </c>
      <c r="AC33" s="1046">
        <f t="shared" si="5"/>
        <v>1</v>
      </c>
    </row>
    <row r="34" spans="1:31" ht="15">
      <c r="A34" s="923" t="s">
        <v>1408</v>
      </c>
      <c r="B34" s="948" t="s">
        <v>1514</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58"/>
      <c r="Q34" s="1016" t="str">
        <f t="shared" si="8"/>
        <v>宗地面积</v>
      </c>
      <c r="R34" s="1011" t="s">
        <v>1389</v>
      </c>
      <c r="S34" s="1043" t="e">
        <f t="shared" si="10"/>
        <v>#N/A</v>
      </c>
      <c r="T34" s="1011" t="s">
        <v>1389</v>
      </c>
      <c r="U34" s="1043" t="e">
        <f t="shared" si="11"/>
        <v>#N/A</v>
      </c>
      <c r="V34" s="1011" t="s">
        <v>1389</v>
      </c>
      <c r="W34" s="1043" t="e">
        <f t="shared" si="12"/>
        <v>#N/A</v>
      </c>
      <c r="X34" s="1072"/>
      <c r="Y34" s="3058"/>
      <c r="Z34" s="1046" t="str">
        <f t="shared" si="13"/>
        <v>宗地面积</v>
      </c>
      <c r="AA34" s="1046" t="e">
        <f t="shared" si="3"/>
        <v>#N/A</v>
      </c>
      <c r="AB34" s="1046" t="e">
        <f t="shared" si="4"/>
        <v>#N/A</v>
      </c>
      <c r="AC34" s="1046" t="e">
        <f t="shared" si="5"/>
        <v>#N/A</v>
      </c>
    </row>
    <row r="35" spans="1:31" ht="15">
      <c r="A35" s="950"/>
      <c r="B35" s="909" t="s">
        <v>1515</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58"/>
      <c r="Q35" s="1016" t="str">
        <f t="shared" ref="Q35:Q40" si="14">B35</f>
        <v>宗地形状</v>
      </c>
      <c r="R35" s="1011" t="s">
        <v>1389</v>
      </c>
      <c r="S35" s="1043">
        <f t="shared" si="10"/>
        <v>100</v>
      </c>
      <c r="T35" s="1011" t="s">
        <v>1389</v>
      </c>
      <c r="U35" s="1043">
        <f t="shared" si="11"/>
        <v>100</v>
      </c>
      <c r="V35" s="1011" t="s">
        <v>1389</v>
      </c>
      <c r="W35" s="1043">
        <f t="shared" si="12"/>
        <v>100</v>
      </c>
      <c r="X35" s="1072"/>
      <c r="Y35" s="3058"/>
      <c r="Z35" s="1046" t="str">
        <f t="shared" si="13"/>
        <v>宗地形状</v>
      </c>
      <c r="AA35" s="1046">
        <f t="shared" si="3"/>
        <v>1</v>
      </c>
      <c r="AB35" s="1046">
        <f t="shared" si="4"/>
        <v>1</v>
      </c>
      <c r="AC35" s="1046">
        <f t="shared" si="5"/>
        <v>1</v>
      </c>
    </row>
    <row r="36" spans="1:31" s="876" customFormat="1" ht="15">
      <c r="A36" s="952"/>
      <c r="B36" s="909" t="s">
        <v>1517</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58"/>
      <c r="Q36" s="1016" t="str">
        <f t="shared" si="14"/>
        <v>宗地开发程度</v>
      </c>
      <c r="R36" s="1056" t="s">
        <v>1389</v>
      </c>
      <c r="S36" s="1068">
        <f t="shared" si="10"/>
        <v>100</v>
      </c>
      <c r="T36" s="1056" t="s">
        <v>1389</v>
      </c>
      <c r="U36" s="1068">
        <f t="shared" si="11"/>
        <v>100</v>
      </c>
      <c r="V36" s="1056" t="s">
        <v>1389</v>
      </c>
      <c r="W36" s="1068">
        <f t="shared" si="12"/>
        <v>100</v>
      </c>
      <c r="X36" s="1073"/>
      <c r="Y36" s="3058"/>
      <c r="Z36" s="1076" t="str">
        <f t="shared" si="13"/>
        <v>宗地开发程度</v>
      </c>
      <c r="AA36" s="1076">
        <f t="shared" si="3"/>
        <v>1</v>
      </c>
      <c r="AB36" s="1076">
        <f t="shared" si="4"/>
        <v>1</v>
      </c>
      <c r="AC36" s="1076">
        <f t="shared" si="5"/>
        <v>1</v>
      </c>
    </row>
    <row r="37" spans="1:31" ht="15">
      <c r="A37" s="950"/>
      <c r="B37" s="909" t="s">
        <v>1518</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58" t="s">
        <v>1410</v>
      </c>
      <c r="Q37" s="1016" t="str">
        <f t="shared" si="14"/>
        <v>工程地质条件</v>
      </c>
      <c r="R37" s="1011" t="s">
        <v>1389</v>
      </c>
      <c r="S37" s="1043">
        <f t="shared" si="10"/>
        <v>100</v>
      </c>
      <c r="T37" s="1011" t="s">
        <v>1389</v>
      </c>
      <c r="U37" s="1043">
        <f t="shared" si="11"/>
        <v>100</v>
      </c>
      <c r="V37" s="1011" t="s">
        <v>1389</v>
      </c>
      <c r="W37" s="1043">
        <f t="shared" si="12"/>
        <v>100</v>
      </c>
      <c r="X37" s="1072"/>
      <c r="Y37" s="3058" t="s">
        <v>1410</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58"/>
      <c r="Q38" s="1016">
        <f t="shared" si="14"/>
        <v>111</v>
      </c>
      <c r="R38" s="1011" t="s">
        <v>1389</v>
      </c>
      <c r="S38" s="1043">
        <f t="shared" si="10"/>
        <v>100</v>
      </c>
      <c r="T38" s="1011" t="s">
        <v>1389</v>
      </c>
      <c r="U38" s="1043">
        <f t="shared" si="11"/>
        <v>100</v>
      </c>
      <c r="V38" s="1011" t="s">
        <v>1389</v>
      </c>
      <c r="W38" s="1043">
        <f t="shared" si="12"/>
        <v>100</v>
      </c>
      <c r="X38" s="1072"/>
      <c r="Y38" s="3058"/>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58"/>
      <c r="Q39" s="1016">
        <f t="shared" si="14"/>
        <v>111</v>
      </c>
      <c r="R39" s="1011" t="s">
        <v>1389</v>
      </c>
      <c r="S39" s="1043">
        <f t="shared" si="10"/>
        <v>100</v>
      </c>
      <c r="T39" s="1011" t="s">
        <v>1389</v>
      </c>
      <c r="U39" s="1043">
        <f t="shared" si="11"/>
        <v>100</v>
      </c>
      <c r="V39" s="1011" t="s">
        <v>1389</v>
      </c>
      <c r="W39" s="1043">
        <f t="shared" si="12"/>
        <v>100</v>
      </c>
      <c r="X39" s="1072"/>
      <c r="Y39" s="3058"/>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58"/>
      <c r="Q40" s="1016">
        <f t="shared" si="14"/>
        <v>111</v>
      </c>
      <c r="R40" s="1070" t="s">
        <v>1389</v>
      </c>
      <c r="S40" s="1071">
        <f t="shared" si="10"/>
        <v>100</v>
      </c>
      <c r="T40" s="1070" t="s">
        <v>1389</v>
      </c>
      <c r="U40" s="1071">
        <f t="shared" si="11"/>
        <v>100</v>
      </c>
      <c r="V40" s="1070" t="s">
        <v>1389</v>
      </c>
      <c r="W40" s="1071">
        <f t="shared" si="12"/>
        <v>100</v>
      </c>
      <c r="X40" s="1074"/>
      <c r="Y40" s="3058"/>
      <c r="Z40" s="1077">
        <f t="shared" si="13"/>
        <v>111</v>
      </c>
      <c r="AA40" s="1046">
        <f t="shared" si="3"/>
        <v>1</v>
      </c>
      <c r="AB40" s="1046">
        <f t="shared" si="4"/>
        <v>1</v>
      </c>
      <c r="AC40" s="1046">
        <f t="shared" si="5"/>
        <v>1</v>
      </c>
    </row>
    <row r="41" spans="1:31" ht="14.4">
      <c r="A41" s="957" t="s">
        <v>1501</v>
      </c>
      <c r="B41" s="958" t="s">
        <v>1553</v>
      </c>
      <c r="C41" s="959" t="s">
        <v>124</v>
      </c>
      <c r="D41" s="960"/>
      <c r="E41" s="1005"/>
      <c r="F41" s="1006"/>
      <c r="G41" s="1007"/>
      <c r="H41" s="1008"/>
      <c r="I41" s="1005"/>
      <c r="J41" s="1008"/>
      <c r="K41" s="1043"/>
      <c r="L41" s="1044"/>
      <c r="M41" s="967"/>
      <c r="N41" s="967"/>
      <c r="O41" s="967"/>
      <c r="P41" s="3048" t="str">
        <f>A41</f>
        <v>成交单价</v>
      </c>
      <c r="Q41" s="3048"/>
      <c r="R41" s="3049">
        <f>E41</f>
        <v>0</v>
      </c>
      <c r="S41" s="3049"/>
      <c r="T41" s="3049">
        <f>G41</f>
        <v>0</v>
      </c>
      <c r="U41" s="3049"/>
      <c r="V41" s="3049">
        <f>I41</f>
        <v>0</v>
      </c>
      <c r="W41" s="3049"/>
      <c r="X41" s="972"/>
      <c r="Y41" s="1078"/>
      <c r="Z41" s="972"/>
      <c r="AA41" s="972"/>
      <c r="AB41" s="972"/>
      <c r="AC41" s="972"/>
    </row>
    <row r="42" spans="1:31" ht="14.4">
      <c r="A42" s="961" t="s">
        <v>1422</v>
      </c>
      <c r="B42" s="962"/>
      <c r="C42" s="963" t="e">
        <f>R43</f>
        <v>#DIV/0!</v>
      </c>
      <c r="D42" s="964" t="s">
        <v>1423</v>
      </c>
      <c r="E42" s="963" t="e">
        <f>R42</f>
        <v>#DIV/0!</v>
      </c>
      <c r="F42" s="1009"/>
      <c r="G42" s="1010" t="e">
        <f>T42</f>
        <v>#DIV/0!</v>
      </c>
      <c r="H42" s="1009"/>
      <c r="I42" s="963" t="e">
        <f>V42</f>
        <v>#DIV/0!</v>
      </c>
      <c r="J42" s="1009"/>
      <c r="K42" s="1045">
        <f>F42+H42+J42</f>
        <v>0</v>
      </c>
      <c r="L42" s="1044"/>
      <c r="M42" s="967"/>
      <c r="N42" s="967"/>
      <c r="O42" s="967"/>
      <c r="P42" s="3048" t="str">
        <f>A42</f>
        <v>比较价值（元/平方米）</v>
      </c>
      <c r="Q42" s="3048"/>
      <c r="R42" s="3049" t="e">
        <f>ROUND(PRODUCT(R41,AA7:AA40),0)</f>
        <v>#DIV/0!</v>
      </c>
      <c r="S42" s="3049"/>
      <c r="T42" s="3049" t="e">
        <f>ROUND(PRODUCT(T41,AB7:AB40),0)</f>
        <v>#DIV/0!</v>
      </c>
      <c r="U42" s="3049"/>
      <c r="V42" s="3049" t="e">
        <f>ROUND(PRODUCT(V41,AC7:AC40),0)</f>
        <v>#DIV/0!</v>
      </c>
      <c r="W42" s="3049"/>
      <c r="X42" s="972"/>
      <c r="Y42" s="972"/>
      <c r="Z42" s="972"/>
      <c r="AA42" s="972"/>
      <c r="AB42" s="972"/>
      <c r="AC42" s="972"/>
    </row>
    <row r="43" spans="1:31" ht="14.4">
      <c r="A43" s="965" t="s">
        <v>1424</v>
      </c>
      <c r="B43" s="966"/>
      <c r="C43" s="896" t="e">
        <f>R43</f>
        <v>#DIV/0!</v>
      </c>
      <c r="D43" s="896"/>
      <c r="E43" s="896"/>
      <c r="F43" s="896"/>
      <c r="G43" s="896"/>
      <c r="H43" s="896"/>
      <c r="I43" s="896"/>
      <c r="J43" s="896"/>
      <c r="K43" s="1016"/>
      <c r="L43" s="1044"/>
      <c r="M43" s="967"/>
      <c r="N43" s="967"/>
      <c r="O43" s="967"/>
      <c r="P43" s="3060" t="str">
        <f>A43</f>
        <v>估价对象XX用房的比较价值（楼面单价，元/平方米）</v>
      </c>
      <c r="Q43" s="3061"/>
      <c r="R43" s="3062" t="e">
        <f>ROUND(IF(D42="简单平均",AVERAGE(R42:W42),R42*F42+T42*H42+V42*J42),0)</f>
        <v>#DIV/0!</v>
      </c>
      <c r="S43" s="3062"/>
      <c r="T43" s="3062"/>
      <c r="U43" s="3062"/>
      <c r="V43" s="3062"/>
      <c r="W43" s="3062"/>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1521</v>
      </c>
      <c r="B50" s="975" t="s">
        <v>1522</v>
      </c>
      <c r="C50" s="976" t="s">
        <v>1523</v>
      </c>
      <c r="D50" s="977" t="s">
        <v>1524</v>
      </c>
      <c r="E50" s="975" t="s">
        <v>1525</v>
      </c>
      <c r="F50" s="1013" t="s">
        <v>1526</v>
      </c>
      <c r="G50" s="3033" t="s">
        <v>1527</v>
      </c>
      <c r="H50" s="3096"/>
      <c r="I50" s="1046" t="s">
        <v>1554</v>
      </c>
      <c r="J50" s="1046">
        <f>项目基本情况!F35</f>
        <v>0</v>
      </c>
      <c r="K50" s="1047" t="s">
        <v>1529</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1530</v>
      </c>
      <c r="B51" s="240" t="e">
        <f>C43</f>
        <v>#DIV/0!</v>
      </c>
      <c r="C51" s="266">
        <v>1</v>
      </c>
      <c r="D51" s="979">
        <v>1</v>
      </c>
      <c r="E51" s="266">
        <f>'数据-汇总表'!E8+'数据-汇总表'!E9</f>
        <v>0</v>
      </c>
      <c r="F51" s="1015" t="e">
        <f t="shared" ref="F51:F60" si="15">ROUND(B51*E51/10000,0)</f>
        <v>#DIV/0!</v>
      </c>
      <c r="G51" s="3050"/>
      <c r="H51" s="3048"/>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1531</v>
      </c>
      <c r="B52" s="240" t="e">
        <f>ROUND($C$43*C52*D52,0)</f>
        <v>#DIV/0!</v>
      </c>
      <c r="C52" s="981">
        <f t="shared" ref="C52:C60" si="16">IF($C$50="北京市系数",I52,J52)</f>
        <v>0.7</v>
      </c>
      <c r="D52" s="982">
        <v>0.25</v>
      </c>
      <c r="E52" s="239"/>
      <c r="F52" s="1015" t="e">
        <f t="shared" si="15"/>
        <v>#DIV/0!</v>
      </c>
      <c r="G52" s="3095" t="s">
        <v>1532</v>
      </c>
      <c r="H52" s="1018" t="str">
        <f>项目基本情况!B37</f>
        <v>二级</v>
      </c>
      <c r="I52" s="1048">
        <f>SUMIF(修正!A57:A68,H52,修正!B57:B68)</f>
        <v>0.7</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1533</v>
      </c>
      <c r="B53" s="240" t="e">
        <f t="shared" ref="B53:B60" si="17">ROUND($C$43*C53*D53,0)</f>
        <v>#DIV/0!</v>
      </c>
      <c r="C53" s="981">
        <f t="shared" si="16"/>
        <v>0.4</v>
      </c>
      <c r="D53" s="982">
        <v>0.25</v>
      </c>
      <c r="E53" s="239"/>
      <c r="F53" s="1015" t="e">
        <f t="shared" si="15"/>
        <v>#DIV/0!</v>
      </c>
      <c r="G53" s="3095"/>
      <c r="H53" s="1018" t="str">
        <f>项目基本情况!B37</f>
        <v>二级</v>
      </c>
      <c r="I53" s="1048">
        <f>SUMIF(修正!A57:A68,H53,修正!C57:C68)</f>
        <v>0.4</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1534</v>
      </c>
      <c r="B54" s="240" t="e">
        <f t="shared" si="17"/>
        <v>#DIV/0!</v>
      </c>
      <c r="C54" s="981">
        <f t="shared" si="16"/>
        <v>0.3</v>
      </c>
      <c r="D54" s="982">
        <v>0.25</v>
      </c>
      <c r="E54" s="239"/>
      <c r="F54" s="1015" t="e">
        <f t="shared" si="15"/>
        <v>#DIV/0!</v>
      </c>
      <c r="G54" s="3095"/>
      <c r="H54" s="1018" t="str">
        <f>项目基本情况!B37</f>
        <v>二级</v>
      </c>
      <c r="I54" s="1048">
        <f>SUMIF(修正!A57:A68,H54,修正!D57:D68)</f>
        <v>0.3</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1535</v>
      </c>
      <c r="B55" s="240" t="e">
        <f t="shared" si="17"/>
        <v>#DIV/0!</v>
      </c>
      <c r="C55" s="981" t="e">
        <f t="shared" si="16"/>
        <v>#REF!</v>
      </c>
      <c r="D55" s="982">
        <v>0.25</v>
      </c>
      <c r="E55" s="239"/>
      <c r="F55" s="1015" t="e">
        <f t="shared" si="15"/>
        <v>#DIV/0!</v>
      </c>
      <c r="G55" s="3095"/>
      <c r="H55" s="1018" t="str">
        <f>项目基本情况!B37</f>
        <v>二级</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1536</v>
      </c>
      <c r="B56" s="240" t="e">
        <f t="shared" si="17"/>
        <v>#DIV/0!</v>
      </c>
      <c r="C56" s="981">
        <f t="shared" si="16"/>
        <v>0.3</v>
      </c>
      <c r="D56" s="982">
        <v>0.25</v>
      </c>
      <c r="E56" s="240">
        <f>'数据-汇总表'!E11</f>
        <v>0</v>
      </c>
      <c r="F56" s="1015" t="e">
        <f t="shared" si="15"/>
        <v>#DIV/0!</v>
      </c>
      <c r="G56" s="1017" t="s">
        <v>1537</v>
      </c>
      <c r="H56" s="1018" t="str">
        <f>项目基本情况!C37</f>
        <v>二级</v>
      </c>
      <c r="I56" s="1048">
        <f>SUMIF(修正!A57:A68,H56,修正!E57:E68)</f>
        <v>0.3</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1538</v>
      </c>
      <c r="B57" s="240" t="e">
        <f t="shared" si="17"/>
        <v>#DIV/0!</v>
      </c>
      <c r="C57" s="981">
        <f t="shared" si="16"/>
        <v>0.3</v>
      </c>
      <c r="D57" s="982">
        <v>0.25</v>
      </c>
      <c r="E57" s="240">
        <f>'数据-汇总表'!E12</f>
        <v>0</v>
      </c>
      <c r="F57" s="1015" t="e">
        <f t="shared" si="15"/>
        <v>#DIV/0!</v>
      </c>
      <c r="G57" s="1019" t="s">
        <v>1539</v>
      </c>
      <c r="H57" s="1018" t="str">
        <f>IF(G57="商业",项目基本情况!B37,IF(G57="办公",项目基本情况!C37,IF(G57="住宅",项目基本情况!D37,项目基本情况!E37)))</f>
        <v>二级</v>
      </c>
      <c r="I57" s="1048">
        <f>SUMIF(修正!A57:A68,H57,修正!F57:F68)</f>
        <v>0.3</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1540</v>
      </c>
      <c r="B58" s="240" t="e">
        <f t="shared" si="17"/>
        <v>#DIV/0!</v>
      </c>
      <c r="C58" s="981">
        <f t="shared" si="16"/>
        <v>0</v>
      </c>
      <c r="D58" s="982">
        <v>0.25</v>
      </c>
      <c r="E58" s="240">
        <f>'数据-汇总表'!E13</f>
        <v>0</v>
      </c>
      <c r="F58" s="1015" t="e">
        <f t="shared" si="15"/>
        <v>#DIV/0!</v>
      </c>
      <c r="G58" s="1019" t="s">
        <v>1541</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1542</v>
      </c>
      <c r="B59" s="240" t="e">
        <f t="shared" si="17"/>
        <v>#DIV/0!</v>
      </c>
      <c r="C59" s="981">
        <f t="shared" si="16"/>
        <v>0.2</v>
      </c>
      <c r="D59" s="982">
        <v>0.25</v>
      </c>
      <c r="E59" s="240">
        <f>'数据-汇总表'!E14</f>
        <v>0</v>
      </c>
      <c r="F59" s="1015" t="e">
        <f t="shared" si="15"/>
        <v>#DIV/0!</v>
      </c>
      <c r="G59" s="1017" t="s">
        <v>1532</v>
      </c>
      <c r="H59" s="1018" t="str">
        <f>项目基本情况!B37</f>
        <v>二级</v>
      </c>
      <c r="I59" s="1048">
        <f>SUMIF(修正!A57:A68,H59,修正!G57:G68)</f>
        <v>0.2</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1543</v>
      </c>
      <c r="B60" s="240" t="e">
        <f t="shared" si="17"/>
        <v>#DIV/0!</v>
      </c>
      <c r="C60" s="981">
        <f t="shared" si="16"/>
        <v>0.2</v>
      </c>
      <c r="D60" s="982">
        <v>0.25</v>
      </c>
      <c r="E60" s="240">
        <f>'数据-汇总表'!E15</f>
        <v>0</v>
      </c>
      <c r="F60" s="1015" t="e">
        <f t="shared" si="15"/>
        <v>#DIV/0!</v>
      </c>
      <c r="G60" s="1020" t="s">
        <v>1537</v>
      </c>
      <c r="H60" s="1021" t="str">
        <f>项目基本情况!C37</f>
        <v>二级</v>
      </c>
      <c r="I60" s="1048">
        <f>SUMIF(修正!A57:A68,H60,修正!G57:G68)</f>
        <v>0.2</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1544</v>
      </c>
      <c r="B61" s="984" t="s">
        <v>1479</v>
      </c>
      <c r="C61" s="984" t="s">
        <v>1479</v>
      </c>
      <c r="D61" s="984" t="s">
        <v>1479</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2022-12-1</v>
      </c>
      <c r="D63" s="972">
        <f>EDATE(C63,-3)</f>
        <v>44805</v>
      </c>
      <c r="E63" s="972">
        <f>EDATE(D63,-3)</f>
        <v>44713</v>
      </c>
      <c r="F63" s="972">
        <f t="shared" ref="F63:O63" si="18">EDATE(E63,-3)</f>
        <v>44621</v>
      </c>
      <c r="G63" s="972">
        <f t="shared" si="18"/>
        <v>44531</v>
      </c>
      <c r="H63" s="972">
        <f t="shared" si="18"/>
        <v>44440</v>
      </c>
      <c r="I63" s="972">
        <f t="shared" si="18"/>
        <v>44348</v>
      </c>
      <c r="J63" s="972">
        <f t="shared" si="18"/>
        <v>44256</v>
      </c>
      <c r="K63" s="972">
        <f t="shared" si="18"/>
        <v>44166</v>
      </c>
      <c r="L63" s="972">
        <f t="shared" si="18"/>
        <v>44075</v>
      </c>
      <c r="M63" s="972">
        <f t="shared" si="18"/>
        <v>43983</v>
      </c>
      <c r="N63" s="972">
        <f t="shared" si="18"/>
        <v>43891</v>
      </c>
      <c r="O63" s="972">
        <f t="shared" si="18"/>
        <v>43800</v>
      </c>
      <c r="P63" s="967"/>
      <c r="Q63" s="967"/>
      <c r="R63" s="967"/>
      <c r="S63" s="967"/>
      <c r="T63" s="967"/>
      <c r="U63" s="967"/>
      <c r="V63" s="967"/>
      <c r="W63" s="967"/>
      <c r="X63" s="967"/>
      <c r="Y63" s="967"/>
      <c r="Z63" s="967"/>
      <c r="AA63" s="967"/>
      <c r="AB63" s="967"/>
      <c r="AC63" s="967"/>
      <c r="AD63" s="967"/>
      <c r="AE63" s="967"/>
    </row>
    <row r="64" spans="1:31" ht="21.6">
      <c r="A64" s="986" t="s">
        <v>1428</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1545</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1555</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1429</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1390</v>
      </c>
      <c r="B68" s="1091"/>
      <c r="C68" s="1092" t="s">
        <v>1391</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1430</v>
      </c>
      <c r="B70" s="1096" t="s">
        <v>1394</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1397</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1398</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1399</v>
      </c>
      <c r="B83" s="1096" t="s">
        <v>1489</v>
      </c>
      <c r="C83" s="1112" t="s">
        <v>1438</v>
      </c>
      <c r="D83" s="1112" t="s">
        <v>1439</v>
      </c>
      <c r="E83" s="1112" t="s">
        <v>1440</v>
      </c>
      <c r="F83" s="1112" t="s">
        <v>1441</v>
      </c>
      <c r="G83" s="1112" t="s">
        <v>1442</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1402</v>
      </c>
      <c r="C85" s="1113" t="s">
        <v>1438</v>
      </c>
      <c r="D85" s="1113" t="s">
        <v>1439</v>
      </c>
      <c r="E85" s="1113" t="s">
        <v>1440</v>
      </c>
      <c r="F85" s="1113" t="s">
        <v>1441</v>
      </c>
      <c r="G85" s="1113" t="s">
        <v>1442</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1511</v>
      </c>
      <c r="C87" s="1112" t="s">
        <v>1438</v>
      </c>
      <c r="D87" s="1112" t="s">
        <v>1439</v>
      </c>
      <c r="E87" s="1112" t="s">
        <v>1440</v>
      </c>
      <c r="F87" s="1112" t="s">
        <v>1441</v>
      </c>
      <c r="G87" s="1112" t="s">
        <v>1442</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1512</v>
      </c>
      <c r="C89" s="1112" t="s">
        <v>1438</v>
      </c>
      <c r="D89" s="1112" t="s">
        <v>1439</v>
      </c>
      <c r="E89" s="1112" t="s">
        <v>1440</v>
      </c>
      <c r="F89" s="1112" t="s">
        <v>1441</v>
      </c>
      <c r="G89" s="1112" t="s">
        <v>1442</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1403</v>
      </c>
      <c r="C91" s="1112" t="s">
        <v>1438</v>
      </c>
      <c r="D91" s="1112" t="s">
        <v>1439</v>
      </c>
      <c r="E91" s="1112" t="s">
        <v>1440</v>
      </c>
      <c r="F91" s="1112" t="s">
        <v>1441</v>
      </c>
      <c r="G91" s="1112" t="s">
        <v>1442</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1404</v>
      </c>
      <c r="C93" s="1061" t="s">
        <v>1443</v>
      </c>
      <c r="D93" s="1061" t="s">
        <v>1444</v>
      </c>
      <c r="E93" s="1061" t="s">
        <v>1445</v>
      </c>
      <c r="F93" s="1061" t="s">
        <v>1446</v>
      </c>
      <c r="G93" s="1061" t="s">
        <v>1447</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1547</v>
      </c>
      <c r="D95" s="1100" t="s">
        <v>1548</v>
      </c>
      <c r="E95" s="1100" t="s">
        <v>1549</v>
      </c>
      <c r="F95" s="1100" t="s">
        <v>1550</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1484</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1513</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1408</v>
      </c>
      <c r="B107" s="1096" t="s">
        <v>1514</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1515</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1517</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1518</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view="pageBreakPreview" topLeftCell="G48" zoomScale="115" zoomScaleNormal="80" workbookViewId="0">
      <selection activeCell="D51" sqref="D51:D59"/>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1556</v>
      </c>
      <c r="B1" s="596"/>
      <c r="C1" s="597" t="s">
        <v>1373</v>
      </c>
      <c r="D1" s="598">
        <f>SUM(D33:D34,D37:D42)</f>
        <v>165.59</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6">
      <c r="A2" s="597" t="s">
        <v>889</v>
      </c>
      <c r="B2" s="599">
        <f>C30</f>
        <v>450</v>
      </c>
      <c r="C2" s="600" t="s">
        <v>890</v>
      </c>
      <c r="D2" s="598" t="s">
        <v>1563</v>
      </c>
      <c r="E2" s="613" t="s">
        <v>1564</v>
      </c>
      <c r="F2" s="598" t="s">
        <v>1565</v>
      </c>
      <c r="G2" s="598" t="str">
        <f>IF(E2="商业",项目基本情况!B37,IF(E2="办公",项目基本情况!C37,IF(E2="住宅",项目基本情况!D37,IF(E2="工业",项目基本情况!E37,项目基本情况!F37))))</f>
        <v>二级</v>
      </c>
      <c r="H2" s="598" t="s">
        <v>1566</v>
      </c>
      <c r="I2" s="598" t="str">
        <f>IF(E2="商业",项目基本情况!B38,IF(E2="办公",项目基本情况!C38,IF(E2="住宅",项目基本情况!D38,IF(E2="工业",项目基本情况!E38,项目基本情况!F38))))</f>
        <v>Ⅱ—02</v>
      </c>
      <c r="J2" s="707"/>
      <c r="L2" s="766" t="s">
        <v>1567</v>
      </c>
      <c r="M2" s="815">
        <f>SUMPRODUCT((区片价!B10:B29=I2)*(区片价!C3:G3=E2)*(区片价!C10:G29))</f>
        <v>31590</v>
      </c>
      <c r="N2" s="598">
        <f>SUMPRODUCT((因素修正幅度!B10:B29=I2)*(因素修正幅度!C3:G3=E2)*(因素修正幅度!C10:G29))</f>
        <v>0.05</v>
      </c>
      <c r="O2" s="593"/>
      <c r="P2" s="593"/>
      <c r="Q2" s="593"/>
      <c r="R2" s="837">
        <v>1</v>
      </c>
      <c r="S2" s="837">
        <f>ROUND(SUMPRODUCT((B107:B111=R2)*(C106:N106=G2)*(C107:N111)),4)</f>
        <v>1.5206</v>
      </c>
      <c r="T2" s="837">
        <f t="shared" ref="T2:T16" si="0">ROUND($C$5*$C$22*$C$23*$C$24*S2*$C$28,0)</f>
        <v>39614</v>
      </c>
      <c r="U2" s="838"/>
      <c r="V2" s="837">
        <f>ROUND(T2*U2/10000,0)</f>
        <v>0</v>
      </c>
      <c r="W2" s="839">
        <f>1</f>
        <v>1</v>
      </c>
      <c r="X2" s="839"/>
      <c r="Y2" s="839"/>
      <c r="Z2" s="839"/>
      <c r="AA2" s="839"/>
      <c r="AB2" s="839"/>
      <c r="AC2" s="839"/>
      <c r="AD2" s="846"/>
      <c r="AE2" s="846"/>
      <c r="AF2" s="846"/>
      <c r="AG2" s="846"/>
      <c r="AH2" s="846"/>
      <c r="AI2" s="846"/>
      <c r="AJ2" s="848"/>
    </row>
    <row r="3" spans="1:36" ht="15.6">
      <c r="A3" s="599" t="s">
        <v>891</v>
      </c>
      <c r="B3" s="599">
        <f>ROUND(B2*10000/D1,0)</f>
        <v>27176</v>
      </c>
      <c r="C3" s="600" t="s">
        <v>892</v>
      </c>
      <c r="D3" s="598" t="s">
        <v>1568</v>
      </c>
      <c r="E3" s="613" t="s">
        <v>1569</v>
      </c>
      <c r="F3" s="708" t="s">
        <v>1570</v>
      </c>
      <c r="G3" s="709">
        <v>3.5</v>
      </c>
      <c r="H3" s="598" t="s">
        <v>1571</v>
      </c>
      <c r="I3" s="709">
        <v>3</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1.2072000000000001</v>
      </c>
      <c r="T3" s="837">
        <f t="shared" si="0"/>
        <v>31449</v>
      </c>
      <c r="U3" s="838"/>
      <c r="V3" s="837">
        <f t="shared" ref="V3:V16" si="1">ROUND(T3*U3/10000,0)</f>
        <v>0</v>
      </c>
      <c r="W3" s="839">
        <v>0.7</v>
      </c>
      <c r="X3" s="839"/>
      <c r="Y3" s="839"/>
      <c r="Z3" s="839"/>
      <c r="AA3" s="839"/>
      <c r="AB3" s="839"/>
      <c r="AC3" s="839"/>
      <c r="AD3" s="846"/>
      <c r="AE3" s="846"/>
      <c r="AF3" s="846"/>
      <c r="AG3" s="846"/>
      <c r="AH3" s="846"/>
      <c r="AI3" s="846"/>
      <c r="AJ3" s="848"/>
    </row>
    <row r="4" spans="1:36" ht="15.6">
      <c r="A4" s="3101"/>
      <c r="B4" s="3102"/>
      <c r="C4" s="3102"/>
      <c r="D4" s="3103"/>
      <c r="E4" s="3103"/>
      <c r="F4" s="3103"/>
      <c r="G4" s="3103"/>
      <c r="H4" s="3103"/>
      <c r="I4" s="3103"/>
      <c r="J4" s="3104"/>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1.0430999999999999</v>
      </c>
      <c r="T4" s="837">
        <f t="shared" si="0"/>
        <v>27174</v>
      </c>
      <c r="U4" s="838">
        <f>D33</f>
        <v>165.59</v>
      </c>
      <c r="V4" s="837">
        <f t="shared" si="1"/>
        <v>450</v>
      </c>
      <c r="W4" s="839" t="e">
        <f>(U2*W2+U3*W3)/(U2+U3)</f>
        <v>#DIV/0!</v>
      </c>
      <c r="X4" s="839"/>
      <c r="Y4" s="839"/>
      <c r="Z4" s="839"/>
      <c r="AA4" s="839"/>
      <c r="AB4" s="839"/>
      <c r="AC4" s="839"/>
      <c r="AD4" s="846"/>
      <c r="AE4" s="846"/>
      <c r="AF4" s="846"/>
      <c r="AG4" s="846"/>
      <c r="AH4" s="846"/>
      <c r="AI4" s="846"/>
      <c r="AJ4" s="848"/>
    </row>
    <row r="5" spans="1:36" s="592" customFormat="1" ht="15">
      <c r="A5" s="601" t="s">
        <v>795</v>
      </c>
      <c r="B5" s="601" t="s">
        <v>1575</v>
      </c>
      <c r="C5" s="602">
        <f>ROUND(IF(E2="商业",C6*C7*C17+C20,(IF(E2="住宅",C6*C13*C17+C20,IF(E2="办公",C6*C12*C17+C20,C6+C20)))),0)</f>
        <v>31559</v>
      </c>
      <c r="D5" s="603">
        <f>ROUND(C6*C17+C20,0)</f>
        <v>31559</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0.94389999999999996</v>
      </c>
      <c r="T5" s="837">
        <f t="shared" si="0"/>
        <v>24590</v>
      </c>
      <c r="U5" s="838"/>
      <c r="V5" s="837">
        <f t="shared" si="1"/>
        <v>0</v>
      </c>
      <c r="W5" s="839"/>
      <c r="X5" s="839"/>
      <c r="Y5" s="839"/>
      <c r="Z5" s="839"/>
      <c r="AA5" s="839"/>
      <c r="AB5" s="839"/>
      <c r="AC5" s="831"/>
      <c r="AD5" s="847"/>
      <c r="AE5" s="847"/>
      <c r="AF5" s="847"/>
      <c r="AG5" s="847"/>
      <c r="AH5" s="847"/>
      <c r="AI5" s="847"/>
      <c r="AJ5" s="849"/>
    </row>
    <row r="6" spans="1:36" ht="15">
      <c r="A6" s="604" t="s">
        <v>894</v>
      </c>
      <c r="B6" s="605" t="s">
        <v>1577</v>
      </c>
      <c r="C6" s="606">
        <f>SUMIF(L1:L12,G2,M1:M12)</f>
        <v>31590</v>
      </c>
      <c r="D6" s="607" t="s">
        <v>1578</v>
      </c>
      <c r="E6" s="605"/>
      <c r="F6" s="605"/>
      <c r="G6" s="712"/>
      <c r="H6" s="712"/>
      <c r="I6" s="712"/>
      <c r="J6" s="769"/>
      <c r="K6" s="770"/>
      <c r="L6" s="766" t="s">
        <v>1579</v>
      </c>
      <c r="M6" s="815">
        <f>SUMPRODUCT((区片价!B127:B189=I2)*(区片价!C3:G3=E2)*(区片价!C127:G189))</f>
        <v>0</v>
      </c>
      <c r="N6" s="598">
        <f>SUMPRODUCT((因素修正幅度!B127:B189=I2)*(因素修正幅度!C3:G3=E2)*(因素修正幅度!C127:G189))</f>
        <v>0</v>
      </c>
      <c r="O6" s="593"/>
      <c r="P6" s="593"/>
      <c r="Q6" s="593"/>
      <c r="R6" s="837">
        <v>5</v>
      </c>
      <c r="S6" s="837">
        <f>ROUND(SUMPRODUCT((B107:B111=R6)*(C106:N106=G2)*(C107:N111)),4)</f>
        <v>0.89959999999999996</v>
      </c>
      <c r="T6" s="837">
        <f t="shared" si="0"/>
        <v>23436</v>
      </c>
      <c r="U6" s="838"/>
      <c r="V6" s="837">
        <f t="shared" si="1"/>
        <v>0</v>
      </c>
      <c r="W6" s="839"/>
      <c r="X6" s="839"/>
      <c r="Y6" s="839"/>
      <c r="Z6" s="839"/>
      <c r="AA6" s="839"/>
      <c r="AB6" s="839"/>
      <c r="AC6" s="831"/>
      <c r="AD6" s="847"/>
      <c r="AE6" s="847"/>
      <c r="AF6" s="847"/>
      <c r="AG6" s="847"/>
      <c r="AH6" s="847"/>
      <c r="AI6" s="847"/>
      <c r="AJ6" s="849"/>
    </row>
    <row r="7" spans="1:36" ht="24">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二级</v>
      </c>
      <c r="Y7" s="841" t="s">
        <v>1585</v>
      </c>
      <c r="Z7" s="841">
        <f>G3</f>
        <v>3.5</v>
      </c>
      <c r="AA7" s="839"/>
      <c r="AB7" s="839"/>
      <c r="AC7" s="839"/>
      <c r="AD7" s="846"/>
      <c r="AE7" s="846"/>
      <c r="AF7" s="846"/>
      <c r="AG7" s="846"/>
      <c r="AH7" s="846"/>
      <c r="AI7" s="846"/>
      <c r="AJ7" s="848"/>
    </row>
    <row r="8" spans="1:36" ht="26.4">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0</v>
      </c>
      <c r="N8" s="598">
        <f>SUMPRODUCT((因素修正幅度!B234:B276=I2)*(因素修正幅度!C3:G3=E2)*(因素修正幅度!C234:G276))</f>
        <v>0</v>
      </c>
      <c r="O8" s="593"/>
      <c r="P8" s="593"/>
      <c r="Q8" s="593"/>
      <c r="R8" s="837">
        <v>7</v>
      </c>
      <c r="S8" s="838"/>
      <c r="T8" s="837">
        <f t="shared" si="0"/>
        <v>0</v>
      </c>
      <c r="U8" s="838"/>
      <c r="V8" s="837">
        <f t="shared" si="1"/>
        <v>0</v>
      </c>
      <c r="W8" s="3105" t="s">
        <v>1591</v>
      </c>
      <c r="X8" s="3106"/>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06"/>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06"/>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1643</v>
      </c>
      <c r="B20" s="609" t="s">
        <v>1644</v>
      </c>
      <c r="C20" s="609">
        <f>ROUND(IF(F21="与级别开发程度一致",0,(G21-E21)/C21),0)</f>
        <v>-31</v>
      </c>
      <c r="D20" s="3107" t="s">
        <v>1645</v>
      </c>
      <c r="E20" s="3108"/>
      <c r="F20" s="3107" t="s">
        <v>1646</v>
      </c>
      <c r="G20" s="3108"/>
      <c r="H20" s="732" t="s">
        <v>1647</v>
      </c>
      <c r="I20" s="732" t="s">
        <v>1648</v>
      </c>
      <c r="J20" s="784" t="s">
        <v>1649</v>
      </c>
      <c r="K20" s="732" t="s">
        <v>1650</v>
      </c>
      <c r="L20" s="732" t="s">
        <v>1651</v>
      </c>
      <c r="M20" s="732" t="s">
        <v>1652</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1655</v>
      </c>
      <c r="C21" s="643">
        <f>IF(E3="M4科研用地",SUMPRODUCT((修正!A2:A7=E3)*(修正!B1:M1=G2)*(修正!B2:M7)),SUMPRODUCT((修正!A2:A7=E2)*(修正!B1:M1=G2)*(修正!B2:M7)))</f>
        <v>3.5</v>
      </c>
      <c r="D21" s="644" t="str">
        <f>IF(OR(G2="八级",G2="九级",G2="十级",G2="十一级",G2="十二级"),"五通一平","七通一平")</f>
        <v>七通一平</v>
      </c>
      <c r="E21" s="733">
        <f>SUMPRODUCT((修正!B1:M1=G2)*(修正!B17:M17))</f>
        <v>375</v>
      </c>
      <c r="F21" s="734" t="s">
        <v>2650</v>
      </c>
      <c r="G21" s="679">
        <f>SUM(H21:O21)</f>
        <v>265</v>
      </c>
      <c r="H21" s="643">
        <f>SUMPRODUCT((七通一平=H20)*(修正!B1:M1=G2)*(修正!B8:M16))</f>
        <v>80</v>
      </c>
      <c r="I21" s="643">
        <f>SUMPRODUCT((七通一平=I20)*(修正!B1:M1=G2)*(修正!B8:M16))</f>
        <v>70</v>
      </c>
      <c r="J21" s="785">
        <f>SUMPRODUCT((七通一平=J20)*(修正!B1:M1=G2)*(修正!B8:M16))</f>
        <v>20</v>
      </c>
      <c r="K21" s="643">
        <f>SUMPRODUCT((七通一平=K20)*(修正!B1:M1=G2)*(修正!B8:M16))</f>
        <v>30</v>
      </c>
      <c r="L21" s="643">
        <f>SUMPRODUCT((七通一平=L20)*(修正!B1:M1=G2)*(修正!B8:M16))</f>
        <v>45</v>
      </c>
      <c r="M21" s="643">
        <f>SUMPRODUCT((七通一平=M20)*(修正!B1:M1=G2)*(修正!B8:M16))</f>
        <v>20</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44904</v>
      </c>
      <c r="H23" s="738" t="s">
        <v>1660</v>
      </c>
      <c r="I23" s="788" t="str">
        <f>IF(H23="季度增幅（自定义）",SUMIF(N25:N28,E2,O25:O28),"")</f>
        <v/>
      </c>
      <c r="J23" s="789" t="s">
        <v>2655</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814</v>
      </c>
      <c r="B24" s="653" t="s">
        <v>1663</v>
      </c>
      <c r="C24" s="653">
        <f>ROUND(POWER(1+G24,J24-I24)*(POWER(1+G24,I24)-1)/(POWER(1+G24,J24)-1),4)</f>
        <v>0.78420000000000001</v>
      </c>
      <c r="D24" s="654" t="s">
        <v>1664</v>
      </c>
      <c r="E24" s="654">
        <f>存贷款利率!E20/100</f>
        <v>4.3499999999999997E-2</v>
      </c>
      <c r="F24" s="654" t="s">
        <v>1665</v>
      </c>
      <c r="G24" s="739">
        <f>SUMIF(M30:Q30,E2,M33:Q33)</f>
        <v>5.5E-2</v>
      </c>
      <c r="H24" s="654" t="s">
        <v>1666</v>
      </c>
      <c r="I24" s="791">
        <v>22</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4.4">
      <c r="A25" s="655" t="s">
        <v>836</v>
      </c>
      <c r="B25" s="656" t="s">
        <v>2654</v>
      </c>
      <c r="C25" s="657">
        <f>IF(B25="容积率修正",IF(G3&lt;10,D26,J26),C27)</f>
        <v>1.0430999999999999</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1672</v>
      </c>
      <c r="B26" s="660" t="s">
        <v>1673</v>
      </c>
      <c r="C26" s="660" t="s">
        <v>1674</v>
      </c>
      <c r="D26" s="660">
        <f>IF(E26=G26,F26,IF(G3&lt;10,ROUND(F26+(H26-F26)*(G3-E26)/(G26-E26),4),"——"))</f>
        <v>1</v>
      </c>
      <c r="E26" s="660">
        <f>ROUNDDOWN(G3,1)</f>
        <v>3.5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3.5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1677</v>
      </c>
      <c r="B27" s="661" t="s">
        <v>1678</v>
      </c>
      <c r="C27" s="662">
        <f>ROUND(IF(I3&lt;6,SUMPRODUCT((B107:B111=I3)*(C106:N106=G2)*(C107:N111)),SUMIF(C106:N106,G2,C113:N113)),4)</f>
        <v>1.0430999999999999</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1680</v>
      </c>
      <c r="B28" s="650" t="s">
        <v>1681</v>
      </c>
      <c r="C28" s="650">
        <f>SUMIF(A48:A102,E2,B48:B102)</f>
        <v>1.0323</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1685</v>
      </c>
      <c r="C30" s="669">
        <f>IF(B25="容积率修正",E33+SUM(E37:E42),SUM(V2:V16)+SUM(E37:E42))</f>
        <v>450</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4.4">
      <c r="A31" s="668"/>
      <c r="B31" s="671" t="s">
        <v>1690</v>
      </c>
      <c r="C31" s="672">
        <f>E34+SUM(I37:I42)</f>
        <v>113</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1695</v>
      </c>
      <c r="C33" s="677">
        <f>ROUND(C5*C22*C23*C24*C25*C28,0)</f>
        <v>27174</v>
      </c>
      <c r="D33" s="678">
        <v>165.59</v>
      </c>
      <c r="E33" s="747">
        <f>ROUND(C33*D33/10000,0)</f>
        <v>450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1698</v>
      </c>
      <c r="C34" s="644" t="e">
        <f>ROUND(IF(E2="工业",C33*M42,IF(B25="楼层修正",SUM(V2:V16)*M41*10000/D34,C33*M41)),0)</f>
        <v>#DIV/0!</v>
      </c>
      <c r="D34" s="680"/>
      <c r="E34" s="747">
        <f>ROUND(IF(B25="楼层修正",SUM(V2:V16)*M41,C34*D34/10000),0)</f>
        <v>113</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11"/>
      <c r="B37" s="688" t="s">
        <v>1705</v>
      </c>
      <c r="C37" s="677">
        <f>ROUND(D5*C22*C23*C24*C28*F37,0)</f>
        <v>18236</v>
      </c>
      <c r="D37" s="678"/>
      <c r="E37" s="598">
        <f>ROUND(C37*D37/10000,0)</f>
        <v>0</v>
      </c>
      <c r="F37" s="598">
        <f>SUMIF(修正!A57:A68,G2,修正!B57:B68)</f>
        <v>0.7</v>
      </c>
      <c r="G37" s="598">
        <f>ROUND(IF(E2="工业",C37*$M$42,C37*$M$41),0)</f>
        <v>4559</v>
      </c>
      <c r="H37" s="598">
        <f>D37</f>
        <v>0</v>
      </c>
      <c r="I37" s="598">
        <f>ROUND(G37*H37/10000,0)</f>
        <v>0</v>
      </c>
      <c r="J37" s="3117"/>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2"/>
      <c r="B38" s="625" t="s">
        <v>1707</v>
      </c>
      <c r="C38" s="677">
        <f>ROUND(D5*C22*C23*C24*C28*F38,0)</f>
        <v>10420</v>
      </c>
      <c r="D38" s="678"/>
      <c r="E38" s="598">
        <f t="shared" ref="E38:E42" si="4">ROUND(C38*D38/10000,0)</f>
        <v>0</v>
      </c>
      <c r="F38" s="598">
        <f>SUMIF(修正!A57:A68,G2,修正!C57:C68)</f>
        <v>0.4</v>
      </c>
      <c r="G38" s="598">
        <f>ROUND(IF(E2="工业",C38*$M$42,C38*$M$41),0)</f>
        <v>2605</v>
      </c>
      <c r="H38" s="598">
        <f t="shared" ref="H38:H42" si="5">D38</f>
        <v>0</v>
      </c>
      <c r="I38" s="598">
        <f t="shared" ref="I38:I42" si="6">ROUND(G38*H38/10000,0)</f>
        <v>0</v>
      </c>
      <c r="J38" s="3112"/>
      <c r="K38" s="593">
        <v>5.0000000000000001E-3</v>
      </c>
      <c r="L38" s="593"/>
      <c r="M38" s="593"/>
      <c r="N38" s="593"/>
      <c r="O38" s="593"/>
      <c r="P38" s="593"/>
      <c r="Q38" s="593"/>
      <c r="R38" s="593"/>
      <c r="S38" s="593"/>
      <c r="T38" s="593"/>
      <c r="U38" s="593"/>
      <c r="V38" s="593"/>
      <c r="W38" s="593"/>
      <c r="X38" s="593"/>
      <c r="Y38" s="593"/>
      <c r="Z38" s="593"/>
    </row>
    <row r="39" spans="1:30">
      <c r="A39" s="3112"/>
      <c r="B39" s="625" t="s">
        <v>1708</v>
      </c>
      <c r="C39" s="677">
        <f>ROUND(D5*C22*C23*C24*C28*F39,0)</f>
        <v>7815</v>
      </c>
      <c r="D39" s="678"/>
      <c r="E39" s="598">
        <f t="shared" si="4"/>
        <v>0</v>
      </c>
      <c r="F39" s="598">
        <f>SUMIF(修正!A57:A68,G2,修正!D57:D68)</f>
        <v>0.3</v>
      </c>
      <c r="G39" s="598">
        <f>ROUND(IF(E2="工业",C39*$M$42,C39*$M$41),0)</f>
        <v>1954</v>
      </c>
      <c r="H39" s="598">
        <f t="shared" si="5"/>
        <v>0</v>
      </c>
      <c r="I39" s="598">
        <f t="shared" si="6"/>
        <v>0</v>
      </c>
      <c r="J39" s="3112"/>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7815</v>
      </c>
      <c r="D40" s="678"/>
      <c r="E40" s="598">
        <f t="shared" si="4"/>
        <v>0</v>
      </c>
      <c r="F40" s="677">
        <f>SUMIF(修正!A57:A68,G2,修正!E57:E68)</f>
        <v>0.3</v>
      </c>
      <c r="G40" s="598">
        <f>ROUND(IF(E2="工业",C40*$M$42,C40*$M$41),0)</f>
        <v>1954</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0.3</v>
      </c>
      <c r="G41" s="598">
        <f>ROUND(IF(E2="工业",C41*$M$42,C41*$M$41),0)</f>
        <v>0</v>
      </c>
      <c r="H41" s="598">
        <f t="shared" si="5"/>
        <v>0</v>
      </c>
      <c r="I41" s="598">
        <f t="shared" si="6"/>
        <v>0</v>
      </c>
      <c r="J41" s="809"/>
      <c r="L41" s="811" t="s">
        <v>1712</v>
      </c>
      <c r="M41" s="836">
        <v>0.25</v>
      </c>
    </row>
    <row r="42" spans="1:30" s="593" customFormat="1">
      <c r="A42" s="641"/>
      <c r="B42" s="690" t="s">
        <v>1713</v>
      </c>
      <c r="C42" s="644">
        <f>ROUND(D5*C22*C23*C44*C28*F42,0)</f>
        <v>0</v>
      </c>
      <c r="D42" s="680"/>
      <c r="E42" s="644">
        <f t="shared" si="4"/>
        <v>0</v>
      </c>
      <c r="F42" s="752">
        <f>SUMIF(修正!A57:A68,G2,修正!G57:G68)</f>
        <v>0.2</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4.4">
      <c r="A48" s="691" t="s">
        <v>1715</v>
      </c>
      <c r="B48" s="692"/>
      <c r="C48" s="693"/>
      <c r="D48" s="693"/>
      <c r="E48" s="693"/>
      <c r="F48" s="753"/>
      <c r="G48" s="753"/>
      <c r="H48" s="753"/>
      <c r="I48" s="753"/>
      <c r="J48" s="753"/>
      <c r="K48" s="753"/>
      <c r="L48" s="753"/>
      <c r="M48" s="753"/>
    </row>
    <row r="49" spans="1:14" s="593" customFormat="1" ht="14.4">
      <c r="A49" s="694" t="s">
        <v>1716</v>
      </c>
      <c r="B49" s="695">
        <f>1+E51</f>
        <v>1.0323</v>
      </c>
      <c r="C49" s="696"/>
      <c r="D49" s="697"/>
      <c r="E49" s="754"/>
      <c r="F49" s="755"/>
      <c r="G49" s="753"/>
      <c r="H49" s="753"/>
      <c r="I49" s="753"/>
      <c r="J49" s="753"/>
      <c r="K49" s="753"/>
      <c r="L49" s="753"/>
      <c r="M49" s="753"/>
    </row>
    <row r="50" spans="1:14" s="593" customFormat="1" ht="25.2">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9.6">
      <c r="A51" s="698" t="s">
        <v>1725</v>
      </c>
      <c r="B51" s="699" t="str">
        <f>估价对象房地状况!C4</f>
        <v>估价对象位于XX商圈，周边商业氛围成熟，人流量大，商业繁华度好</v>
      </c>
      <c r="C51" s="2829" t="s">
        <v>1736</v>
      </c>
      <c r="D51" s="699">
        <f t="shared" ref="D51:D59" si="7">SUMIF($J$50:$N$50,C51,J51:N51)</f>
        <v>1.4999999999999999E-2</v>
      </c>
      <c r="E51" s="760">
        <f>ROUND(SUM(D51:D59),4)</f>
        <v>3.2300000000000002E-2</v>
      </c>
      <c r="F51" s="663">
        <f>IF(E2="商业",SUMIF(L1:L12,G2,N1:N12),"——")</f>
        <v>0.05</v>
      </c>
      <c r="G51" s="761">
        <v>7.4999999999999997E-3</v>
      </c>
      <c r="H51" s="513">
        <f t="shared" ref="H51:H59" si="8">IFERROR(ROUNDDOWN($F$51*I51/2,4),"——")</f>
        <v>7.4999999999999997E-3</v>
      </c>
      <c r="I51" s="699">
        <v>0.3</v>
      </c>
      <c r="J51" s="660">
        <f t="shared" ref="J51:J59" si="9">K51+$G51</f>
        <v>1.4999999999999999E-2</v>
      </c>
      <c r="K51" s="660">
        <f t="shared" ref="K51:K59" si="10">$L51+$G51</f>
        <v>7.4999999999999997E-3</v>
      </c>
      <c r="L51" s="660">
        <v>0</v>
      </c>
      <c r="M51" s="660">
        <f t="shared" ref="M51:N59" si="11">L51-$G51</f>
        <v>-7.4999999999999997E-3</v>
      </c>
      <c r="N51" s="660">
        <f t="shared" si="11"/>
        <v>-1.4999999999999999E-2</v>
      </c>
    </row>
    <row r="52" spans="1:14" s="593" customFormat="1" ht="52.8">
      <c r="A52" s="698" t="s">
        <v>1727</v>
      </c>
      <c r="B52" s="699" t="str">
        <f>估价对象房地状况!C18</f>
        <v>估价对象周边道路状况、公共交通通达情况、停车便捷程度，综合评价交通便捷度较好</v>
      </c>
      <c r="C52" s="2829" t="s">
        <v>1726</v>
      </c>
      <c r="D52" s="699">
        <f t="shared" si="7"/>
        <v>5.4999999999999997E-3</v>
      </c>
      <c r="E52" s="762"/>
      <c r="F52" s="707"/>
      <c r="G52" s="761">
        <v>5.4999999999999997E-3</v>
      </c>
      <c r="H52" s="513">
        <f t="shared" si="8"/>
        <v>5.4999999999999997E-3</v>
      </c>
      <c r="I52" s="699">
        <v>0.22</v>
      </c>
      <c r="J52" s="660">
        <f t="shared" si="9"/>
        <v>1.0999999999999999E-2</v>
      </c>
      <c r="K52" s="660">
        <f t="shared" si="10"/>
        <v>5.4999999999999997E-3</v>
      </c>
      <c r="L52" s="660">
        <v>0</v>
      </c>
      <c r="M52" s="660">
        <f t="shared" si="11"/>
        <v>-5.4999999999999997E-3</v>
      </c>
      <c r="N52" s="660">
        <f t="shared" si="11"/>
        <v>-1.0999999999999999E-2</v>
      </c>
    </row>
    <row r="53" spans="1:14" s="593" customFormat="1" ht="48">
      <c r="A53" s="700" t="s">
        <v>1728</v>
      </c>
      <c r="B53" s="699">
        <f>估价对象房地状况!C19</f>
        <v>0</v>
      </c>
      <c r="C53" s="2829" t="s">
        <v>1726</v>
      </c>
      <c r="D53" s="699">
        <f t="shared" si="7"/>
        <v>3.0000000000000001E-3</v>
      </c>
      <c r="E53" s="762"/>
      <c r="F53" s="707"/>
      <c r="G53" s="761">
        <v>3.0000000000000001E-3</v>
      </c>
      <c r="H53" s="513">
        <f t="shared" si="8"/>
        <v>3.0000000000000001E-3</v>
      </c>
      <c r="I53" s="699">
        <v>0.12</v>
      </c>
      <c r="J53" s="660">
        <f t="shared" si="9"/>
        <v>6.0000000000000001E-3</v>
      </c>
      <c r="K53" s="660">
        <f t="shared" si="10"/>
        <v>3.0000000000000001E-3</v>
      </c>
      <c r="L53" s="660">
        <v>0</v>
      </c>
      <c r="M53" s="660">
        <f t="shared" si="11"/>
        <v>-3.0000000000000001E-3</v>
      </c>
      <c r="N53" s="660">
        <f t="shared" si="11"/>
        <v>-6.0000000000000001E-3</v>
      </c>
    </row>
    <row r="54" spans="1:14" s="593" customFormat="1" ht="37.200000000000003">
      <c r="A54" s="698" t="s">
        <v>1729</v>
      </c>
      <c r="B54" s="701" t="s">
        <v>1730</v>
      </c>
      <c r="C54" s="2829" t="s">
        <v>1726</v>
      </c>
      <c r="D54" s="699">
        <f t="shared" si="7"/>
        <v>1.1999999999999999E-3</v>
      </c>
      <c r="E54" s="762"/>
      <c r="F54" s="707"/>
      <c r="G54" s="761">
        <v>1.1999999999999999E-3</v>
      </c>
      <c r="H54" s="513">
        <f t="shared" si="8"/>
        <v>1.1999999999999999E-3</v>
      </c>
      <c r="I54" s="699">
        <v>0.05</v>
      </c>
      <c r="J54" s="660">
        <f t="shared" si="9"/>
        <v>2.3999999999999998E-3</v>
      </c>
      <c r="K54" s="660">
        <f t="shared" si="10"/>
        <v>1.1999999999999999E-3</v>
      </c>
      <c r="L54" s="660">
        <v>0</v>
      </c>
      <c r="M54" s="660">
        <f t="shared" si="11"/>
        <v>-1.1999999999999999E-3</v>
      </c>
      <c r="N54" s="660">
        <f t="shared" si="11"/>
        <v>-2.3999999999999998E-3</v>
      </c>
    </row>
    <row r="55" spans="1:14" s="593" customFormat="1" ht="24">
      <c r="A55" s="698" t="s">
        <v>1731</v>
      </c>
      <c r="B55" s="699">
        <f>估价对象房地状况!C24</f>
        <v>0</v>
      </c>
      <c r="C55" s="2829" t="s">
        <v>2653</v>
      </c>
      <c r="D55" s="699">
        <f t="shared" si="7"/>
        <v>0</v>
      </c>
      <c r="E55" s="762"/>
      <c r="F55" s="707"/>
      <c r="G55" s="761">
        <v>2E-3</v>
      </c>
      <c r="H55" s="513">
        <f t="shared" si="8"/>
        <v>2E-3</v>
      </c>
      <c r="I55" s="699">
        <v>0.08</v>
      </c>
      <c r="J55" s="660">
        <f t="shared" si="9"/>
        <v>4.0000000000000001E-3</v>
      </c>
      <c r="K55" s="660">
        <f t="shared" si="10"/>
        <v>2E-3</v>
      </c>
      <c r="L55" s="660">
        <v>0</v>
      </c>
      <c r="M55" s="660">
        <f t="shared" si="11"/>
        <v>-2E-3</v>
      </c>
      <c r="N55" s="660">
        <f t="shared" si="11"/>
        <v>-4.0000000000000001E-3</v>
      </c>
    </row>
    <row r="56" spans="1:14" s="593" customFormat="1" ht="36">
      <c r="A56" s="698" t="s">
        <v>1732</v>
      </c>
      <c r="B56" s="702" t="s">
        <v>1733</v>
      </c>
      <c r="C56" s="2829" t="s">
        <v>1726</v>
      </c>
      <c r="D56" s="699">
        <f t="shared" si="7"/>
        <v>1.1999999999999999E-3</v>
      </c>
      <c r="E56" s="762"/>
      <c r="F56" s="707"/>
      <c r="G56" s="761">
        <v>1.1999999999999999E-3</v>
      </c>
      <c r="H56" s="513">
        <f t="shared" si="8"/>
        <v>1.1999999999999999E-3</v>
      </c>
      <c r="I56" s="699">
        <v>0.05</v>
      </c>
      <c r="J56" s="660">
        <f t="shared" si="9"/>
        <v>2.3999999999999998E-3</v>
      </c>
      <c r="K56" s="660">
        <f t="shared" si="10"/>
        <v>1.1999999999999999E-3</v>
      </c>
      <c r="L56" s="660">
        <v>0</v>
      </c>
      <c r="M56" s="660">
        <f t="shared" si="11"/>
        <v>-1.1999999999999999E-3</v>
      </c>
      <c r="N56" s="660">
        <f t="shared" si="11"/>
        <v>-2.3999999999999998E-3</v>
      </c>
    </row>
    <row r="57" spans="1:14" s="593" customFormat="1" ht="26.4">
      <c r="A57" s="703" t="s">
        <v>1734</v>
      </c>
      <c r="B57" s="624" t="str">
        <f>估价对象房地状况!C21</f>
        <v>估价对象所在区域公共配套设施齐备情况</v>
      </c>
      <c r="C57" s="2829" t="s">
        <v>1726</v>
      </c>
      <c r="D57" s="699">
        <f t="shared" si="7"/>
        <v>1.1999999999999999E-3</v>
      </c>
      <c r="E57" s="762"/>
      <c r="F57" s="707"/>
      <c r="G57" s="761">
        <v>1.1999999999999999E-3</v>
      </c>
      <c r="H57" s="513">
        <f t="shared" si="8"/>
        <v>1.1999999999999999E-3</v>
      </c>
      <c r="I57" s="699">
        <v>0.05</v>
      </c>
      <c r="J57" s="660">
        <f t="shared" si="9"/>
        <v>2.3999999999999998E-3</v>
      </c>
      <c r="K57" s="660">
        <f t="shared" si="10"/>
        <v>1.1999999999999999E-3</v>
      </c>
      <c r="L57" s="660">
        <v>0</v>
      </c>
      <c r="M57" s="660">
        <f t="shared" si="11"/>
        <v>-1.1999999999999999E-3</v>
      </c>
      <c r="N57" s="660">
        <f t="shared" si="11"/>
        <v>-2.3999999999999998E-3</v>
      </c>
    </row>
    <row r="58" spans="1:14" s="593" customFormat="1" ht="26.4">
      <c r="A58" s="703" t="s">
        <v>1735</v>
      </c>
      <c r="B58" s="699" t="str">
        <f>估价对象房地状况!C22</f>
        <v>估价对象所在区域基础设施水平</v>
      </c>
      <c r="C58" s="2829" t="s">
        <v>1736</v>
      </c>
      <c r="D58" s="699">
        <f t="shared" si="7"/>
        <v>4.0000000000000001E-3</v>
      </c>
      <c r="E58" s="762"/>
      <c r="F58" s="707"/>
      <c r="G58" s="761">
        <v>2E-3</v>
      </c>
      <c r="H58" s="513">
        <f t="shared" si="8"/>
        <v>2E-3</v>
      </c>
      <c r="I58" s="699">
        <v>0.08</v>
      </c>
      <c r="J58" s="660">
        <f t="shared" si="9"/>
        <v>4.0000000000000001E-3</v>
      </c>
      <c r="K58" s="660">
        <f t="shared" si="10"/>
        <v>2E-3</v>
      </c>
      <c r="L58" s="660">
        <v>0</v>
      </c>
      <c r="M58" s="660">
        <f t="shared" si="11"/>
        <v>-2E-3</v>
      </c>
      <c r="N58" s="660">
        <f t="shared" si="11"/>
        <v>-4.0000000000000001E-3</v>
      </c>
    </row>
    <row r="59" spans="1:14" s="593" customFormat="1" ht="36">
      <c r="A59" s="704" t="s">
        <v>1737</v>
      </c>
      <c r="B59" s="705" t="str">
        <f>估价对象房地状况!C20</f>
        <v>区域自然环境：；人文环境；综合评价环境状况一般</v>
      </c>
      <c r="C59" s="2829" t="s">
        <v>1726</v>
      </c>
      <c r="D59" s="699">
        <f t="shared" si="7"/>
        <v>1.1999999999999999E-3</v>
      </c>
      <c r="E59" s="763"/>
      <c r="F59" s="707"/>
      <c r="G59" s="761">
        <v>1.1999999999999999E-3</v>
      </c>
      <c r="H59" s="513">
        <f t="shared" si="8"/>
        <v>1.1999999999999999E-3</v>
      </c>
      <c r="I59" s="813">
        <v>0.05</v>
      </c>
      <c r="J59" s="660">
        <f t="shared" si="9"/>
        <v>2.3999999999999998E-3</v>
      </c>
      <c r="K59" s="660">
        <f t="shared" si="10"/>
        <v>1.1999999999999999E-3</v>
      </c>
      <c r="L59" s="660">
        <v>0</v>
      </c>
      <c r="M59" s="660">
        <f t="shared" si="11"/>
        <v>-1.1999999999999999E-3</v>
      </c>
      <c r="N59" s="660">
        <f t="shared" si="11"/>
        <v>-2.3999999999999998E-3</v>
      </c>
    </row>
    <row r="60" spans="1:14" s="593" customFormat="1" ht="14.4">
      <c r="A60" s="694" t="s">
        <v>1738</v>
      </c>
      <c r="B60" s="695">
        <f>1+E62</f>
        <v>1</v>
      </c>
      <c r="C60" s="706"/>
      <c r="D60" s="706"/>
      <c r="E60" s="764"/>
      <c r="F60" s="755"/>
      <c r="G60" s="753"/>
      <c r="H60" s="753"/>
      <c r="I60" s="753"/>
      <c r="J60" s="753"/>
      <c r="K60" s="753"/>
      <c r="L60" s="753"/>
      <c r="M60" s="753"/>
      <c r="N60" s="753"/>
    </row>
    <row r="61" spans="1:14" s="593" customFormat="1" ht="25.2">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9.6">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52.8">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48">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7.200000000000003">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36">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6.4">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6.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36">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4.4">
      <c r="A71" s="694" t="s">
        <v>1741</v>
      </c>
      <c r="B71" s="695">
        <f>1+E73</f>
        <v>1</v>
      </c>
      <c r="C71" s="697"/>
      <c r="D71" s="697"/>
      <c r="E71" s="754"/>
      <c r="F71" s="691"/>
      <c r="G71" s="753"/>
      <c r="H71" s="753"/>
      <c r="I71" s="753"/>
      <c r="J71" s="753"/>
      <c r="K71" s="753"/>
      <c r="L71" s="753"/>
      <c r="M71" s="753"/>
      <c r="N71" s="753"/>
    </row>
    <row r="72" spans="1:33" s="593" customFormat="1" ht="25.2">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2.8">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1745</v>
      </c>
      <c r="B82" s="695">
        <f>1+E84</f>
        <v>1</v>
      </c>
      <c r="C82" s="697"/>
      <c r="D82" s="697"/>
      <c r="E82" s="754"/>
      <c r="F82" s="691"/>
      <c r="G82" s="753"/>
      <c r="H82" s="753"/>
      <c r="I82" s="753"/>
      <c r="J82" s="753"/>
      <c r="K82" s="753"/>
      <c r="L82" s="753"/>
      <c r="M82" s="753"/>
      <c r="N82" s="753"/>
      <c r="AA82" s="594"/>
      <c r="AG82" s="593"/>
    </row>
    <row r="83" spans="1:33" ht="25.2">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39.6">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1727</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1728</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1729</v>
      </c>
      <c r="B97" s="701" t="s">
        <v>1730</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1731</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1732</v>
      </c>
      <c r="B99" s="702" t="s">
        <v>1733</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1734</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1735</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1737</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9" t="s">
        <v>1750</v>
      </c>
      <c r="B104" s="3109"/>
      <c r="C104" s="3109"/>
      <c r="D104" s="3109"/>
      <c r="E104" s="3109"/>
      <c r="F104" s="3109"/>
      <c r="G104" s="3109"/>
      <c r="H104" s="3109"/>
      <c r="I104" s="3109"/>
      <c r="J104" s="3109"/>
      <c r="K104" s="854"/>
      <c r="L104" s="854"/>
      <c r="M104" s="854"/>
      <c r="N104" s="854"/>
    </row>
    <row r="105" spans="1:25">
      <c r="A105" s="3113" t="s">
        <v>1751</v>
      </c>
      <c r="B105" s="3113" t="s">
        <v>1752</v>
      </c>
      <c r="C105" s="748" t="s">
        <v>1753</v>
      </c>
      <c r="D105" s="749"/>
      <c r="E105" s="749"/>
      <c r="F105" s="749"/>
      <c r="G105" s="749"/>
      <c r="H105" s="749"/>
      <c r="I105" s="749"/>
      <c r="J105" s="868"/>
      <c r="K105" s="869"/>
      <c r="L105" s="869"/>
      <c r="M105" s="869"/>
      <c r="N105" s="869"/>
    </row>
    <row r="106" spans="1:25">
      <c r="A106" s="3113"/>
      <c r="B106" s="3113"/>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14"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15"/>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15"/>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15"/>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15"/>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15"/>
      <c r="B112" s="747" t="s">
        <v>1608</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16"/>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10" t="s">
        <v>1755</v>
      </c>
      <c r="B114" s="3110"/>
      <c r="C114" s="3110"/>
      <c r="D114" s="3110"/>
      <c r="E114" s="3110"/>
      <c r="F114" s="3110"/>
      <c r="G114" s="3110"/>
      <c r="H114" s="3110"/>
      <c r="I114" s="3110"/>
      <c r="J114" s="3110"/>
      <c r="K114" s="856"/>
      <c r="L114" s="856"/>
      <c r="M114" s="856"/>
      <c r="N114" s="856"/>
    </row>
    <row r="117" spans="1:14" ht="25.2">
      <c r="A117" s="740" t="s">
        <v>1756</v>
      </c>
      <c r="B117" s="857">
        <f>G3</f>
        <v>3.5</v>
      </c>
      <c r="C117" s="654" t="s">
        <v>1757</v>
      </c>
      <c r="D117" s="858">
        <f>SUMPRODUCT((A119:A123=F117)*(B118:M118=H117)*B119:M123)</f>
        <v>0.95830000000000004</v>
      </c>
      <c r="E117" s="598" t="s">
        <v>1563</v>
      </c>
      <c r="F117" s="864" t="str">
        <f>E2</f>
        <v>商业</v>
      </c>
      <c r="G117" s="598" t="s">
        <v>1565</v>
      </c>
      <c r="H117" s="864" t="str">
        <f>G2</f>
        <v>二级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0.95830000000000004</v>
      </c>
      <c r="C119" s="759">
        <f>B119</f>
        <v>0.95830000000000004</v>
      </c>
      <c r="D119" s="759">
        <f>ROUND(0.949-0.014*B117,4)</f>
        <v>0.9</v>
      </c>
      <c r="E119" s="759">
        <f>D119</f>
        <v>0.9</v>
      </c>
      <c r="F119" s="759">
        <f>E119</f>
        <v>0.9</v>
      </c>
      <c r="G119" s="759">
        <f>F119</f>
        <v>0.9</v>
      </c>
      <c r="H119" s="759">
        <f>G119</f>
        <v>0.9</v>
      </c>
      <c r="I119" s="759">
        <f>ROUND(0.8486-0.018*B117,4)</f>
        <v>0.78559999999999997</v>
      </c>
      <c r="J119" s="759">
        <f t="shared" ref="J119:M122" si="36">I119</f>
        <v>0.78559999999999997</v>
      </c>
      <c r="K119" s="759">
        <f t="shared" si="36"/>
        <v>0.78559999999999997</v>
      </c>
      <c r="L119" s="759">
        <f t="shared" si="36"/>
        <v>0.78559999999999997</v>
      </c>
      <c r="M119" s="873">
        <f t="shared" si="36"/>
        <v>0.78559999999999997</v>
      </c>
    </row>
    <row r="120" spans="1:14">
      <c r="A120" s="802" t="s">
        <v>1687</v>
      </c>
      <c r="B120" s="759">
        <f>ROUND(0.993-0.0112*B117,4)</f>
        <v>0.95379999999999998</v>
      </c>
      <c r="C120" s="759">
        <f>B120</f>
        <v>0.95379999999999998</v>
      </c>
      <c r="D120" s="759">
        <f>ROUND(0.9415-0.0142*B117,4)</f>
        <v>0.89180000000000004</v>
      </c>
      <c r="E120" s="759">
        <f t="shared" ref="E120:H121" si="37">D120</f>
        <v>0.89180000000000004</v>
      </c>
      <c r="F120" s="759">
        <f t="shared" si="37"/>
        <v>0.89180000000000004</v>
      </c>
      <c r="G120" s="759">
        <f t="shared" si="37"/>
        <v>0.89180000000000004</v>
      </c>
      <c r="H120" s="759">
        <f t="shared" si="37"/>
        <v>0.89180000000000004</v>
      </c>
      <c r="I120" s="759">
        <f>ROUND(0.838-0.0182*B117,4)</f>
        <v>0.77429999999999999</v>
      </c>
      <c r="J120" s="759">
        <f t="shared" si="36"/>
        <v>0.77429999999999999</v>
      </c>
      <c r="K120" s="759">
        <f t="shared" si="36"/>
        <v>0.77429999999999999</v>
      </c>
      <c r="L120" s="759">
        <f t="shared" si="36"/>
        <v>0.77429999999999999</v>
      </c>
      <c r="M120" s="873">
        <f t="shared" si="36"/>
        <v>0.77429999999999999</v>
      </c>
    </row>
    <row r="121" spans="1:14">
      <c r="A121" s="802" t="s">
        <v>1688</v>
      </c>
      <c r="B121" s="759">
        <f>ROUND(0.9448-0.0115*B117,4)</f>
        <v>0.90459999999999996</v>
      </c>
      <c r="C121" s="759">
        <f>B121</f>
        <v>0.90459999999999996</v>
      </c>
      <c r="D121" s="759">
        <f>ROUND(0.937-0.0145*B117,4)</f>
        <v>0.88629999999999998</v>
      </c>
      <c r="E121" s="759">
        <f t="shared" si="37"/>
        <v>0.88629999999999998</v>
      </c>
      <c r="F121" s="759">
        <f t="shared" si="37"/>
        <v>0.88629999999999998</v>
      </c>
      <c r="G121" s="759">
        <f t="shared" si="37"/>
        <v>0.88629999999999998</v>
      </c>
      <c r="H121" s="759">
        <f t="shared" si="37"/>
        <v>0.88629999999999998</v>
      </c>
      <c r="I121" s="759">
        <f>ROUND(0.7965-0.0185*B117,4)</f>
        <v>0.73180000000000001</v>
      </c>
      <c r="J121" s="759">
        <f t="shared" si="36"/>
        <v>0.73180000000000001</v>
      </c>
      <c r="K121" s="759">
        <f t="shared" si="36"/>
        <v>0.73180000000000001</v>
      </c>
      <c r="L121" s="759">
        <f t="shared" si="36"/>
        <v>0.73180000000000001</v>
      </c>
      <c r="M121" s="873">
        <f t="shared" si="36"/>
        <v>0.73180000000000001</v>
      </c>
    </row>
    <row r="122" spans="1:14">
      <c r="A122" s="803" t="s">
        <v>1689</v>
      </c>
      <c r="B122" s="861">
        <f>ROUND(0.7836-0.012*B117,4)</f>
        <v>0.74160000000000004</v>
      </c>
      <c r="C122" s="861">
        <f>B122</f>
        <v>0.74160000000000004</v>
      </c>
      <c r="D122" s="861">
        <f>ROUND(0.753-0.015*B117,4)</f>
        <v>0.70050000000000001</v>
      </c>
      <c r="E122" s="861">
        <f>D122</f>
        <v>0.70050000000000001</v>
      </c>
      <c r="F122" s="861">
        <f>E122</f>
        <v>0.70050000000000001</v>
      </c>
      <c r="G122" s="861">
        <f>ROUND(0.6612-0.018*B117,4)</f>
        <v>0.59819999999999995</v>
      </c>
      <c r="H122" s="861">
        <f>G122</f>
        <v>0.59819999999999995</v>
      </c>
      <c r="I122" s="861">
        <f>ROUND(0.5905-0.019*B117,4)</f>
        <v>0.52400000000000002</v>
      </c>
      <c r="J122" s="861">
        <f t="shared" si="36"/>
        <v>0.52400000000000002</v>
      </c>
      <c r="K122" s="861">
        <f t="shared" si="36"/>
        <v>0.52400000000000002</v>
      </c>
      <c r="L122" s="861">
        <f t="shared" si="36"/>
        <v>0.52400000000000002</v>
      </c>
      <c r="M122" s="874">
        <f t="shared" si="36"/>
        <v>0.52400000000000002</v>
      </c>
    </row>
    <row r="123" spans="1:14">
      <c r="A123" s="862" t="s">
        <v>288</v>
      </c>
      <c r="B123" s="759">
        <f>ROUND(0.9404-0.0106*B117,4)</f>
        <v>0.90329999999999999</v>
      </c>
      <c r="C123" s="759">
        <f>B123</f>
        <v>0.90329999999999999</v>
      </c>
      <c r="D123" s="759">
        <f>ROUND(0.8955-0.0135*B117,4)</f>
        <v>0.84830000000000005</v>
      </c>
      <c r="E123" s="759">
        <f t="shared" ref="E123" si="38">D123</f>
        <v>0.84830000000000005</v>
      </c>
      <c r="F123" s="759">
        <f t="shared" ref="F123" si="39">E123</f>
        <v>0.84830000000000005</v>
      </c>
      <c r="G123" s="759">
        <f t="shared" ref="G123" si="40">F123</f>
        <v>0.84830000000000005</v>
      </c>
      <c r="H123" s="759">
        <f t="shared" ref="H123" si="41">G123</f>
        <v>0.84830000000000005</v>
      </c>
      <c r="I123" s="759">
        <f>ROUND(0.7632-0.0166*B117,4)</f>
        <v>0.70509999999999995</v>
      </c>
      <c r="J123" s="759">
        <f t="shared" ref="J123" si="42">I123</f>
        <v>0.70509999999999995</v>
      </c>
      <c r="K123" s="759">
        <f t="shared" ref="K123" si="43">J123</f>
        <v>0.70509999999999995</v>
      </c>
      <c r="L123" s="759">
        <f t="shared" ref="L123" si="44">K123</f>
        <v>0.70509999999999995</v>
      </c>
      <c r="M123" s="873">
        <f t="shared" ref="M123" si="45">L123</f>
        <v>0.70509999999999995</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1564</v>
      </c>
      <c r="B2" s="538">
        <v>3.5</v>
      </c>
      <c r="C2" s="538">
        <v>3.5</v>
      </c>
      <c r="D2" s="539">
        <v>2.5</v>
      </c>
      <c r="E2" s="539">
        <v>2.5</v>
      </c>
      <c r="F2" s="539">
        <v>2.5</v>
      </c>
      <c r="G2" s="539">
        <v>2.5</v>
      </c>
      <c r="H2" s="539">
        <v>2.5</v>
      </c>
      <c r="I2" s="538">
        <v>2</v>
      </c>
      <c r="J2" s="538">
        <v>2</v>
      </c>
      <c r="K2" s="538">
        <v>2</v>
      </c>
      <c r="L2" s="538">
        <v>2</v>
      </c>
      <c r="M2" s="584">
        <v>2</v>
      </c>
    </row>
    <row r="3" spans="1:13">
      <c r="A3" s="540" t="s">
        <v>1770</v>
      </c>
      <c r="B3" s="541">
        <v>3.5</v>
      </c>
      <c r="C3" s="541">
        <v>3.5</v>
      </c>
      <c r="D3" s="542">
        <v>2.5</v>
      </c>
      <c r="E3" s="542">
        <v>2.5</v>
      </c>
      <c r="F3" s="542">
        <v>2.5</v>
      </c>
      <c r="G3" s="542">
        <v>2.5</v>
      </c>
      <c r="H3" s="542">
        <v>2.5</v>
      </c>
      <c r="I3" s="541">
        <v>2</v>
      </c>
      <c r="J3" s="541">
        <v>2</v>
      </c>
      <c r="K3" s="541">
        <v>2</v>
      </c>
      <c r="L3" s="541">
        <v>2</v>
      </c>
      <c r="M3" s="585">
        <v>2</v>
      </c>
    </row>
    <row r="4" spans="1:13">
      <c r="A4" s="540" t="s">
        <v>1771</v>
      </c>
      <c r="B4" s="542">
        <v>2.5</v>
      </c>
      <c r="C4" s="542">
        <v>2.5</v>
      </c>
      <c r="D4" s="542">
        <v>2.5</v>
      </c>
      <c r="E4" s="542">
        <v>2.5</v>
      </c>
      <c r="F4" s="542">
        <v>2.5</v>
      </c>
      <c r="G4" s="542">
        <v>2.5</v>
      </c>
      <c r="H4" s="542">
        <v>2.5</v>
      </c>
      <c r="I4" s="541">
        <v>1.5</v>
      </c>
      <c r="J4" s="541">
        <v>1.5</v>
      </c>
      <c r="K4" s="541">
        <v>1.5</v>
      </c>
      <c r="L4" s="541">
        <v>1.5</v>
      </c>
      <c r="M4" s="585">
        <v>1.5</v>
      </c>
    </row>
    <row r="5" spans="1:13">
      <c r="A5" s="543" t="s">
        <v>1772</v>
      </c>
      <c r="B5" s="541">
        <v>1.5</v>
      </c>
      <c r="C5" s="541">
        <v>1.5</v>
      </c>
      <c r="D5" s="541">
        <v>1.5</v>
      </c>
      <c r="E5" s="541">
        <v>1.5</v>
      </c>
      <c r="F5" s="541">
        <v>1.5</v>
      </c>
      <c r="G5" s="541">
        <v>1.2</v>
      </c>
      <c r="H5" s="541">
        <v>1.2</v>
      </c>
      <c r="I5" s="541">
        <v>1</v>
      </c>
      <c r="J5" s="541">
        <v>1</v>
      </c>
      <c r="K5" s="541">
        <v>1</v>
      </c>
      <c r="L5" s="541">
        <v>1</v>
      </c>
      <c r="M5" s="585">
        <v>1</v>
      </c>
    </row>
    <row r="6" spans="1:13">
      <c r="A6" s="544" t="s">
        <v>1773</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1647</v>
      </c>
      <c r="B8" s="549">
        <v>80</v>
      </c>
      <c r="C8" s="549">
        <v>80</v>
      </c>
      <c r="D8" s="549">
        <v>70</v>
      </c>
      <c r="E8" s="549">
        <v>70</v>
      </c>
      <c r="F8" s="549">
        <v>70</v>
      </c>
      <c r="G8" s="549">
        <v>70</v>
      </c>
      <c r="H8" s="549">
        <v>70</v>
      </c>
      <c r="I8" s="549">
        <v>60</v>
      </c>
      <c r="J8" s="549">
        <v>60</v>
      </c>
      <c r="K8" s="549">
        <v>60</v>
      </c>
      <c r="L8" s="549">
        <v>60</v>
      </c>
      <c r="M8" s="588">
        <v>60</v>
      </c>
    </row>
    <row r="9" spans="1:13">
      <c r="A9" s="550" t="s">
        <v>1648</v>
      </c>
      <c r="B9" s="551">
        <v>70</v>
      </c>
      <c r="C9" s="551">
        <v>70</v>
      </c>
      <c r="D9" s="551">
        <v>60</v>
      </c>
      <c r="E9" s="551">
        <v>60</v>
      </c>
      <c r="F9" s="551">
        <v>60</v>
      </c>
      <c r="G9" s="551">
        <v>60</v>
      </c>
      <c r="H9" s="551">
        <v>60</v>
      </c>
      <c r="I9" s="551">
        <v>50</v>
      </c>
      <c r="J9" s="551">
        <v>50</v>
      </c>
      <c r="K9" s="551">
        <v>50</v>
      </c>
      <c r="L9" s="551">
        <v>50</v>
      </c>
      <c r="M9" s="589">
        <v>50</v>
      </c>
    </row>
    <row r="10" spans="1:13">
      <c r="A10" s="550" t="s">
        <v>1649</v>
      </c>
      <c r="B10" s="551">
        <v>20</v>
      </c>
      <c r="C10" s="551">
        <v>20</v>
      </c>
      <c r="D10" s="551">
        <v>15</v>
      </c>
      <c r="E10" s="551">
        <v>15</v>
      </c>
      <c r="F10" s="551">
        <v>15</v>
      </c>
      <c r="G10" s="551">
        <v>15</v>
      </c>
      <c r="H10" s="551">
        <v>15</v>
      </c>
      <c r="I10" s="551">
        <v>10</v>
      </c>
      <c r="J10" s="551">
        <v>10</v>
      </c>
      <c r="K10" s="551">
        <v>10</v>
      </c>
      <c r="L10" s="551">
        <v>10</v>
      </c>
      <c r="M10" s="589">
        <v>10</v>
      </c>
    </row>
    <row r="11" spans="1:13">
      <c r="A11" s="550" t="s">
        <v>1650</v>
      </c>
      <c r="B11" s="551">
        <v>30</v>
      </c>
      <c r="C11" s="551">
        <v>30</v>
      </c>
      <c r="D11" s="551">
        <v>25</v>
      </c>
      <c r="E11" s="551">
        <v>25</v>
      </c>
      <c r="F11" s="551">
        <v>25</v>
      </c>
      <c r="G11" s="551">
        <v>25</v>
      </c>
      <c r="H11" s="551">
        <v>25</v>
      </c>
      <c r="I11" s="551">
        <v>20</v>
      </c>
      <c r="J11" s="551">
        <v>20</v>
      </c>
      <c r="K11" s="551">
        <v>20</v>
      </c>
      <c r="L11" s="551">
        <v>20</v>
      </c>
      <c r="M11" s="589">
        <v>20</v>
      </c>
    </row>
    <row r="12" spans="1:13">
      <c r="A12" s="550" t="s">
        <v>1651</v>
      </c>
      <c r="B12" s="551">
        <v>45</v>
      </c>
      <c r="C12" s="551">
        <v>45</v>
      </c>
      <c r="D12" s="551">
        <v>40</v>
      </c>
      <c r="E12" s="551">
        <v>40</v>
      </c>
      <c r="F12" s="551">
        <v>40</v>
      </c>
      <c r="G12" s="551">
        <v>40</v>
      </c>
      <c r="H12" s="551">
        <v>40</v>
      </c>
      <c r="I12" s="551">
        <v>35</v>
      </c>
      <c r="J12" s="551">
        <v>35</v>
      </c>
      <c r="K12" s="551">
        <v>35</v>
      </c>
      <c r="L12" s="551">
        <v>35</v>
      </c>
      <c r="M12" s="589">
        <v>35</v>
      </c>
    </row>
    <row r="13" spans="1:13">
      <c r="A13" s="550" t="s">
        <v>1653</v>
      </c>
      <c r="B13" s="551">
        <v>60</v>
      </c>
      <c r="C13" s="551">
        <v>60</v>
      </c>
      <c r="D13" s="551">
        <v>50</v>
      </c>
      <c r="E13" s="551">
        <v>50</v>
      </c>
      <c r="F13" s="551">
        <v>50</v>
      </c>
      <c r="G13" s="551">
        <v>50</v>
      </c>
      <c r="H13" s="551">
        <v>50</v>
      </c>
      <c r="I13" s="551">
        <v>40</v>
      </c>
      <c r="J13" s="551">
        <v>40</v>
      </c>
      <c r="K13" s="551">
        <v>40</v>
      </c>
      <c r="L13" s="551">
        <v>40</v>
      </c>
      <c r="M13" s="589">
        <v>40</v>
      </c>
    </row>
    <row r="14" spans="1:13">
      <c r="A14" s="550" t="s">
        <v>1654</v>
      </c>
      <c r="B14" s="551">
        <v>50</v>
      </c>
      <c r="C14" s="551">
        <v>50</v>
      </c>
      <c r="D14" s="551">
        <v>40</v>
      </c>
      <c r="E14" s="551">
        <v>40</v>
      </c>
      <c r="F14" s="551">
        <v>40</v>
      </c>
      <c r="G14" s="551">
        <v>40</v>
      </c>
      <c r="H14" s="551">
        <v>40</v>
      </c>
      <c r="I14" s="551">
        <v>30</v>
      </c>
      <c r="J14" s="551">
        <v>30</v>
      </c>
      <c r="K14" s="551">
        <v>30</v>
      </c>
      <c r="L14" s="551">
        <v>30</v>
      </c>
      <c r="M14" s="589">
        <v>30</v>
      </c>
    </row>
    <row r="15" spans="1:13">
      <c r="A15" s="552" t="s">
        <v>1652</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1774</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1775</v>
      </c>
      <c r="B18" s="554"/>
      <c r="C18" s="555"/>
      <c r="D18" s="555"/>
      <c r="E18" s="554"/>
      <c r="F18" s="555"/>
      <c r="G18" s="555"/>
    </row>
    <row r="19" spans="1:13">
      <c r="A19" s="553" t="s">
        <v>1776</v>
      </c>
      <c r="B19" s="556" t="s">
        <v>1777</v>
      </c>
      <c r="C19" s="556" t="s">
        <v>1778</v>
      </c>
      <c r="D19" s="557"/>
      <c r="E19" s="553" t="s">
        <v>1779</v>
      </c>
      <c r="F19" s="574"/>
      <c r="G19" s="574"/>
    </row>
    <row r="20" spans="1:13">
      <c r="A20" s="3118" t="s">
        <v>1564</v>
      </c>
      <c r="B20" s="3124" t="s">
        <v>1780</v>
      </c>
      <c r="C20" s="558" t="s">
        <v>1569</v>
      </c>
      <c r="D20" s="559"/>
      <c r="E20" s="575">
        <v>1</v>
      </c>
      <c r="F20" s="576" t="s">
        <v>1781</v>
      </c>
      <c r="G20" s="576"/>
    </row>
    <row r="21" spans="1:13">
      <c r="A21" s="3119"/>
      <c r="B21" s="3125"/>
      <c r="C21" s="560" t="s">
        <v>1782</v>
      </c>
      <c r="D21" s="561"/>
      <c r="E21" s="577">
        <v>1</v>
      </c>
      <c r="F21" s="576" t="s">
        <v>1783</v>
      </c>
      <c r="G21" s="576"/>
    </row>
    <row r="22" spans="1:13">
      <c r="A22" s="3119"/>
      <c r="B22" s="3125"/>
      <c r="C22" s="560" t="s">
        <v>1784</v>
      </c>
      <c r="D22" s="561"/>
      <c r="E22" s="577">
        <v>0.9</v>
      </c>
      <c r="F22" s="576" t="s">
        <v>1785</v>
      </c>
      <c r="G22" s="576"/>
    </row>
    <row r="23" spans="1:13">
      <c r="A23" s="3119"/>
      <c r="B23" s="3125"/>
      <c r="C23" s="560" t="s">
        <v>1786</v>
      </c>
      <c r="D23" s="561"/>
      <c r="E23" s="577">
        <v>0.9</v>
      </c>
      <c r="F23" s="576" t="s">
        <v>1787</v>
      </c>
      <c r="G23" s="576"/>
    </row>
    <row r="24" spans="1:13">
      <c r="A24" s="3119"/>
      <c r="B24" s="3125"/>
      <c r="C24" s="560" t="s">
        <v>1788</v>
      </c>
      <c r="D24" s="561"/>
      <c r="E24" s="577">
        <v>0.8</v>
      </c>
      <c r="F24" s="576" t="s">
        <v>1789</v>
      </c>
      <c r="G24" s="576"/>
    </row>
    <row r="25" spans="1:13">
      <c r="A25" s="3120"/>
      <c r="B25" s="3126"/>
      <c r="C25" s="562" t="s">
        <v>1790</v>
      </c>
      <c r="D25" s="563"/>
      <c r="E25" s="578">
        <v>0.8</v>
      </c>
      <c r="F25" s="576" t="s">
        <v>1791</v>
      </c>
      <c r="G25" s="576"/>
    </row>
    <row r="26" spans="1:13">
      <c r="A26" s="564" t="s">
        <v>1770</v>
      </c>
      <c r="B26" s="565" t="s">
        <v>1780</v>
      </c>
      <c r="C26" s="566" t="s">
        <v>1792</v>
      </c>
      <c r="D26" s="567"/>
      <c r="E26" s="579">
        <v>1</v>
      </c>
      <c r="F26" s="576" t="s">
        <v>1793</v>
      </c>
      <c r="G26" s="576"/>
    </row>
    <row r="27" spans="1:13">
      <c r="A27" s="3121" t="s">
        <v>288</v>
      </c>
      <c r="B27" s="3124" t="s">
        <v>288</v>
      </c>
      <c r="C27" s="558" t="s">
        <v>1794</v>
      </c>
      <c r="D27" s="559"/>
      <c r="E27" s="575">
        <v>1</v>
      </c>
      <c r="F27" s="576" t="s">
        <v>1795</v>
      </c>
      <c r="G27" s="576"/>
    </row>
    <row r="28" spans="1:13">
      <c r="A28" s="3122"/>
      <c r="B28" s="3125"/>
      <c r="C28" s="560" t="s">
        <v>1796</v>
      </c>
      <c r="D28" s="561"/>
      <c r="E28" s="577">
        <v>1</v>
      </c>
      <c r="F28" s="576" t="s">
        <v>1797</v>
      </c>
      <c r="G28" s="576"/>
    </row>
    <row r="29" spans="1:13">
      <c r="A29" s="3122"/>
      <c r="B29" s="3125"/>
      <c r="C29" s="560" t="s">
        <v>1798</v>
      </c>
      <c r="D29" s="561"/>
      <c r="E29" s="577">
        <v>0.8</v>
      </c>
      <c r="F29" s="576" t="s">
        <v>1799</v>
      </c>
      <c r="G29" s="576"/>
    </row>
    <row r="30" spans="1:13">
      <c r="A30" s="3122"/>
      <c r="B30" s="3125"/>
      <c r="C30" s="560" t="s">
        <v>1800</v>
      </c>
      <c r="D30" s="561"/>
      <c r="E30" s="577">
        <v>0.8</v>
      </c>
      <c r="F30" s="576" t="s">
        <v>1801</v>
      </c>
      <c r="G30" s="576"/>
    </row>
    <row r="31" spans="1:13">
      <c r="A31" s="3122"/>
      <c r="B31" s="3125"/>
      <c r="C31" s="560" t="s">
        <v>1802</v>
      </c>
      <c r="D31" s="561"/>
      <c r="E31" s="577">
        <v>0.8</v>
      </c>
      <c r="F31" s="576" t="s">
        <v>1803</v>
      </c>
      <c r="G31" s="576"/>
    </row>
    <row r="32" spans="1:13">
      <c r="A32" s="3122"/>
      <c r="B32" s="3125"/>
      <c r="C32" s="560" t="s">
        <v>1804</v>
      </c>
      <c r="D32" s="561"/>
      <c r="E32" s="577">
        <v>0.7</v>
      </c>
      <c r="F32" s="576" t="s">
        <v>1805</v>
      </c>
      <c r="G32" s="576"/>
    </row>
    <row r="33" spans="1:7">
      <c r="A33" s="3122"/>
      <c r="B33" s="3125"/>
      <c r="C33" s="560" t="s">
        <v>1806</v>
      </c>
      <c r="D33" s="561"/>
      <c r="E33" s="577">
        <v>0.8</v>
      </c>
      <c r="F33" s="576" t="s">
        <v>1807</v>
      </c>
      <c r="G33" s="576"/>
    </row>
    <row r="34" spans="1:7">
      <c r="A34" s="3122"/>
      <c r="B34" s="3125"/>
      <c r="C34" s="560" t="s">
        <v>1808</v>
      </c>
      <c r="D34" s="561"/>
      <c r="E34" s="577">
        <v>0.6</v>
      </c>
      <c r="F34" s="576" t="s">
        <v>1809</v>
      </c>
      <c r="G34" s="576"/>
    </row>
    <row r="35" spans="1:7">
      <c r="A35" s="3122"/>
      <c r="B35" s="3125"/>
      <c r="C35" s="560" t="s">
        <v>1810</v>
      </c>
      <c r="D35" s="561"/>
      <c r="E35" s="577">
        <v>0.2</v>
      </c>
      <c r="F35" s="576" t="s">
        <v>1811</v>
      </c>
      <c r="G35" s="576"/>
    </row>
    <row r="36" spans="1:7">
      <c r="A36" s="3122"/>
      <c r="B36" s="3125"/>
      <c r="C36" s="560" t="s">
        <v>1812</v>
      </c>
      <c r="D36" s="561"/>
      <c r="E36" s="577">
        <v>0.2</v>
      </c>
      <c r="F36" s="576" t="s">
        <v>1813</v>
      </c>
      <c r="G36" s="576"/>
    </row>
    <row r="37" spans="1:7">
      <c r="A37" s="3122"/>
      <c r="B37" s="3127" t="s">
        <v>1814</v>
      </c>
      <c r="C37" s="560" t="s">
        <v>1815</v>
      </c>
      <c r="D37" s="561"/>
      <c r="E37" s="577">
        <v>0.6</v>
      </c>
      <c r="F37" s="576" t="s">
        <v>1816</v>
      </c>
      <c r="G37" s="576"/>
    </row>
    <row r="38" spans="1:7">
      <c r="A38" s="3122"/>
      <c r="B38" s="3125"/>
      <c r="C38" s="560" t="s">
        <v>1817</v>
      </c>
      <c r="D38" s="561"/>
      <c r="E38" s="577">
        <v>0.6</v>
      </c>
      <c r="F38" s="576" t="s">
        <v>1818</v>
      </c>
      <c r="G38" s="576"/>
    </row>
    <row r="39" spans="1:7">
      <c r="A39" s="3123"/>
      <c r="B39" s="3126"/>
      <c r="C39" s="562" t="s">
        <v>1819</v>
      </c>
      <c r="D39" s="563"/>
      <c r="E39" s="578">
        <v>0.6</v>
      </c>
      <c r="F39" s="576" t="s">
        <v>1820</v>
      </c>
      <c r="G39" s="576"/>
    </row>
    <row r="40" spans="1:7">
      <c r="A40" s="564" t="s">
        <v>1771</v>
      </c>
      <c r="B40" s="565" t="s">
        <v>1771</v>
      </c>
      <c r="C40" s="566" t="s">
        <v>1821</v>
      </c>
      <c r="D40" s="567"/>
      <c r="E40" s="579">
        <v>1</v>
      </c>
      <c r="F40" s="576" t="s">
        <v>1822</v>
      </c>
      <c r="G40" s="576"/>
    </row>
    <row r="41" spans="1:7">
      <c r="A41" s="3118" t="s">
        <v>1772</v>
      </c>
      <c r="B41" s="3124" t="s">
        <v>1823</v>
      </c>
      <c r="C41" s="558" t="s">
        <v>1824</v>
      </c>
      <c r="D41" s="559"/>
      <c r="E41" s="575">
        <v>1</v>
      </c>
      <c r="F41" s="576" t="s">
        <v>1825</v>
      </c>
      <c r="G41" s="576"/>
    </row>
    <row r="42" spans="1:7">
      <c r="A42" s="3119"/>
      <c r="B42" s="3125"/>
      <c r="C42" s="560" t="s">
        <v>1826</v>
      </c>
      <c r="D42" s="561"/>
      <c r="E42" s="577">
        <v>1</v>
      </c>
      <c r="F42" s="576" t="s">
        <v>1827</v>
      </c>
      <c r="G42" s="576"/>
    </row>
    <row r="43" spans="1:7">
      <c r="A43" s="3119"/>
      <c r="B43" s="3128"/>
      <c r="C43" s="560" t="s">
        <v>1828</v>
      </c>
      <c r="D43" s="561"/>
      <c r="E43" s="577">
        <v>1.5</v>
      </c>
      <c r="F43" s="576" t="s">
        <v>1829</v>
      </c>
      <c r="G43" s="576"/>
    </row>
    <row r="44" spans="1:7">
      <c r="A44" s="3119"/>
      <c r="B44" s="569" t="s">
        <v>288</v>
      </c>
      <c r="C44" s="560" t="s">
        <v>1773</v>
      </c>
      <c r="D44" s="561"/>
      <c r="E44" s="577">
        <v>2</v>
      </c>
      <c r="F44" s="576" t="s">
        <v>1830</v>
      </c>
      <c r="G44" s="576"/>
    </row>
    <row r="45" spans="1:7">
      <c r="A45" s="3119"/>
      <c r="B45" s="3127" t="s">
        <v>1831</v>
      </c>
      <c r="C45" s="560" t="s">
        <v>1832</v>
      </c>
      <c r="D45" s="561"/>
      <c r="E45" s="577">
        <v>1</v>
      </c>
      <c r="F45" s="576" t="s">
        <v>1833</v>
      </c>
      <c r="G45" s="576"/>
    </row>
    <row r="46" spans="1:7">
      <c r="A46" s="3119"/>
      <c r="B46" s="3125"/>
      <c r="C46" s="560" t="s">
        <v>1834</v>
      </c>
      <c r="D46" s="561"/>
      <c r="E46" s="577">
        <v>1</v>
      </c>
      <c r="F46" s="576" t="s">
        <v>1835</v>
      </c>
      <c r="G46" s="576"/>
    </row>
    <row r="47" spans="1:7">
      <c r="A47" s="3119"/>
      <c r="B47" s="3125"/>
      <c r="C47" s="560" t="s">
        <v>1836</v>
      </c>
      <c r="D47" s="561"/>
      <c r="E47" s="577">
        <v>1</v>
      </c>
      <c r="F47" s="576" t="s">
        <v>1837</v>
      </c>
      <c r="G47" s="576"/>
    </row>
    <row r="48" spans="1:7">
      <c r="A48" s="3119"/>
      <c r="B48" s="3125"/>
      <c r="C48" s="560" t="s">
        <v>1838</v>
      </c>
      <c r="D48" s="561"/>
      <c r="E48" s="577">
        <v>1</v>
      </c>
      <c r="F48" s="576" t="s">
        <v>1839</v>
      </c>
      <c r="G48" s="576"/>
    </row>
    <row r="49" spans="1:7">
      <c r="A49" s="3119"/>
      <c r="B49" s="3125"/>
      <c r="C49" s="560" t="s">
        <v>1840</v>
      </c>
      <c r="D49" s="561"/>
      <c r="E49" s="577">
        <v>1</v>
      </c>
      <c r="F49" s="576" t="s">
        <v>1841</v>
      </c>
      <c r="G49" s="576"/>
    </row>
    <row r="50" spans="1:7">
      <c r="A50" s="3119"/>
      <c r="B50" s="3125"/>
      <c r="C50" s="560" t="s">
        <v>1842</v>
      </c>
      <c r="D50" s="561"/>
      <c r="E50" s="577">
        <v>1</v>
      </c>
      <c r="F50" s="576" t="s">
        <v>1843</v>
      </c>
      <c r="G50" s="576"/>
    </row>
    <row r="51" spans="1:7">
      <c r="A51" s="3120"/>
      <c r="B51" s="3126"/>
      <c r="C51" s="562" t="s">
        <v>1844</v>
      </c>
      <c r="D51" s="563"/>
      <c r="E51" s="578">
        <v>1</v>
      </c>
      <c r="F51" s="576" t="s">
        <v>1845</v>
      </c>
      <c r="G51" s="576"/>
    </row>
    <row r="52" spans="1:7">
      <c r="A52" s="570"/>
      <c r="B52" s="570"/>
      <c r="C52" s="570"/>
      <c r="D52" s="570"/>
      <c r="E52" s="570"/>
      <c r="F52" s="570"/>
      <c r="G52" s="570"/>
    </row>
    <row r="54" spans="1:7">
      <c r="A54" s="571"/>
      <c r="B54" s="551" t="s">
        <v>1846</v>
      </c>
      <c r="C54" s="551" t="s">
        <v>1846</v>
      </c>
      <c r="D54" s="551" t="s">
        <v>1846</v>
      </c>
      <c r="E54" s="553" t="s">
        <v>1846</v>
      </c>
      <c r="F54" s="553" t="s">
        <v>1847</v>
      </c>
      <c r="G54" s="553" t="s">
        <v>1846</v>
      </c>
    </row>
    <row r="55" spans="1:7">
      <c r="A55" s="572"/>
      <c r="B55" s="553" t="s">
        <v>1564</v>
      </c>
      <c r="C55" s="553" t="s">
        <v>1564</v>
      </c>
      <c r="D55" s="553" t="s">
        <v>1564</v>
      </c>
      <c r="E55" s="551" t="s">
        <v>1770</v>
      </c>
      <c r="F55" s="551" t="s">
        <v>1772</v>
      </c>
      <c r="G55" s="551" t="s">
        <v>1848</v>
      </c>
    </row>
    <row r="56" spans="1:7">
      <c r="A56" s="573"/>
      <c r="B56" s="551">
        <v>1</v>
      </c>
      <c r="C56" s="551">
        <v>2</v>
      </c>
      <c r="D56" s="551">
        <v>3</v>
      </c>
      <c r="E56" s="580" t="s">
        <v>1849</v>
      </c>
      <c r="F56" s="580" t="s">
        <v>1849</v>
      </c>
      <c r="G56" s="580" t="s">
        <v>1849</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1850</v>
      </c>
      <c r="E70" s="591"/>
      <c r="F70" s="591"/>
    </row>
    <row r="71" spans="1:7">
      <c r="A71" s="569" t="s">
        <v>1851</v>
      </c>
      <c r="B71" s="569" t="s">
        <v>1852</v>
      </c>
      <c r="C71" s="569" t="s">
        <v>1853</v>
      </c>
      <c r="D71" s="569" t="s">
        <v>1854</v>
      </c>
      <c r="E71" s="569" t="s">
        <v>1855</v>
      </c>
      <c r="F71" s="569" t="s">
        <v>1856</v>
      </c>
    </row>
    <row r="72" spans="1:7">
      <c r="A72" s="569"/>
      <c r="B72" s="569"/>
      <c r="C72" s="569" t="s">
        <v>1587</v>
      </c>
      <c r="D72" s="569"/>
      <c r="E72" s="569" t="s">
        <v>124</v>
      </c>
      <c r="F72" s="569" t="s">
        <v>124</v>
      </c>
    </row>
    <row r="73" spans="1:7">
      <c r="A73" s="569">
        <v>1</v>
      </c>
      <c r="B73" s="3127" t="s">
        <v>1857</v>
      </c>
      <c r="C73" s="551" t="s">
        <v>1858</v>
      </c>
      <c r="D73" s="551" t="s">
        <v>1859</v>
      </c>
      <c r="E73" s="569">
        <v>0.2</v>
      </c>
      <c r="F73" s="569">
        <v>25</v>
      </c>
    </row>
    <row r="74" spans="1:7" ht="24">
      <c r="A74" s="569">
        <v>2</v>
      </c>
      <c r="B74" s="3125"/>
      <c r="C74" s="551" t="s">
        <v>1860</v>
      </c>
      <c r="D74" s="551" t="s">
        <v>1861</v>
      </c>
      <c r="E74" s="569">
        <v>0.2</v>
      </c>
      <c r="F74" s="569">
        <v>25</v>
      </c>
    </row>
    <row r="75" spans="1:7" ht="24">
      <c r="A75" s="569">
        <v>3</v>
      </c>
      <c r="B75" s="3125"/>
      <c r="C75" s="551" t="s">
        <v>1862</v>
      </c>
      <c r="D75" s="551" t="s">
        <v>1863</v>
      </c>
      <c r="E75" s="569">
        <v>0.2</v>
      </c>
      <c r="F75" s="569">
        <v>25</v>
      </c>
    </row>
    <row r="76" spans="1:7">
      <c r="A76" s="569">
        <v>4</v>
      </c>
      <c r="B76" s="3125"/>
      <c r="C76" s="551" t="s">
        <v>1864</v>
      </c>
      <c r="D76" s="551" t="s">
        <v>1865</v>
      </c>
      <c r="E76" s="569">
        <v>0.15</v>
      </c>
      <c r="F76" s="569">
        <v>20</v>
      </c>
    </row>
    <row r="77" spans="1:7" ht="24">
      <c r="A77" s="569">
        <v>5</v>
      </c>
      <c r="B77" s="3125"/>
      <c r="C77" s="551" t="s">
        <v>1866</v>
      </c>
      <c r="D77" s="551" t="s">
        <v>1867</v>
      </c>
      <c r="E77" s="569">
        <v>0.15</v>
      </c>
      <c r="F77" s="569">
        <v>20</v>
      </c>
    </row>
    <row r="78" spans="1:7" ht="24">
      <c r="A78" s="569">
        <v>6</v>
      </c>
      <c r="B78" s="3125"/>
      <c r="C78" s="551" t="s">
        <v>1868</v>
      </c>
      <c r="D78" s="551" t="s">
        <v>1869</v>
      </c>
      <c r="E78" s="569">
        <v>0.15</v>
      </c>
      <c r="F78" s="569">
        <v>20</v>
      </c>
    </row>
    <row r="79" spans="1:7" ht="24">
      <c r="A79" s="569">
        <v>7</v>
      </c>
      <c r="B79" s="3125"/>
      <c r="C79" s="551" t="s">
        <v>1870</v>
      </c>
      <c r="D79" s="551" t="s">
        <v>1871</v>
      </c>
      <c r="E79" s="569">
        <v>0.15</v>
      </c>
      <c r="F79" s="569">
        <v>20</v>
      </c>
    </row>
    <row r="80" spans="1:7" ht="24">
      <c r="A80" s="569">
        <v>8</v>
      </c>
      <c r="B80" s="3125"/>
      <c r="C80" s="551" t="s">
        <v>1872</v>
      </c>
      <c r="D80" s="551" t="s">
        <v>1873</v>
      </c>
      <c r="E80" s="569">
        <v>0.1</v>
      </c>
      <c r="F80" s="569">
        <v>15</v>
      </c>
    </row>
    <row r="81" spans="1:6" ht="24">
      <c r="A81" s="569">
        <v>9</v>
      </c>
      <c r="B81" s="3125"/>
      <c r="C81" s="551" t="s">
        <v>1874</v>
      </c>
      <c r="D81" s="551" t="s">
        <v>1875</v>
      </c>
      <c r="E81" s="569">
        <v>0.1</v>
      </c>
      <c r="F81" s="569">
        <v>15</v>
      </c>
    </row>
    <row r="82" spans="1:6" ht="24">
      <c r="A82" s="569">
        <v>10</v>
      </c>
      <c r="B82" s="3125"/>
      <c r="C82" s="551" t="s">
        <v>1876</v>
      </c>
      <c r="D82" s="551" t="s">
        <v>1877</v>
      </c>
      <c r="E82" s="569">
        <v>0.1</v>
      </c>
      <c r="F82" s="569">
        <v>15</v>
      </c>
    </row>
    <row r="83" spans="1:6" ht="24">
      <c r="A83" s="569">
        <v>11</v>
      </c>
      <c r="B83" s="3125"/>
      <c r="C83" s="551" t="s">
        <v>1878</v>
      </c>
      <c r="D83" s="551" t="s">
        <v>1879</v>
      </c>
      <c r="E83" s="569">
        <v>0.1</v>
      </c>
      <c r="F83" s="569">
        <v>15</v>
      </c>
    </row>
    <row r="84" spans="1:6" ht="24">
      <c r="A84" s="569">
        <v>12</v>
      </c>
      <c r="B84" s="3125"/>
      <c r="C84" s="551" t="s">
        <v>1880</v>
      </c>
      <c r="D84" s="551" t="s">
        <v>1881</v>
      </c>
      <c r="E84" s="569">
        <v>0.1</v>
      </c>
      <c r="F84" s="569">
        <v>15</v>
      </c>
    </row>
    <row r="85" spans="1:6" ht="24">
      <c r="A85" s="569">
        <v>13</v>
      </c>
      <c r="B85" s="3125"/>
      <c r="C85" s="551" t="s">
        <v>1882</v>
      </c>
      <c r="D85" s="551" t="s">
        <v>1883</v>
      </c>
      <c r="E85" s="569">
        <v>0.1</v>
      </c>
      <c r="F85" s="569">
        <v>15</v>
      </c>
    </row>
    <row r="86" spans="1:6" ht="24">
      <c r="A86" s="569">
        <v>14</v>
      </c>
      <c r="B86" s="3125"/>
      <c r="C86" s="551" t="s">
        <v>1884</v>
      </c>
      <c r="D86" s="551" t="s">
        <v>1885</v>
      </c>
      <c r="E86" s="569">
        <v>0.1</v>
      </c>
      <c r="F86" s="569">
        <v>15</v>
      </c>
    </row>
    <row r="87" spans="1:6" ht="24">
      <c r="A87" s="569">
        <v>15</v>
      </c>
      <c r="B87" s="3125"/>
      <c r="C87" s="551" t="s">
        <v>1886</v>
      </c>
      <c r="D87" s="551" t="s">
        <v>1887</v>
      </c>
      <c r="E87" s="569">
        <v>0.1</v>
      </c>
      <c r="F87" s="569">
        <v>15</v>
      </c>
    </row>
    <row r="88" spans="1:6" ht="24">
      <c r="A88" s="569">
        <v>16</v>
      </c>
      <c r="B88" s="3125"/>
      <c r="C88" s="551" t="s">
        <v>1888</v>
      </c>
      <c r="D88" s="551" t="s">
        <v>1889</v>
      </c>
      <c r="E88" s="569">
        <v>0.1</v>
      </c>
      <c r="F88" s="569">
        <v>15</v>
      </c>
    </row>
    <row r="89" spans="1:6" ht="24">
      <c r="A89" s="569">
        <v>17</v>
      </c>
      <c r="B89" s="3128"/>
      <c r="C89" s="551" t="s">
        <v>1890</v>
      </c>
      <c r="D89" s="551" t="s">
        <v>1891</v>
      </c>
      <c r="E89" s="569">
        <v>0.1</v>
      </c>
      <c r="F89" s="569">
        <v>15</v>
      </c>
    </row>
    <row r="90" spans="1:6">
      <c r="A90" s="569">
        <v>18</v>
      </c>
      <c r="B90" s="3127" t="s">
        <v>1892</v>
      </c>
      <c r="C90" s="551" t="s">
        <v>1893</v>
      </c>
      <c r="D90" s="551" t="s">
        <v>1894</v>
      </c>
      <c r="E90" s="569">
        <v>0.2</v>
      </c>
      <c r="F90" s="569">
        <v>25</v>
      </c>
    </row>
    <row r="91" spans="1:6" ht="24">
      <c r="A91" s="569">
        <v>19</v>
      </c>
      <c r="B91" s="3125"/>
      <c r="C91" s="551" t="s">
        <v>1895</v>
      </c>
      <c r="D91" s="551" t="s">
        <v>1896</v>
      </c>
      <c r="E91" s="569">
        <v>0.2</v>
      </c>
      <c r="F91" s="569">
        <v>25</v>
      </c>
    </row>
    <row r="92" spans="1:6">
      <c r="A92" s="569">
        <v>20</v>
      </c>
      <c r="B92" s="3125"/>
      <c r="C92" s="551" t="s">
        <v>1897</v>
      </c>
      <c r="D92" s="551" t="s">
        <v>1898</v>
      </c>
      <c r="E92" s="569">
        <v>0.15</v>
      </c>
      <c r="F92" s="569">
        <v>20</v>
      </c>
    </row>
    <row r="93" spans="1:6" ht="24">
      <c r="A93" s="569">
        <v>21</v>
      </c>
      <c r="B93" s="3125"/>
      <c r="C93" s="551" t="s">
        <v>1899</v>
      </c>
      <c r="D93" s="551" t="s">
        <v>1900</v>
      </c>
      <c r="E93" s="569">
        <v>0.15</v>
      </c>
      <c r="F93" s="569">
        <v>20</v>
      </c>
    </row>
    <row r="94" spans="1:6" ht="24">
      <c r="A94" s="569">
        <v>22</v>
      </c>
      <c r="B94" s="3125"/>
      <c r="C94" s="551" t="s">
        <v>1901</v>
      </c>
      <c r="D94" s="551" t="s">
        <v>1902</v>
      </c>
      <c r="E94" s="569">
        <v>0.15</v>
      </c>
      <c r="F94" s="569">
        <v>20</v>
      </c>
    </row>
    <row r="95" spans="1:6" ht="36">
      <c r="A95" s="569">
        <v>23</v>
      </c>
      <c r="B95" s="3125"/>
      <c r="C95" s="551" t="s">
        <v>1903</v>
      </c>
      <c r="D95" s="551" t="s">
        <v>1904</v>
      </c>
      <c r="E95" s="569">
        <v>0.15</v>
      </c>
      <c r="F95" s="569">
        <v>20</v>
      </c>
    </row>
    <row r="96" spans="1:6" ht="24">
      <c r="A96" s="569">
        <v>24</v>
      </c>
      <c r="B96" s="3125"/>
      <c r="C96" s="551" t="s">
        <v>1905</v>
      </c>
      <c r="D96" s="551" t="s">
        <v>1906</v>
      </c>
      <c r="E96" s="569">
        <v>0.1</v>
      </c>
      <c r="F96" s="569">
        <v>15</v>
      </c>
    </row>
    <row r="97" spans="1:6" ht="24">
      <c r="A97" s="569">
        <v>25</v>
      </c>
      <c r="B97" s="3125"/>
      <c r="C97" s="551" t="s">
        <v>1907</v>
      </c>
      <c r="D97" s="551" t="s">
        <v>1908</v>
      </c>
      <c r="E97" s="569">
        <v>0.1</v>
      </c>
      <c r="F97" s="569">
        <v>15</v>
      </c>
    </row>
    <row r="98" spans="1:6" ht="24">
      <c r="A98" s="569">
        <v>26</v>
      </c>
      <c r="B98" s="3125"/>
      <c r="C98" s="551" t="s">
        <v>1909</v>
      </c>
      <c r="D98" s="551" t="s">
        <v>1910</v>
      </c>
      <c r="E98" s="569">
        <v>0.1</v>
      </c>
      <c r="F98" s="569">
        <v>15</v>
      </c>
    </row>
    <row r="99" spans="1:6" ht="24">
      <c r="A99" s="569">
        <v>27</v>
      </c>
      <c r="B99" s="3125"/>
      <c r="C99" s="551" t="s">
        <v>1911</v>
      </c>
      <c r="D99" s="551" t="s">
        <v>1912</v>
      </c>
      <c r="E99" s="569">
        <v>0.1</v>
      </c>
      <c r="F99" s="569">
        <v>15</v>
      </c>
    </row>
    <row r="100" spans="1:6" ht="24">
      <c r="A100" s="569">
        <v>28</v>
      </c>
      <c r="B100" s="3125"/>
      <c r="C100" s="551" t="s">
        <v>1913</v>
      </c>
      <c r="D100" s="551" t="s">
        <v>1914</v>
      </c>
      <c r="E100" s="569">
        <v>0.1</v>
      </c>
      <c r="F100" s="569">
        <v>15</v>
      </c>
    </row>
    <row r="101" spans="1:6" ht="24">
      <c r="A101" s="569">
        <v>29</v>
      </c>
      <c r="B101" s="3125"/>
      <c r="C101" s="551" t="s">
        <v>1915</v>
      </c>
      <c r="D101" s="551" t="s">
        <v>1916</v>
      </c>
      <c r="E101" s="569">
        <v>0.1</v>
      </c>
      <c r="F101" s="569">
        <v>15</v>
      </c>
    </row>
    <row r="102" spans="1:6" ht="24">
      <c r="A102" s="569">
        <v>30</v>
      </c>
      <c r="B102" s="3125"/>
      <c r="C102" s="551" t="s">
        <v>1917</v>
      </c>
      <c r="D102" s="551" t="s">
        <v>1918</v>
      </c>
      <c r="E102" s="569">
        <v>0.1</v>
      </c>
      <c r="F102" s="569">
        <v>15</v>
      </c>
    </row>
    <row r="103" spans="1:6" ht="24">
      <c r="A103" s="569">
        <v>31</v>
      </c>
      <c r="B103" s="3125"/>
      <c r="C103" s="551" t="s">
        <v>1919</v>
      </c>
      <c r="D103" s="551" t="s">
        <v>1920</v>
      </c>
      <c r="E103" s="569">
        <v>0.1</v>
      </c>
      <c r="F103" s="569">
        <v>15</v>
      </c>
    </row>
    <row r="104" spans="1:6" ht="24">
      <c r="A104" s="569">
        <v>32</v>
      </c>
      <c r="B104" s="3125"/>
      <c r="C104" s="551" t="s">
        <v>1921</v>
      </c>
      <c r="D104" s="551" t="s">
        <v>1922</v>
      </c>
      <c r="E104" s="569">
        <v>0.1</v>
      </c>
      <c r="F104" s="569">
        <v>15</v>
      </c>
    </row>
    <row r="105" spans="1:6" ht="24">
      <c r="A105" s="569">
        <v>33</v>
      </c>
      <c r="B105" s="3125"/>
      <c r="C105" s="551" t="s">
        <v>1923</v>
      </c>
      <c r="D105" s="551" t="s">
        <v>1924</v>
      </c>
      <c r="E105" s="569">
        <v>0.1</v>
      </c>
      <c r="F105" s="569">
        <v>15</v>
      </c>
    </row>
    <row r="106" spans="1:6" ht="24">
      <c r="A106" s="569">
        <v>34</v>
      </c>
      <c r="B106" s="3128"/>
      <c r="C106" s="551" t="s">
        <v>1925</v>
      </c>
      <c r="D106" s="551" t="s">
        <v>1926</v>
      </c>
      <c r="E106" s="569">
        <v>0.1</v>
      </c>
      <c r="F106" s="569">
        <v>15</v>
      </c>
    </row>
    <row r="107" spans="1:6" ht="36">
      <c r="A107" s="569">
        <v>35</v>
      </c>
      <c r="B107" s="3127" t="s">
        <v>1927</v>
      </c>
      <c r="C107" s="569" t="s">
        <v>1928</v>
      </c>
      <c r="D107" s="551" t="s">
        <v>1929</v>
      </c>
      <c r="E107" s="569">
        <v>0.15</v>
      </c>
      <c r="F107" s="569">
        <v>20</v>
      </c>
    </row>
    <row r="108" spans="1:6" ht="24">
      <c r="A108" s="569">
        <v>36</v>
      </c>
      <c r="B108" s="3125"/>
      <c r="C108" s="569" t="s">
        <v>1930</v>
      </c>
      <c r="D108" s="551" t="s">
        <v>1931</v>
      </c>
      <c r="E108" s="569">
        <v>0.15</v>
      </c>
      <c r="F108" s="569">
        <v>20</v>
      </c>
    </row>
    <row r="109" spans="1:6" ht="24">
      <c r="A109" s="569">
        <v>37</v>
      </c>
      <c r="B109" s="3125"/>
      <c r="C109" s="569" t="s">
        <v>1932</v>
      </c>
      <c r="D109" s="551" t="s">
        <v>1933</v>
      </c>
      <c r="E109" s="569">
        <v>0.15</v>
      </c>
      <c r="F109" s="569">
        <v>20</v>
      </c>
    </row>
    <row r="110" spans="1:6" ht="24">
      <c r="A110" s="569">
        <v>38</v>
      </c>
      <c r="B110" s="3125"/>
      <c r="C110" s="569" t="s">
        <v>1934</v>
      </c>
      <c r="D110" s="551" t="s">
        <v>1935</v>
      </c>
      <c r="E110" s="569">
        <v>0.1</v>
      </c>
      <c r="F110" s="569">
        <v>15</v>
      </c>
    </row>
    <row r="111" spans="1:6" ht="24">
      <c r="A111" s="569">
        <v>39</v>
      </c>
      <c r="B111" s="3125"/>
      <c r="C111" s="569" t="s">
        <v>1936</v>
      </c>
      <c r="D111" s="551" t="s">
        <v>1937</v>
      </c>
      <c r="E111" s="569">
        <v>0.1</v>
      </c>
      <c r="F111" s="569">
        <v>15</v>
      </c>
    </row>
    <row r="112" spans="1:6" ht="24">
      <c r="A112" s="569">
        <v>40</v>
      </c>
      <c r="B112" s="3128"/>
      <c r="C112" s="569" t="s">
        <v>1938</v>
      </c>
      <c r="D112" s="551" t="s">
        <v>1939</v>
      </c>
      <c r="E112" s="569">
        <v>0.1</v>
      </c>
      <c r="F112" s="569">
        <v>15</v>
      </c>
    </row>
    <row r="113" spans="1:6" ht="24">
      <c r="A113" s="569">
        <v>41</v>
      </c>
      <c r="B113" s="3129" t="s">
        <v>1940</v>
      </c>
      <c r="C113" s="569" t="s">
        <v>1941</v>
      </c>
      <c r="D113" s="551" t="s">
        <v>1942</v>
      </c>
      <c r="E113" s="569">
        <v>0.1</v>
      </c>
      <c r="F113" s="569">
        <v>15</v>
      </c>
    </row>
    <row r="114" spans="1:6" ht="24">
      <c r="A114" s="569">
        <v>42</v>
      </c>
      <c r="B114" s="3129"/>
      <c r="C114" s="569" t="s">
        <v>1943</v>
      </c>
      <c r="D114" s="551" t="s">
        <v>1944</v>
      </c>
      <c r="E114" s="569">
        <v>0.1</v>
      </c>
      <c r="F114" s="569">
        <v>15</v>
      </c>
    </row>
    <row r="115" spans="1:6" ht="24">
      <c r="A115" s="569">
        <v>43</v>
      </c>
      <c r="B115" s="3129"/>
      <c r="C115" s="569" t="s">
        <v>1945</v>
      </c>
      <c r="D115" s="551" t="s">
        <v>1946</v>
      </c>
      <c r="E115" s="569">
        <v>0.1</v>
      </c>
      <c r="F115" s="569">
        <v>15</v>
      </c>
    </row>
    <row r="116" spans="1:6" ht="24">
      <c r="A116" s="569">
        <v>44</v>
      </c>
      <c r="B116" s="3127" t="s">
        <v>1947</v>
      </c>
      <c r="C116" s="569" t="s">
        <v>1948</v>
      </c>
      <c r="D116" s="551" t="s">
        <v>1949</v>
      </c>
      <c r="E116" s="569">
        <v>0.1</v>
      </c>
      <c r="F116" s="569">
        <v>15</v>
      </c>
    </row>
    <row r="117" spans="1:6" ht="24">
      <c r="A117" s="569">
        <v>45</v>
      </c>
      <c r="B117" s="3128"/>
      <c r="C117" s="551" t="s">
        <v>1950</v>
      </c>
      <c r="D117" s="551" t="s">
        <v>1951</v>
      </c>
      <c r="E117" s="569">
        <v>0.1</v>
      </c>
      <c r="F117" s="569">
        <v>15</v>
      </c>
    </row>
    <row r="118" spans="1:6" ht="24">
      <c r="A118" s="569">
        <v>46</v>
      </c>
      <c r="B118" s="3127" t="s">
        <v>1952</v>
      </c>
      <c r="C118" s="569" t="s">
        <v>1953</v>
      </c>
      <c r="D118" s="551" t="s">
        <v>1954</v>
      </c>
      <c r="E118" s="569">
        <v>0.1</v>
      </c>
      <c r="F118" s="569">
        <v>15</v>
      </c>
    </row>
    <row r="119" spans="1:6" ht="24">
      <c r="A119" s="569">
        <v>47</v>
      </c>
      <c r="B119" s="3128"/>
      <c r="C119" s="569" t="s">
        <v>1955</v>
      </c>
      <c r="D119" s="551" t="s">
        <v>1956</v>
      </c>
      <c r="E119" s="569">
        <v>0.1</v>
      </c>
      <c r="F119" s="569">
        <v>15</v>
      </c>
    </row>
    <row r="120" spans="1:6" ht="24">
      <c r="A120" s="569">
        <v>48</v>
      </c>
      <c r="B120" s="3127" t="s">
        <v>1957</v>
      </c>
      <c r="C120" s="569" t="s">
        <v>1958</v>
      </c>
      <c r="D120" s="551" t="s">
        <v>1959</v>
      </c>
      <c r="E120" s="569">
        <v>0.1</v>
      </c>
      <c r="F120" s="569">
        <v>15</v>
      </c>
    </row>
    <row r="121" spans="1:6" ht="24">
      <c r="A121" s="569">
        <v>49</v>
      </c>
      <c r="B121" s="3128"/>
      <c r="C121" s="569" t="s">
        <v>1960</v>
      </c>
      <c r="D121" s="551" t="s">
        <v>1961</v>
      </c>
      <c r="E121" s="569">
        <v>0.1</v>
      </c>
      <c r="F121" s="569">
        <v>15</v>
      </c>
    </row>
    <row r="122" spans="1:6" ht="24">
      <c r="A122" s="569">
        <v>50</v>
      </c>
      <c r="B122" s="3129" t="s">
        <v>1962</v>
      </c>
      <c r="C122" s="569" t="s">
        <v>1963</v>
      </c>
      <c r="D122" s="551" t="s">
        <v>1964</v>
      </c>
      <c r="E122" s="569">
        <v>0.1</v>
      </c>
      <c r="F122" s="569">
        <v>15</v>
      </c>
    </row>
    <row r="123" spans="1:6" ht="24">
      <c r="A123" s="569">
        <v>51</v>
      </c>
      <c r="B123" s="3129"/>
      <c r="C123" s="569" t="s">
        <v>1965</v>
      </c>
      <c r="D123" s="551" t="s">
        <v>1966</v>
      </c>
      <c r="E123" s="569">
        <v>0.1</v>
      </c>
      <c r="F123" s="569">
        <v>15</v>
      </c>
    </row>
    <row r="124" spans="1:6" ht="24">
      <c r="A124" s="569">
        <v>52</v>
      </c>
      <c r="B124" s="3129" t="s">
        <v>1967</v>
      </c>
      <c r="C124" s="569" t="s">
        <v>1968</v>
      </c>
      <c r="D124" s="551" t="s">
        <v>1969</v>
      </c>
      <c r="E124" s="569">
        <v>0.1</v>
      </c>
      <c r="F124" s="569">
        <v>15</v>
      </c>
    </row>
    <row r="125" spans="1:6" ht="24">
      <c r="A125" s="569">
        <v>53</v>
      </c>
      <c r="B125" s="3129"/>
      <c r="C125" s="569" t="s">
        <v>1970</v>
      </c>
      <c r="D125" s="551" t="s">
        <v>1971</v>
      </c>
      <c r="E125" s="569">
        <v>0.1</v>
      </c>
      <c r="F125" s="569">
        <v>15</v>
      </c>
    </row>
    <row r="126" spans="1:6" ht="24">
      <c r="A126" s="569">
        <v>54</v>
      </c>
      <c r="B126" s="569" t="s">
        <v>1972</v>
      </c>
      <c r="C126" s="569" t="s">
        <v>1973</v>
      </c>
      <c r="D126" s="551" t="s">
        <v>1974</v>
      </c>
      <c r="E126" s="569">
        <v>0.1</v>
      </c>
      <c r="F126" s="569">
        <v>15</v>
      </c>
    </row>
    <row r="127" spans="1:6" ht="24">
      <c r="A127" s="569">
        <v>55</v>
      </c>
      <c r="B127" s="3129" t="s">
        <v>1975</v>
      </c>
      <c r="C127" s="569" t="s">
        <v>1976</v>
      </c>
      <c r="D127" s="551" t="s">
        <v>1977</v>
      </c>
      <c r="E127" s="569">
        <v>0.1</v>
      </c>
      <c r="F127" s="569">
        <v>15</v>
      </c>
    </row>
    <row r="128" spans="1:6" ht="24">
      <c r="A128" s="569">
        <v>56</v>
      </c>
      <c r="B128" s="3129"/>
      <c r="C128" s="569" t="s">
        <v>1978</v>
      </c>
      <c r="D128" s="551" t="s">
        <v>1979</v>
      </c>
      <c r="E128" s="569">
        <v>0.1</v>
      </c>
      <c r="F128" s="569">
        <v>15</v>
      </c>
    </row>
    <row r="129" spans="1:6" ht="24">
      <c r="A129" s="569">
        <v>57</v>
      </c>
      <c r="B129" s="3129"/>
      <c r="C129" s="569" t="s">
        <v>1980</v>
      </c>
      <c r="D129" s="551" t="s">
        <v>1981</v>
      </c>
      <c r="E129" s="569">
        <v>0.1</v>
      </c>
      <c r="F129" s="569">
        <v>15</v>
      </c>
    </row>
    <row r="130" spans="1:6" ht="24">
      <c r="A130" s="569">
        <v>58</v>
      </c>
      <c r="B130" s="3129" t="s">
        <v>1982</v>
      </c>
      <c r="C130" s="569" t="s">
        <v>1983</v>
      </c>
      <c r="D130" s="551" t="s">
        <v>1984</v>
      </c>
      <c r="E130" s="569">
        <v>0.1</v>
      </c>
      <c r="F130" s="569">
        <v>15</v>
      </c>
    </row>
    <row r="131" spans="1:6" ht="24">
      <c r="A131" s="569">
        <v>59</v>
      </c>
      <c r="B131" s="3129"/>
      <c r="C131" s="569" t="s">
        <v>1985</v>
      </c>
      <c r="D131" s="551" t="s">
        <v>1986</v>
      </c>
      <c r="E131" s="569">
        <v>0.1</v>
      </c>
      <c r="F131" s="569">
        <v>15</v>
      </c>
    </row>
    <row r="132" spans="1:6" ht="24">
      <c r="A132" s="569">
        <v>60</v>
      </c>
      <c r="B132" s="3127" t="s">
        <v>1987</v>
      </c>
      <c r="C132" s="569" t="s">
        <v>1988</v>
      </c>
      <c r="D132" s="551" t="s">
        <v>1989</v>
      </c>
      <c r="E132" s="569">
        <v>0.1</v>
      </c>
      <c r="F132" s="569">
        <v>15</v>
      </c>
    </row>
    <row r="133" spans="1:6" ht="24">
      <c r="A133" s="569">
        <v>61</v>
      </c>
      <c r="B133" s="3128"/>
      <c r="C133" s="569" t="s">
        <v>1990</v>
      </c>
      <c r="D133" s="551" t="s">
        <v>1991</v>
      </c>
      <c r="E133" s="569">
        <v>0.1</v>
      </c>
      <c r="F133" s="569">
        <v>15</v>
      </c>
    </row>
    <row r="134" spans="1:6" ht="24">
      <c r="A134" s="569">
        <v>62</v>
      </c>
      <c r="B134" s="569" t="s">
        <v>1992</v>
      </c>
      <c r="C134" s="569" t="s">
        <v>1993</v>
      </c>
      <c r="D134" s="551" t="s">
        <v>1994</v>
      </c>
      <c r="E134" s="569">
        <v>0.1</v>
      </c>
      <c r="F134" s="569">
        <v>15</v>
      </c>
    </row>
    <row r="135" spans="1:6" ht="24">
      <c r="A135" s="569">
        <v>63</v>
      </c>
      <c r="B135" s="3129" t="s">
        <v>1995</v>
      </c>
      <c r="C135" s="569" t="s">
        <v>1996</v>
      </c>
      <c r="D135" s="551" t="s">
        <v>1997</v>
      </c>
      <c r="E135" s="569">
        <v>0.1</v>
      </c>
      <c r="F135" s="569">
        <v>15</v>
      </c>
    </row>
    <row r="136" spans="1:6" ht="24">
      <c r="A136" s="569">
        <v>64</v>
      </c>
      <c r="B136" s="3129"/>
      <c r="C136" s="569" t="s">
        <v>1998</v>
      </c>
      <c r="D136" s="551" t="s">
        <v>1999</v>
      </c>
      <c r="E136" s="569">
        <v>0.1</v>
      </c>
      <c r="F136" s="569">
        <v>15</v>
      </c>
    </row>
    <row r="137" spans="1:6" ht="24">
      <c r="A137" s="569">
        <v>65</v>
      </c>
      <c r="B137" s="569" t="s">
        <v>2000</v>
      </c>
      <c r="C137" s="569" t="s">
        <v>2001</v>
      </c>
      <c r="D137" s="551" t="s">
        <v>2002</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2003</v>
      </c>
      <c r="B1" s="517"/>
      <c r="C1" s="517"/>
      <c r="D1" s="517"/>
      <c r="E1" s="517"/>
      <c r="F1" s="517"/>
      <c r="G1" s="517"/>
      <c r="H1" s="517"/>
      <c r="I1" s="517"/>
      <c r="J1" s="517"/>
      <c r="K1" s="517"/>
      <c r="L1" s="517"/>
      <c r="M1" s="517"/>
      <c r="N1" s="525"/>
    </row>
    <row r="2" spans="1:20">
      <c r="A2" s="518" t="s">
        <v>2004</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2005</v>
      </c>
      <c r="R2" s="528" t="s">
        <v>2006</v>
      </c>
      <c r="S2" s="528" t="s">
        <v>2007</v>
      </c>
      <c r="T2" s="528" t="s">
        <v>2008</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2009</v>
      </c>
      <c r="B93" s="517"/>
      <c r="C93" s="517"/>
      <c r="D93" s="517"/>
      <c r="E93" s="517"/>
      <c r="F93" s="517"/>
      <c r="G93" s="517"/>
      <c r="H93" s="517"/>
      <c r="I93" s="517"/>
      <c r="J93" s="517"/>
      <c r="K93" s="517"/>
      <c r="L93" s="517"/>
      <c r="M93" s="517"/>
      <c r="N93" s="525"/>
    </row>
    <row r="94" spans="1:20">
      <c r="A94" s="518" t="s">
        <v>2004</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1</v>
      </c>
      <c r="Q94" s="528" t="s">
        <v>2005</v>
      </c>
      <c r="R94" s="528" t="s">
        <v>2006</v>
      </c>
      <c r="S94" s="528" t="s">
        <v>2007</v>
      </c>
      <c r="T94" s="528" t="s">
        <v>2008</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2010</v>
      </c>
      <c r="B185" s="517"/>
      <c r="C185" s="517"/>
      <c r="D185" s="517"/>
      <c r="E185" s="517"/>
      <c r="F185" s="517"/>
      <c r="G185" s="517"/>
      <c r="H185" s="517"/>
      <c r="I185" s="517"/>
      <c r="J185" s="517"/>
      <c r="K185" s="517"/>
      <c r="L185" s="517"/>
      <c r="M185" s="517"/>
    </row>
    <row r="186" spans="1:20">
      <c r="A186" s="518" t="s">
        <v>2004</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2005</v>
      </c>
      <c r="R186" s="528" t="s">
        <v>2006</v>
      </c>
      <c r="S186" s="528" t="s">
        <v>2007</v>
      </c>
      <c r="T186" s="528" t="s">
        <v>2008</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2011</v>
      </c>
      <c r="B277" s="517"/>
      <c r="C277" s="517"/>
      <c r="D277" s="517"/>
      <c r="E277" s="517"/>
      <c r="F277" s="517"/>
      <c r="G277" s="517"/>
      <c r="H277" s="517"/>
      <c r="I277" s="517"/>
      <c r="J277" s="517"/>
      <c r="K277" s="517"/>
      <c r="L277" s="517"/>
      <c r="M277" s="517"/>
    </row>
    <row r="278" spans="1:21">
      <c r="A278" s="518" t="s">
        <v>2004</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2005</v>
      </c>
      <c r="R278" s="528" t="s">
        <v>2006</v>
      </c>
      <c r="S278" s="528" t="s">
        <v>2012</v>
      </c>
      <c r="T278" s="528" t="s">
        <v>2013</v>
      </c>
      <c r="U278" s="528" t="s">
        <v>2008</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2014</v>
      </c>
    </row>
    <row r="370" spans="1:20" ht="12">
      <c r="A370" s="518" t="s">
        <v>2004</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0.94710000000000005</v>
      </c>
      <c r="Q370" s="528" t="s">
        <v>2005</v>
      </c>
      <c r="R370" s="528" t="s">
        <v>2006</v>
      </c>
      <c r="S370" s="528" t="s">
        <v>2007</v>
      </c>
      <c r="T370" s="528" t="s">
        <v>2008</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2015</v>
      </c>
      <c r="B1" s="504"/>
      <c r="C1" s="504"/>
      <c r="D1" s="504"/>
      <c r="E1" s="504"/>
      <c r="F1" s="507"/>
      <c r="G1" s="507"/>
      <c r="H1" s="507"/>
      <c r="I1" s="507"/>
      <c r="J1" s="507"/>
      <c r="K1" s="507"/>
      <c r="L1" s="507"/>
      <c r="M1" s="507"/>
      <c r="N1" s="507"/>
      <c r="O1" s="507"/>
      <c r="P1" s="507"/>
    </row>
    <row r="2" spans="1:16" ht="15.6">
      <c r="A2" s="505" t="s">
        <v>97</v>
      </c>
      <c r="B2" s="506">
        <f ca="1">SUMIF(B6:B13,"&lt;&gt;#ref!",B6:B13)</f>
        <v>450</v>
      </c>
      <c r="C2" s="505" t="s">
        <v>2016</v>
      </c>
      <c r="D2" s="505" t="s">
        <v>2017</v>
      </c>
      <c r="E2" s="513">
        <f ca="1">SUMIF(E6:E13,"&lt;&gt;#ref!",E6:E13)</f>
        <v>165.59</v>
      </c>
      <c r="F2" s="507"/>
      <c r="G2" s="507"/>
      <c r="H2" s="507"/>
      <c r="I2" s="507"/>
      <c r="J2" s="507"/>
      <c r="K2" s="507"/>
      <c r="L2" s="507"/>
      <c r="M2" s="507"/>
      <c r="N2" s="507"/>
      <c r="O2" s="507"/>
      <c r="P2" s="507"/>
    </row>
    <row r="3" spans="1:16" ht="15.6">
      <c r="A3" s="505" t="s">
        <v>2018</v>
      </c>
      <c r="B3" s="506">
        <f ca="1">ROUND(B2*10000/E2,0)</f>
        <v>27176</v>
      </c>
      <c r="C3" s="505" t="s">
        <v>2019</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2020</v>
      </c>
      <c r="B5" s="510" t="s">
        <v>2021</v>
      </c>
      <c r="C5" s="511"/>
      <c r="D5" s="507"/>
      <c r="E5" s="514" t="s">
        <v>2022</v>
      </c>
      <c r="F5" s="507"/>
      <c r="G5" s="507"/>
      <c r="H5" s="507"/>
      <c r="I5" s="507"/>
      <c r="J5" s="507"/>
      <c r="K5" s="507"/>
      <c r="L5" s="507"/>
      <c r="M5" s="507"/>
      <c r="N5" s="507"/>
      <c r="O5" s="507"/>
      <c r="P5" s="507"/>
    </row>
    <row r="6" spans="1:16" ht="15.6">
      <c r="A6" s="512" t="s">
        <v>2023</v>
      </c>
      <c r="B6" s="506">
        <f ca="1">SUMIF(INDIRECT("'"&amp;A6&amp;"'"&amp;"!A:A"),"总价",INDIRECT("'"&amp;A6&amp;"'"&amp;"!B:B"))</f>
        <v>450</v>
      </c>
      <c r="C6" s="505" t="s">
        <v>2016</v>
      </c>
      <c r="D6" s="507"/>
      <c r="E6" s="513">
        <f ca="1">SUMIF(INDIRECT("'"&amp;A6&amp;"'"&amp;"!C:C"),"建筑面积",INDIRECT("'"&amp;A6&amp;"'"&amp;"!D:D"))</f>
        <v>165.59</v>
      </c>
      <c r="F6" s="507"/>
      <c r="G6" s="507"/>
      <c r="H6" s="507"/>
      <c r="I6" s="507"/>
      <c r="J6" s="507"/>
      <c r="K6" s="507"/>
      <c r="L6" s="507"/>
      <c r="M6" s="507"/>
      <c r="N6" s="507"/>
      <c r="O6" s="507"/>
      <c r="P6" s="507"/>
    </row>
    <row r="7" spans="1:16" ht="15.6">
      <c r="A7" s="512"/>
      <c r="B7" s="506" t="e">
        <f ca="1">SUMIF(INDIRECT("'"&amp;A7&amp;"'"&amp;"!A:A"),"总价",INDIRECT("'"&amp;A7&amp;"'"&amp;"!B:B"))</f>
        <v>#REF!</v>
      </c>
      <c r="C7" s="505" t="s">
        <v>2016</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2016</v>
      </c>
      <c r="D8" s="507"/>
      <c r="E8" s="513" t="e">
        <f t="shared" ca="1" si="0"/>
        <v>#REF!</v>
      </c>
      <c r="F8" s="507"/>
      <c r="G8" s="507"/>
      <c r="H8" s="507"/>
      <c r="I8" s="507"/>
      <c r="J8" s="507"/>
      <c r="K8" s="507"/>
      <c r="L8" s="507"/>
      <c r="M8" s="507"/>
      <c r="N8" s="507"/>
      <c r="O8" s="507"/>
      <c r="P8" s="507"/>
    </row>
    <row r="9" spans="1:16" ht="15.6">
      <c r="A9" s="512"/>
      <c r="B9" s="506" t="e">
        <f t="shared" ca="1" si="1"/>
        <v>#REF!</v>
      </c>
      <c r="C9" s="505" t="s">
        <v>2016</v>
      </c>
      <c r="D9" s="507"/>
      <c r="E9" s="513" t="e">
        <f t="shared" ca="1" si="0"/>
        <v>#REF!</v>
      </c>
      <c r="F9" s="507"/>
      <c r="G9" s="507"/>
      <c r="H9" s="507"/>
      <c r="I9" s="507"/>
      <c r="J9" s="507"/>
      <c r="K9" s="507"/>
      <c r="L9" s="507"/>
      <c r="M9" s="507"/>
      <c r="N9" s="507"/>
      <c r="O9" s="507"/>
      <c r="P9" s="507"/>
    </row>
    <row r="10" spans="1:16" ht="15.6">
      <c r="A10" s="512"/>
      <c r="B10" s="506" t="e">
        <f t="shared" ca="1" si="1"/>
        <v>#REF!</v>
      </c>
      <c r="C10" s="505" t="s">
        <v>2016</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2016</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2016</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2016</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30" t="s">
        <v>2024</v>
      </c>
      <c r="C1" s="3130"/>
      <c r="D1" s="3130"/>
      <c r="E1" s="3130"/>
      <c r="F1" s="3130"/>
      <c r="G1" s="3130"/>
      <c r="H1" s="3131" t="s">
        <v>2025</v>
      </c>
      <c r="I1" s="3131"/>
      <c r="J1" s="3131"/>
      <c r="K1" s="3131"/>
      <c r="L1" s="3131"/>
      <c r="M1" s="3131"/>
      <c r="N1" s="176"/>
      <c r="O1" s="3131" t="s">
        <v>2026</v>
      </c>
      <c r="P1" s="3131"/>
      <c r="Q1" s="3131"/>
      <c r="R1" s="3131"/>
      <c r="S1" s="176"/>
      <c r="T1" s="3131" t="s">
        <v>2027</v>
      </c>
      <c r="U1" s="3131"/>
      <c r="V1" s="3131"/>
      <c r="W1" s="3131"/>
      <c r="X1" s="176"/>
      <c r="Y1" s="3132" t="s">
        <v>2028</v>
      </c>
      <c r="Z1" s="3131"/>
      <c r="AA1" s="3131"/>
      <c r="AB1" s="3131"/>
      <c r="AC1" s="3131"/>
      <c r="AD1" s="3131"/>
      <c r="AE1" s="176"/>
      <c r="AF1" s="3132" t="s">
        <v>2029</v>
      </c>
      <c r="AG1" s="3131"/>
      <c r="AH1" s="3131"/>
      <c r="AI1" s="3131"/>
      <c r="AJ1" s="3131"/>
      <c r="AK1" s="3131"/>
    </row>
    <row r="2" spans="1:37" s="143" customFormat="1" ht="14.4">
      <c r="B2" s="155" t="s">
        <v>2030</v>
      </c>
      <c r="C2" s="155" t="s">
        <v>2031</v>
      </c>
      <c r="D2" s="172" t="s">
        <v>1770</v>
      </c>
      <c r="E2" s="172" t="s">
        <v>288</v>
      </c>
      <c r="F2" s="172" t="s">
        <v>1771</v>
      </c>
      <c r="G2" s="155" t="s">
        <v>2032</v>
      </c>
      <c r="H2" s="153"/>
      <c r="I2" s="154"/>
      <c r="J2" s="155" t="s">
        <v>2030</v>
      </c>
      <c r="K2" s="172" t="s">
        <v>1780</v>
      </c>
      <c r="L2" s="172" t="s">
        <v>1771</v>
      </c>
      <c r="M2" s="155" t="s">
        <v>2032</v>
      </c>
      <c r="N2" s="177"/>
      <c r="O2" s="155" t="s">
        <v>2030</v>
      </c>
      <c r="P2" s="172" t="s">
        <v>1780</v>
      </c>
      <c r="Q2" s="172" t="s">
        <v>1771</v>
      </c>
      <c r="R2" s="155" t="s">
        <v>2032</v>
      </c>
      <c r="S2" s="177"/>
      <c r="T2" s="155" t="s">
        <v>2030</v>
      </c>
      <c r="U2" s="172" t="s">
        <v>1780</v>
      </c>
      <c r="V2" s="172" t="s">
        <v>1771</v>
      </c>
      <c r="W2" s="155" t="s">
        <v>2032</v>
      </c>
      <c r="X2" s="177"/>
      <c r="Y2" s="155" t="s">
        <v>2030</v>
      </c>
      <c r="Z2" s="459" t="s">
        <v>2031</v>
      </c>
      <c r="AA2" s="460" t="s">
        <v>1770</v>
      </c>
      <c r="AB2" s="172" t="s">
        <v>288</v>
      </c>
      <c r="AC2" s="471" t="s">
        <v>1771</v>
      </c>
      <c r="AD2" s="155" t="s">
        <v>2032</v>
      </c>
      <c r="AE2" s="177"/>
      <c r="AF2" s="155" t="s">
        <v>2030</v>
      </c>
      <c r="AG2" s="459" t="s">
        <v>2031</v>
      </c>
      <c r="AH2" s="460" t="s">
        <v>1770</v>
      </c>
      <c r="AI2" s="172" t="s">
        <v>288</v>
      </c>
      <c r="AJ2" s="471" t="s">
        <v>1771</v>
      </c>
      <c r="AK2" s="155" t="s">
        <v>2032</v>
      </c>
    </row>
    <row r="3" spans="1:37" s="406" customFormat="1" ht="14.4">
      <c r="A3" s="412" t="s">
        <v>2033</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2034</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2035</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2036</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2037</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2038</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2039</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2040</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2041</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2042</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2043</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2044</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2045</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2046</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2047</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2048</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2049</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2050</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2051</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3">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2052</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3"/>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2053</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3"/>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2054</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4"/>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2055</v>
      </c>
      <c r="B26" s="419">
        <v>439</v>
      </c>
      <c r="C26" s="419">
        <v>327</v>
      </c>
      <c r="D26" s="419">
        <f t="shared" si="183"/>
        <v>327</v>
      </c>
      <c r="E26" s="419"/>
      <c r="F26" s="419">
        <v>627</v>
      </c>
      <c r="G26" s="419">
        <v>283</v>
      </c>
      <c r="H26" s="3135">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2056</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3"/>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2057</v>
      </c>
      <c r="B28" s="419">
        <f t="shared" si="196"/>
        <v>419.31181600000002</v>
      </c>
      <c r="C28" s="419">
        <f t="shared" si="197"/>
        <v>313.95436800000004</v>
      </c>
      <c r="D28" s="419">
        <f t="shared" si="198"/>
        <v>313.95436800000004</v>
      </c>
      <c r="E28" s="419"/>
      <c r="F28" s="419">
        <f t="shared" si="199"/>
        <v>596.63028431999999</v>
      </c>
      <c r="G28" s="419">
        <f t="shared" si="200"/>
        <v>274.74220703999998</v>
      </c>
      <c r="H28" s="3133"/>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2058</v>
      </c>
      <c r="B29" s="419">
        <f t="shared" si="196"/>
        <v>405.524</v>
      </c>
      <c r="C29" s="419">
        <f t="shared" si="197"/>
        <v>307.79840000000002</v>
      </c>
      <c r="D29" s="419">
        <f t="shared" si="198"/>
        <v>307.79840000000002</v>
      </c>
      <c r="E29" s="419"/>
      <c r="F29" s="419">
        <f t="shared" si="199"/>
        <v>574.67759999999998</v>
      </c>
      <c r="G29" s="419">
        <f t="shared" si="200"/>
        <v>270.20280000000002</v>
      </c>
      <c r="H29" s="3134"/>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2059</v>
      </c>
      <c r="B30" s="419">
        <v>392</v>
      </c>
      <c r="C30" s="419">
        <v>302</v>
      </c>
      <c r="D30" s="419">
        <f t="shared" si="198"/>
        <v>302</v>
      </c>
      <c r="E30" s="419"/>
      <c r="F30" s="419">
        <v>553</v>
      </c>
      <c r="G30" s="419">
        <v>266</v>
      </c>
      <c r="H30" s="3135">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2060</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3"/>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2061</v>
      </c>
      <c r="B32" s="419">
        <f t="shared" si="209"/>
        <v>360.06949782209392</v>
      </c>
      <c r="C32" s="419">
        <f t="shared" si="209"/>
        <v>289.84672674747821</v>
      </c>
      <c r="D32" s="419">
        <f t="shared" si="210"/>
        <v>289.84672674747821</v>
      </c>
      <c r="E32" s="419"/>
      <c r="F32" s="419">
        <f t="shared" si="211"/>
        <v>501.06543001181495</v>
      </c>
      <c r="G32" s="419">
        <f t="shared" si="211"/>
        <v>256.82882500744967</v>
      </c>
      <c r="H32" s="3133"/>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2062</v>
      </c>
      <c r="B33" s="419">
        <f t="shared" si="209"/>
        <v>346.720748986128</v>
      </c>
      <c r="C33" s="419">
        <f t="shared" si="209"/>
        <v>284.30282172386285</v>
      </c>
      <c r="D33" s="419">
        <f t="shared" si="210"/>
        <v>284.30282172386285</v>
      </c>
      <c r="E33" s="419"/>
      <c r="F33" s="419">
        <f t="shared" si="211"/>
        <v>479.58023546306947</v>
      </c>
      <c r="G33" s="419">
        <f t="shared" si="211"/>
        <v>253.25788877571213</v>
      </c>
      <c r="H33" s="3136"/>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2063</v>
      </c>
      <c r="B34" s="419">
        <v>333</v>
      </c>
      <c r="C34" s="419">
        <v>277</v>
      </c>
      <c r="D34" s="419">
        <f t="shared" si="210"/>
        <v>277</v>
      </c>
      <c r="E34" s="419"/>
      <c r="F34" s="419">
        <v>459</v>
      </c>
      <c r="G34" s="419">
        <v>249</v>
      </c>
      <c r="H34" s="3137">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2064</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3"/>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2065</v>
      </c>
      <c r="B36" s="419">
        <f t="shared" si="213"/>
        <v>322.34053690220776</v>
      </c>
      <c r="C36" s="419">
        <f t="shared" si="213"/>
        <v>271.46160770422546</v>
      </c>
      <c r="D36" s="419">
        <f t="shared" si="210"/>
        <v>271.46160770422546</v>
      </c>
      <c r="E36" s="419"/>
      <c r="F36" s="419">
        <f t="shared" si="214"/>
        <v>442.69434542172456</v>
      </c>
      <c r="G36" s="419">
        <f t="shared" si="214"/>
        <v>241.34030753190925</v>
      </c>
      <c r="H36" s="3133"/>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2066</v>
      </c>
      <c r="B37" s="419">
        <f t="shared" si="213"/>
        <v>319.87748030386797</v>
      </c>
      <c r="C37" s="419">
        <f t="shared" si="213"/>
        <v>269.60135833173649</v>
      </c>
      <c r="D37" s="419">
        <f t="shared" si="210"/>
        <v>269.60135833173649</v>
      </c>
      <c r="E37" s="419"/>
      <c r="F37" s="419">
        <f t="shared" si="214"/>
        <v>439.18089823583784</v>
      </c>
      <c r="G37" s="419">
        <f t="shared" si="214"/>
        <v>239.23503918706311</v>
      </c>
      <c r="H37" s="3136"/>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2067</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2068</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2069</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2070</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2071</v>
      </c>
      <c r="B42" s="423">
        <v>299</v>
      </c>
      <c r="C42" s="423">
        <v>252</v>
      </c>
      <c r="D42" s="423">
        <f t="shared" si="210"/>
        <v>252</v>
      </c>
      <c r="E42" s="423"/>
      <c r="F42" s="423">
        <v>409</v>
      </c>
      <c r="G42" s="429">
        <v>227</v>
      </c>
      <c r="H42" s="3138">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2072</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9"/>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2073</v>
      </c>
      <c r="B44" s="197">
        <f t="shared" si="217"/>
        <v>288.2649053828776</v>
      </c>
      <c r="C44" s="197">
        <f t="shared" si="217"/>
        <v>243.64564425013293</v>
      </c>
      <c r="D44" s="197">
        <f t="shared" si="210"/>
        <v>243.64564425013293</v>
      </c>
      <c r="F44" s="197">
        <f t="shared" si="218"/>
        <v>393.31080825986544</v>
      </c>
      <c r="G44" s="197">
        <f t="shared" si="218"/>
        <v>223.07903790551154</v>
      </c>
      <c r="H44" s="3139"/>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2074</v>
      </c>
      <c r="B45" s="197">
        <f t="shared" si="217"/>
        <v>282.50186729015837</v>
      </c>
      <c r="C45" s="197">
        <f t="shared" si="217"/>
        <v>238.09796174155468</v>
      </c>
      <c r="D45" s="197">
        <f t="shared" si="210"/>
        <v>238.09796174155468</v>
      </c>
      <c r="F45" s="197">
        <f t="shared" si="218"/>
        <v>385.33438646014054</v>
      </c>
      <c r="G45" s="197">
        <f t="shared" si="218"/>
        <v>221.55034055567739</v>
      </c>
      <c r="H45" s="3140"/>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2075</v>
      </c>
      <c r="B46" s="424">
        <v>278</v>
      </c>
      <c r="C46" s="424">
        <v>234</v>
      </c>
      <c r="D46" s="424">
        <f t="shared" si="210"/>
        <v>234</v>
      </c>
      <c r="E46" s="424"/>
      <c r="F46" s="424">
        <v>379</v>
      </c>
      <c r="G46" s="430">
        <v>220</v>
      </c>
      <c r="H46" s="3137">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2076</v>
      </c>
      <c r="B47" s="197">
        <f>B46/(1+O46)</f>
        <v>275.49301357645425</v>
      </c>
      <c r="C47" s="197">
        <f>C46/(1+P46)</f>
        <v>232.41954707985698</v>
      </c>
      <c r="D47" s="197">
        <f t="shared" si="210"/>
        <v>232.41954707985698</v>
      </c>
      <c r="F47" s="197">
        <f t="shared" ref="F47:G49" si="219">F46/(1+Q46)</f>
        <v>375.32184591008121</v>
      </c>
      <c r="G47" s="197">
        <f t="shared" si="219"/>
        <v>218.03766105054513</v>
      </c>
      <c r="H47" s="3133"/>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2077</v>
      </c>
      <c r="B48" s="197">
        <f>B47/(1+O47)</f>
        <v>275.24529281292263</v>
      </c>
      <c r="C48" s="197">
        <f>C47/(1+P47)</f>
        <v>231.74747938962707</v>
      </c>
      <c r="D48" s="197">
        <f t="shared" si="210"/>
        <v>231.74747938962707</v>
      </c>
      <c r="F48" s="197">
        <f t="shared" si="219"/>
        <v>375.35938184826603</v>
      </c>
      <c r="G48" s="197">
        <f t="shared" si="219"/>
        <v>216.78033510692495</v>
      </c>
      <c r="H48" s="3133"/>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2078</v>
      </c>
      <c r="B49" s="197">
        <f>B48/(1+O48)</f>
        <v>275.19025476197027</v>
      </c>
      <c r="C49" s="425">
        <v>232</v>
      </c>
      <c r="D49" s="425">
        <f t="shared" si="210"/>
        <v>232</v>
      </c>
      <c r="E49" s="425"/>
      <c r="F49" s="197">
        <f t="shared" si="219"/>
        <v>375.65990977608692</v>
      </c>
      <c r="G49" s="197">
        <f t="shared" si="219"/>
        <v>214.12518283971252</v>
      </c>
      <c r="H49" s="3136"/>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2079</v>
      </c>
      <c r="B50" s="423">
        <v>275</v>
      </c>
      <c r="C50" s="423">
        <v>232</v>
      </c>
      <c r="D50" s="423">
        <f t="shared" si="210"/>
        <v>232</v>
      </c>
      <c r="E50" s="423"/>
      <c r="F50" s="423">
        <v>376</v>
      </c>
      <c r="G50" s="429">
        <v>213</v>
      </c>
      <c r="H50" s="3137">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2080</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3">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2081</v>
      </c>
      <c r="B52" s="197">
        <f t="shared" si="220"/>
        <v>275.19335084830601</v>
      </c>
      <c r="C52" s="197">
        <f t="shared" si="220"/>
        <v>230.18088050139744</v>
      </c>
      <c r="D52" s="197">
        <f t="shared" si="210"/>
        <v>230.18088050139744</v>
      </c>
      <c r="F52" s="197">
        <f t="shared" si="221"/>
        <v>377.58482925212331</v>
      </c>
      <c r="G52" s="197">
        <f t="shared" si="221"/>
        <v>210.90687997847917</v>
      </c>
      <c r="H52" s="3133">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2082</v>
      </c>
      <c r="B53" s="197">
        <f t="shared" si="220"/>
        <v>276.29854502841971</v>
      </c>
      <c r="C53" s="197">
        <f t="shared" si="220"/>
        <v>229.79023709833027</v>
      </c>
      <c r="D53" s="197">
        <f t="shared" si="210"/>
        <v>229.79023709833027</v>
      </c>
      <c r="F53" s="197">
        <f t="shared" si="221"/>
        <v>379.78759731655936</v>
      </c>
      <c r="G53" s="197">
        <f t="shared" si="221"/>
        <v>211.32953905659235</v>
      </c>
      <c r="H53" s="3136">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2083</v>
      </c>
      <c r="B54" s="423">
        <v>269</v>
      </c>
      <c r="C54" s="423">
        <v>221</v>
      </c>
      <c r="D54" s="423">
        <f t="shared" si="210"/>
        <v>221</v>
      </c>
      <c r="E54" s="423"/>
      <c r="F54" s="423">
        <v>373</v>
      </c>
      <c r="G54" s="429">
        <v>196</v>
      </c>
      <c r="H54" s="3137">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2084</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3">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2085</v>
      </c>
      <c r="B56" s="197">
        <f t="shared" si="222"/>
        <v>242.95398227588385</v>
      </c>
      <c r="C56" s="197">
        <f t="shared" si="222"/>
        <v>199.59137053614126</v>
      </c>
      <c r="D56" s="197">
        <f t="shared" si="210"/>
        <v>199.59137053614126</v>
      </c>
      <c r="F56" s="197">
        <f t="shared" si="223"/>
        <v>335.92189522342125</v>
      </c>
      <c r="G56" s="197">
        <f t="shared" si="223"/>
        <v>183.10139991109489</v>
      </c>
      <c r="H56" s="3133">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2086</v>
      </c>
      <c r="B57" s="197">
        <f t="shared" si="222"/>
        <v>232.06990378821649</v>
      </c>
      <c r="C57" s="197">
        <f t="shared" si="222"/>
        <v>192.74878854286936</v>
      </c>
      <c r="D57" s="197">
        <f t="shared" si="210"/>
        <v>192.74878854286936</v>
      </c>
      <c r="F57" s="197">
        <f t="shared" si="223"/>
        <v>319.71247284992984</v>
      </c>
      <c r="G57" s="197">
        <f t="shared" si="223"/>
        <v>175.67053622862409</v>
      </c>
      <c r="H57" s="3136">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2087</v>
      </c>
      <c r="B58" s="423">
        <v>220</v>
      </c>
      <c r="C58" s="423">
        <v>187</v>
      </c>
      <c r="D58" s="423">
        <f t="shared" si="210"/>
        <v>187</v>
      </c>
      <c r="E58" s="423"/>
      <c r="F58" s="423">
        <v>301</v>
      </c>
      <c r="G58" s="429">
        <v>168</v>
      </c>
      <c r="H58" s="3137">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2088</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3">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2089</v>
      </c>
      <c r="B60" s="197">
        <f t="shared" si="224"/>
        <v>210.630522469011</v>
      </c>
      <c r="C60" s="197">
        <f t="shared" si="224"/>
        <v>181.69567812247232</v>
      </c>
      <c r="D60" s="197">
        <f t="shared" si="210"/>
        <v>181.69567812247232</v>
      </c>
      <c r="F60" s="197">
        <f t="shared" si="225"/>
        <v>286.13517466736738</v>
      </c>
      <c r="G60" s="197">
        <f t="shared" si="225"/>
        <v>165.47535084591149</v>
      </c>
      <c r="H60" s="3133">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2090</v>
      </c>
      <c r="B61" s="197">
        <f t="shared" si="224"/>
        <v>208.83454537875372</v>
      </c>
      <c r="C61" s="197">
        <f t="shared" si="224"/>
        <v>183.77230517090351</v>
      </c>
      <c r="D61" s="197">
        <f t="shared" si="210"/>
        <v>183.77230517090351</v>
      </c>
      <c r="F61" s="197">
        <f t="shared" si="225"/>
        <v>281.10342338870947</v>
      </c>
      <c r="G61" s="197">
        <f t="shared" si="225"/>
        <v>168.97309388942256</v>
      </c>
      <c r="H61" s="3136">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2091</v>
      </c>
      <c r="B62" s="424">
        <v>214</v>
      </c>
      <c r="C62" s="424">
        <v>188</v>
      </c>
      <c r="D62" s="424">
        <f t="shared" si="210"/>
        <v>188</v>
      </c>
      <c r="E62" s="424"/>
      <c r="F62" s="424">
        <v>289</v>
      </c>
      <c r="G62" s="430">
        <v>166</v>
      </c>
      <c r="H62" s="3137">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2092</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3">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2093</v>
      </c>
      <c r="B64" s="197">
        <f t="shared" si="226"/>
        <v>206.31694671589116</v>
      </c>
      <c r="C64" s="197">
        <f t="shared" si="226"/>
        <v>183.61041121036101</v>
      </c>
      <c r="D64" s="197">
        <f t="shared" si="210"/>
        <v>183.61041121036101</v>
      </c>
      <c r="F64" s="197">
        <f t="shared" si="227"/>
        <v>276.66850301795557</v>
      </c>
      <c r="G64" s="197">
        <f t="shared" si="227"/>
        <v>165.1360938278614</v>
      </c>
      <c r="H64" s="3133">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2094</v>
      </c>
      <c r="B65" s="408">
        <f t="shared" si="226"/>
        <v>196.62341248059772</v>
      </c>
      <c r="C65" s="408">
        <f t="shared" si="226"/>
        <v>170.99125648199012</v>
      </c>
      <c r="D65" s="408">
        <f t="shared" si="210"/>
        <v>170.99125648199012</v>
      </c>
      <c r="F65" s="408">
        <f t="shared" si="227"/>
        <v>266.07857570490052</v>
      </c>
      <c r="G65" s="408">
        <f t="shared" si="227"/>
        <v>154.53499328828505</v>
      </c>
      <c r="H65" s="3136">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2095</v>
      </c>
      <c r="B66" s="423">
        <v>188</v>
      </c>
      <c r="C66" s="423">
        <v>165</v>
      </c>
      <c r="D66" s="423">
        <f t="shared" si="210"/>
        <v>165</v>
      </c>
      <c r="E66" s="423"/>
      <c r="F66" s="423">
        <v>254</v>
      </c>
      <c r="G66" s="429">
        <v>148</v>
      </c>
      <c r="H66" s="3137">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2096</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3">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2097</v>
      </c>
      <c r="B68" s="197">
        <f t="shared" si="230"/>
        <v>168.82017748715555</v>
      </c>
      <c r="C68" s="197">
        <f t="shared" si="230"/>
        <v>148.06267029972753</v>
      </c>
      <c r="D68" s="197">
        <f t="shared" si="210"/>
        <v>148.06267029972753</v>
      </c>
      <c r="F68" s="197">
        <f t="shared" si="231"/>
        <v>216.46288379323747</v>
      </c>
      <c r="G68" s="197">
        <f t="shared" si="231"/>
        <v>134.23529411764704</v>
      </c>
      <c r="H68" s="3133">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2098</v>
      </c>
      <c r="B69" s="197">
        <f t="shared" si="230"/>
        <v>163.84913591779542</v>
      </c>
      <c r="C69" s="197">
        <f t="shared" si="230"/>
        <v>145.0283378746594</v>
      </c>
      <c r="D69" s="197">
        <f t="shared" si="210"/>
        <v>145.0283378746594</v>
      </c>
      <c r="F69" s="197">
        <f t="shared" si="231"/>
        <v>204.95180722891567</v>
      </c>
      <c r="G69" s="197">
        <f t="shared" si="231"/>
        <v>125.95920303605313</v>
      </c>
      <c r="H69" s="3136">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2099</v>
      </c>
      <c r="B70" s="476">
        <v>159</v>
      </c>
      <c r="C70" s="476">
        <v>141</v>
      </c>
      <c r="D70" s="476">
        <f t="shared" si="210"/>
        <v>141</v>
      </c>
      <c r="E70" s="476"/>
      <c r="F70" s="476">
        <v>195</v>
      </c>
      <c r="G70" s="483">
        <v>122</v>
      </c>
      <c r="H70" s="3137">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2100</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3">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2101</v>
      </c>
      <c r="B72" s="197">
        <f t="shared" si="234"/>
        <v>146.57412060301507</v>
      </c>
      <c r="C72" s="197">
        <f t="shared" si="234"/>
        <v>136.46831955922866</v>
      </c>
      <c r="D72" s="197">
        <f t="shared" si="210"/>
        <v>136.46831955922866</v>
      </c>
      <c r="F72" s="197">
        <f t="shared" si="235"/>
        <v>166.73864894795128</v>
      </c>
      <c r="G72" s="197">
        <f t="shared" si="235"/>
        <v>115.05882352941177</v>
      </c>
      <c r="H72" s="3133">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2102</v>
      </c>
      <c r="B73" s="197">
        <f t="shared" si="234"/>
        <v>144.04145728643215</v>
      </c>
      <c r="C73" s="197">
        <f t="shared" si="234"/>
        <v>136.12396694214877</v>
      </c>
      <c r="D73" s="197">
        <f t="shared" si="210"/>
        <v>136.12396694214877</v>
      </c>
      <c r="F73" s="197">
        <f t="shared" si="235"/>
        <v>158.32225913621264</v>
      </c>
      <c r="G73" s="197">
        <f t="shared" si="235"/>
        <v>114.04278074866311</v>
      </c>
      <c r="H73" s="3136">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2103</v>
      </c>
      <c r="B74" s="476">
        <v>138</v>
      </c>
      <c r="C74" s="476">
        <v>131</v>
      </c>
      <c r="D74" s="476">
        <f t="shared" si="210"/>
        <v>131</v>
      </c>
      <c r="E74" s="476"/>
      <c r="F74" s="476">
        <v>155</v>
      </c>
      <c r="G74" s="483">
        <v>114</v>
      </c>
      <c r="H74" s="3137">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2104</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3">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2105</v>
      </c>
      <c r="B76" s="197">
        <f t="shared" si="238"/>
        <v>124.29032258064517</v>
      </c>
      <c r="C76" s="197">
        <f t="shared" si="238"/>
        <v>123.8968609865471</v>
      </c>
      <c r="D76" s="197">
        <f t="shared" si="210"/>
        <v>123.8968609865471</v>
      </c>
      <c r="F76" s="197">
        <f t="shared" si="239"/>
        <v>138.00507614213197</v>
      </c>
      <c r="G76" s="197">
        <f t="shared" si="239"/>
        <v>107.96106557377048</v>
      </c>
      <c r="H76" s="3133">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2106</v>
      </c>
      <c r="B77" s="197">
        <f t="shared" si="238"/>
        <v>122.57204301075269</v>
      </c>
      <c r="C77" s="197">
        <f t="shared" si="238"/>
        <v>123.4932735426009</v>
      </c>
      <c r="D77" s="197">
        <f t="shared" si="210"/>
        <v>123.4932735426009</v>
      </c>
      <c r="F77" s="197">
        <f t="shared" si="239"/>
        <v>129.82233502538071</v>
      </c>
      <c r="G77" s="197">
        <f t="shared" si="239"/>
        <v>107.39446721311475</v>
      </c>
      <c r="H77" s="3136">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2107</v>
      </c>
      <c r="B78" s="424">
        <v>121</v>
      </c>
      <c r="C78" s="424">
        <v>122</v>
      </c>
      <c r="D78" s="424">
        <f t="shared" si="210"/>
        <v>122</v>
      </c>
      <c r="E78" s="424"/>
      <c r="F78" s="424">
        <v>124</v>
      </c>
      <c r="G78" s="430">
        <v>107</v>
      </c>
      <c r="H78" s="3137">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2108</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3">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2109</v>
      </c>
      <c r="B80" s="197">
        <f t="shared" si="242"/>
        <v>116.99099099099099</v>
      </c>
      <c r="C80" s="197">
        <f t="shared" si="242"/>
        <v>118.84848484848486</v>
      </c>
      <c r="D80" s="197">
        <f t="shared" si="210"/>
        <v>118.84848484848486</v>
      </c>
      <c r="F80" s="197">
        <f t="shared" si="243"/>
        <v>117.60960960960961</v>
      </c>
      <c r="G80" s="197">
        <f t="shared" si="243"/>
        <v>104</v>
      </c>
      <c r="H80" s="3133">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2110</v>
      </c>
      <c r="B81" s="408">
        <f t="shared" si="242"/>
        <v>112.48648648648648</v>
      </c>
      <c r="C81" s="408">
        <f t="shared" si="242"/>
        <v>115.21212121212122</v>
      </c>
      <c r="D81" s="408">
        <f t="shared" si="210"/>
        <v>115.21212121212122</v>
      </c>
      <c r="F81" s="408">
        <f t="shared" si="243"/>
        <v>110.4024024024024</v>
      </c>
      <c r="G81" s="408">
        <f t="shared" si="243"/>
        <v>104</v>
      </c>
      <c r="H81" s="3136">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2111</v>
      </c>
      <c r="B82" s="477">
        <v>111</v>
      </c>
      <c r="C82" s="477">
        <v>114</v>
      </c>
      <c r="D82" s="477">
        <f t="shared" si="210"/>
        <v>114</v>
      </c>
      <c r="E82" s="477"/>
      <c r="F82" s="477">
        <v>108</v>
      </c>
      <c r="G82" s="484">
        <v>104</v>
      </c>
      <c r="H82" s="3137">
        <v>2003</v>
      </c>
      <c r="I82" s="487">
        <v>4</v>
      </c>
    </row>
    <row r="83" spans="1:31" hidden="1">
      <c r="A83" s="159" t="s">
        <v>2112</v>
      </c>
      <c r="B83" s="478">
        <f t="shared" ref="B83:C85" si="244">B84+(B$82-B$86)/4</f>
        <v>109.75</v>
      </c>
      <c r="C83" s="478">
        <f t="shared" si="244"/>
        <v>112.25</v>
      </c>
      <c r="D83" s="478">
        <f t="shared" si="210"/>
        <v>112.25</v>
      </c>
      <c r="E83" s="478"/>
      <c r="F83" s="478">
        <f t="shared" ref="F83:G85" si="245">F84+(F$82-F$86)/4</f>
        <v>107.25</v>
      </c>
      <c r="G83" s="478">
        <f t="shared" si="245"/>
        <v>103.5</v>
      </c>
      <c r="H83" s="3133">
        <v>2003</v>
      </c>
      <c r="I83" s="437">
        <v>3</v>
      </c>
    </row>
    <row r="84" spans="1:31" hidden="1">
      <c r="A84" s="159" t="s">
        <v>2113</v>
      </c>
      <c r="B84" s="478">
        <f t="shared" si="244"/>
        <v>108.5</v>
      </c>
      <c r="C84" s="478">
        <f t="shared" si="244"/>
        <v>110.5</v>
      </c>
      <c r="D84" s="478">
        <f t="shared" si="210"/>
        <v>110.5</v>
      </c>
      <c r="E84" s="478"/>
      <c r="F84" s="478">
        <f t="shared" si="245"/>
        <v>106.5</v>
      </c>
      <c r="G84" s="478">
        <f t="shared" si="245"/>
        <v>103</v>
      </c>
      <c r="H84" s="3133">
        <v>2003</v>
      </c>
      <c r="I84" s="438">
        <v>2</v>
      </c>
    </row>
    <row r="85" spans="1:31" hidden="1">
      <c r="A85" s="159" t="s">
        <v>2114</v>
      </c>
      <c r="B85" s="478">
        <f t="shared" si="244"/>
        <v>107.25</v>
      </c>
      <c r="C85" s="478">
        <f t="shared" si="244"/>
        <v>108.75</v>
      </c>
      <c r="D85" s="478">
        <f t="shared" si="210"/>
        <v>108.75</v>
      </c>
      <c r="E85" s="478"/>
      <c r="F85" s="478">
        <f t="shared" si="245"/>
        <v>105.75</v>
      </c>
      <c r="G85" s="478">
        <f t="shared" si="245"/>
        <v>102.5</v>
      </c>
      <c r="H85" s="3136">
        <v>2003</v>
      </c>
      <c r="I85" s="488">
        <v>1</v>
      </c>
    </row>
    <row r="86" spans="1:31" hidden="1">
      <c r="A86" s="159" t="s">
        <v>2115</v>
      </c>
      <c r="B86" s="424">
        <v>106</v>
      </c>
      <c r="C86" s="424">
        <v>107</v>
      </c>
      <c r="D86" s="424">
        <f t="shared" si="210"/>
        <v>107</v>
      </c>
      <c r="E86" s="424"/>
      <c r="F86" s="424">
        <v>105</v>
      </c>
      <c r="G86" s="430">
        <v>102</v>
      </c>
      <c r="H86" s="3137">
        <v>2002</v>
      </c>
      <c r="I86" s="439">
        <v>4</v>
      </c>
    </row>
    <row r="87" spans="1:31" hidden="1">
      <c r="A87" s="159" t="s">
        <v>2116</v>
      </c>
      <c r="B87" s="478">
        <f t="shared" ref="B87:C89" si="246">B88+(B$86-B$90)/4</f>
        <v>105</v>
      </c>
      <c r="C87" s="478">
        <f t="shared" si="246"/>
        <v>106</v>
      </c>
      <c r="D87" s="478">
        <f t="shared" si="210"/>
        <v>106</v>
      </c>
      <c r="E87" s="478"/>
      <c r="F87" s="478">
        <f t="shared" ref="F87:G89" si="247">F88+(F$86-F$90)/4</f>
        <v>104.5</v>
      </c>
      <c r="G87" s="478">
        <f t="shared" si="247"/>
        <v>101.5</v>
      </c>
      <c r="H87" s="3133">
        <v>2002</v>
      </c>
      <c r="I87" s="437">
        <v>3</v>
      </c>
    </row>
    <row r="88" spans="1:31" hidden="1">
      <c r="A88" s="159" t="s">
        <v>2117</v>
      </c>
      <c r="B88" s="478">
        <f t="shared" si="246"/>
        <v>104</v>
      </c>
      <c r="C88" s="478">
        <f t="shared" si="246"/>
        <v>105</v>
      </c>
      <c r="D88" s="478">
        <f t="shared" si="210"/>
        <v>105</v>
      </c>
      <c r="E88" s="478"/>
      <c r="F88" s="478">
        <f t="shared" si="247"/>
        <v>104</v>
      </c>
      <c r="G88" s="478">
        <f t="shared" si="247"/>
        <v>101</v>
      </c>
      <c r="H88" s="3133">
        <v>2002</v>
      </c>
      <c r="I88" s="438">
        <v>2</v>
      </c>
    </row>
    <row r="89" spans="1:31" s="409" customFormat="1" hidden="1">
      <c r="A89" s="479" t="s">
        <v>2118</v>
      </c>
      <c r="B89" s="409">
        <f t="shared" si="246"/>
        <v>103</v>
      </c>
      <c r="C89" s="409">
        <f t="shared" si="246"/>
        <v>104</v>
      </c>
      <c r="D89" s="409">
        <f t="shared" si="210"/>
        <v>104</v>
      </c>
      <c r="F89" s="409">
        <f t="shared" si="247"/>
        <v>103.5</v>
      </c>
      <c r="G89" s="409">
        <f t="shared" si="247"/>
        <v>100.5</v>
      </c>
      <c r="H89" s="3136">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2119</v>
      </c>
      <c r="F92" s="197"/>
      <c r="G92" s="197"/>
      <c r="H92" s="197"/>
      <c r="I92" s="197"/>
      <c r="N92" s="500"/>
      <c r="O92" s="501"/>
      <c r="S92" s="500"/>
      <c r="T92" s="501"/>
      <c r="X92" s="500"/>
      <c r="AE92" s="500"/>
    </row>
    <row r="93" spans="1:31" s="410" customFormat="1">
      <c r="A93" s="410" t="s">
        <v>2120</v>
      </c>
      <c r="F93" s="197"/>
      <c r="G93" s="197"/>
      <c r="H93" s="197"/>
      <c r="I93" s="197"/>
      <c r="N93" s="500"/>
      <c r="O93" s="501"/>
      <c r="S93" s="500"/>
      <c r="T93" s="501"/>
      <c r="X93" s="500"/>
      <c r="AE93" s="500"/>
    </row>
    <row r="94" spans="1:31" s="410" customFormat="1">
      <c r="A94" s="410" t="s">
        <v>2121</v>
      </c>
      <c r="F94" s="197"/>
      <c r="G94" s="197"/>
      <c r="H94" s="197"/>
      <c r="I94" s="197"/>
      <c r="N94" s="500"/>
      <c r="O94" s="501"/>
      <c r="S94" s="500"/>
      <c r="T94" s="501"/>
      <c r="X94" s="500"/>
      <c r="AE94" s="500"/>
    </row>
    <row r="95" spans="1:31" s="410" customFormat="1">
      <c r="A95" s="410" t="s">
        <v>2122</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2123</v>
      </c>
      <c r="C1" s="3141" t="s">
        <v>2124</v>
      </c>
      <c r="D1" s="3142"/>
      <c r="E1" s="3142"/>
      <c r="F1" s="3142"/>
      <c r="G1" s="3142"/>
      <c r="H1" s="3142"/>
      <c r="I1" s="3142"/>
      <c r="J1" s="3142"/>
      <c r="K1" s="3142"/>
      <c r="L1" s="3142"/>
      <c r="M1" s="3142"/>
      <c r="N1" s="3142"/>
      <c r="O1" s="3142"/>
      <c r="P1" s="3142"/>
      <c r="Q1" s="3142"/>
      <c r="R1" s="3142"/>
      <c r="S1" s="3143"/>
      <c r="T1" s="298" t="s">
        <v>1633</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2125</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2126</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2127</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2128</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2129</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2130</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2131</v>
      </c>
      <c r="B17" s="326" t="s">
        <v>2132</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2133</v>
      </c>
      <c r="E19" s="356"/>
      <c r="F19" s="356"/>
      <c r="G19" s="356"/>
      <c r="H19" s="357"/>
      <c r="I19" s="334"/>
      <c r="J19" s="334"/>
      <c r="K19" s="334"/>
      <c r="L19" s="334"/>
      <c r="M19" s="334"/>
      <c r="N19" s="334"/>
      <c r="O19" s="334"/>
      <c r="P19" s="334"/>
      <c r="Q19" s="334"/>
      <c r="R19" s="334"/>
      <c r="S19" s="333"/>
    </row>
    <row r="20" spans="1:45" ht="15.6">
      <c r="A20" s="336" t="s">
        <v>2134</v>
      </c>
      <c r="B20" s="337" t="e">
        <f ca="1">IF(D20="——",S22,S22-F20)</f>
        <v>#REF!</v>
      </c>
      <c r="C20" s="334"/>
      <c r="D20" s="338"/>
      <c r="E20" s="358"/>
      <c r="F20" s="298" t="e">
        <f ca="1">SUMIF(INDIRECT("'"&amp;H20&amp;"'"&amp;"!A:A"),"承租人权益价值",INDIRECT("'"&amp;H20&amp;"'"&amp;"!c:c"))</f>
        <v>#REF!</v>
      </c>
      <c r="G20" s="298" t="s">
        <v>707</v>
      </c>
      <c r="H20" s="359"/>
      <c r="I20" s="334"/>
      <c r="J20" s="334"/>
      <c r="K20" s="334"/>
      <c r="L20" s="334"/>
      <c r="M20" s="334"/>
      <c r="N20" s="334"/>
      <c r="O20" s="334"/>
      <c r="P20" s="334"/>
      <c r="Q20" s="334"/>
      <c r="R20" s="334"/>
      <c r="S20" s="333"/>
    </row>
    <row r="21" spans="1:45" ht="15.6">
      <c r="A21" s="336" t="s">
        <v>2135</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2136</v>
      </c>
      <c r="B22" s="340">
        <f>SUM(B24:B10000)</f>
        <v>100</v>
      </c>
      <c r="C22" s="3144" t="s">
        <v>124</v>
      </c>
      <c r="D22" s="3145"/>
      <c r="E22" s="3145"/>
      <c r="F22" s="3145"/>
      <c r="G22" s="3145"/>
      <c r="H22" s="3145"/>
      <c r="I22" s="3145"/>
      <c r="J22" s="3145"/>
      <c r="K22" s="3145"/>
      <c r="L22" s="3145"/>
      <c r="M22" s="3145"/>
      <c r="N22" s="3145"/>
      <c r="O22" s="3145"/>
      <c r="P22" s="3145"/>
      <c r="Q22" s="3146"/>
      <c r="R22" s="340">
        <f>ROUND(S22*10000/B22,0)</f>
        <v>10000</v>
      </c>
      <c r="S22" s="340">
        <f>SUM(S24:S10000)</f>
        <v>100</v>
      </c>
    </row>
    <row r="23" spans="1:45" s="293" customFormat="1" ht="24">
      <c r="A23" s="343" t="s">
        <v>2137</v>
      </c>
      <c r="B23" s="343" t="s">
        <v>364</v>
      </c>
      <c r="C23" s="343" t="s">
        <v>1633</v>
      </c>
      <c r="D23" s="343" t="str">
        <f>B5</f>
        <v>修正项2</v>
      </c>
      <c r="E23" s="343" t="s">
        <v>1633</v>
      </c>
      <c r="F23" s="343" t="str">
        <f>B7</f>
        <v>修正项3</v>
      </c>
      <c r="G23" s="343" t="s">
        <v>1633</v>
      </c>
      <c r="H23" s="343" t="str">
        <f>B9</f>
        <v>修正项4</v>
      </c>
      <c r="I23" s="343" t="s">
        <v>1633</v>
      </c>
      <c r="J23" s="343" t="str">
        <f>B11</f>
        <v>修正项5</v>
      </c>
      <c r="K23" s="343" t="s">
        <v>1633</v>
      </c>
      <c r="L23" s="343" t="str">
        <f>B13</f>
        <v>修正项6</v>
      </c>
      <c r="M23" s="343" t="s">
        <v>1633</v>
      </c>
      <c r="N23" s="343" t="str">
        <f>B15</f>
        <v>修正项7</v>
      </c>
      <c r="O23" s="343" t="s">
        <v>1633</v>
      </c>
      <c r="P23" s="343" t="str">
        <f>B17</f>
        <v>楼层</v>
      </c>
      <c r="Q23" s="343" t="s">
        <v>1633</v>
      </c>
      <c r="R23" s="343" t="s">
        <v>2138</v>
      </c>
      <c r="S23" s="343" t="s">
        <v>2139</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2140</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2141</v>
      </c>
      <c r="B1" s="224"/>
      <c r="C1" s="225"/>
      <c r="D1" s="225"/>
      <c r="E1" s="225"/>
      <c r="F1" s="225"/>
      <c r="G1" s="229"/>
    </row>
    <row r="2" spans="1:7" s="215" customFormat="1" ht="18" customHeight="1">
      <c r="A2" s="226" t="s">
        <v>2142</v>
      </c>
      <c r="B2" s="227" t="e">
        <f ca="1">C52</f>
        <v>#VALUE!</v>
      </c>
      <c r="C2" s="228" t="s">
        <v>2143</v>
      </c>
      <c r="D2" s="229"/>
      <c r="E2" s="229"/>
      <c r="F2" s="229"/>
      <c r="G2" s="229"/>
    </row>
    <row r="3" spans="1:7" s="215" customFormat="1" ht="18" customHeight="1">
      <c r="A3" s="230" t="s">
        <v>2144</v>
      </c>
      <c r="B3" s="231" t="e">
        <f ca="1">ROUND(B2*10000/'数据-汇总表'!E3,0)</f>
        <v>#VALUE!</v>
      </c>
      <c r="C3" s="228" t="s">
        <v>2145</v>
      </c>
      <c r="D3" s="229"/>
      <c r="E3" s="229"/>
      <c r="F3" s="229"/>
      <c r="G3" s="229"/>
    </row>
    <row r="4" spans="1:7" s="216" customFormat="1" ht="16.2">
      <c r="A4" s="232" t="s">
        <v>2146</v>
      </c>
      <c r="B4" s="233"/>
      <c r="C4" s="233"/>
      <c r="D4" s="233"/>
      <c r="E4" s="233"/>
      <c r="F4" s="233"/>
      <c r="G4" s="268"/>
    </row>
    <row r="5" spans="1:7" s="217" customFormat="1" ht="13.5" customHeight="1">
      <c r="A5" s="234" t="s">
        <v>894</v>
      </c>
      <c r="B5" s="235" t="s">
        <v>2147</v>
      </c>
      <c r="C5" s="236">
        <f>C6+C7+C8</f>
        <v>20000</v>
      </c>
      <c r="D5" s="236" t="s">
        <v>2148</v>
      </c>
      <c r="E5" s="236" t="s">
        <v>2149</v>
      </c>
      <c r="F5" s="236" t="s">
        <v>2150</v>
      </c>
      <c r="G5" s="269"/>
    </row>
    <row r="6" spans="1:7" s="217" customFormat="1" ht="13.5" customHeight="1">
      <c r="A6" s="237" t="s">
        <v>898</v>
      </c>
      <c r="B6" s="238" t="s">
        <v>2151</v>
      </c>
      <c r="C6" s="239">
        <v>20000</v>
      </c>
      <c r="D6" s="240"/>
      <c r="E6" s="240"/>
      <c r="F6" s="240"/>
      <c r="G6" s="270"/>
    </row>
    <row r="7" spans="1:7" s="217" customFormat="1" ht="13.5" customHeight="1">
      <c r="A7" s="237" t="s">
        <v>900</v>
      </c>
      <c r="B7" s="238" t="s">
        <v>2152</v>
      </c>
      <c r="C7" s="240">
        <f>ROUND(C6*F7,0)</f>
        <v>0</v>
      </c>
      <c r="D7" s="240"/>
      <c r="E7" s="240"/>
      <c r="F7" s="240">
        <f>'数据-取费表'!B48+'数据-取费表'!B49</f>
        <v>0</v>
      </c>
      <c r="G7" s="270"/>
    </row>
    <row r="8" spans="1:7" s="218" customFormat="1">
      <c r="A8" s="237" t="s">
        <v>902</v>
      </c>
      <c r="B8" s="238" t="s">
        <v>2153</v>
      </c>
      <c r="C8" s="240" t="str">
        <f>IF(G8="已包含在土地购买价格中","0",'数据-取费表'!B29)</f>
        <v>0</v>
      </c>
      <c r="D8" s="241"/>
      <c r="E8" s="240"/>
      <c r="F8" s="240"/>
      <c r="G8" s="271" t="s">
        <v>2154</v>
      </c>
    </row>
    <row r="9" spans="1:7" s="217" customFormat="1" ht="13.5" customHeight="1">
      <c r="A9" s="242" t="s">
        <v>904</v>
      </c>
      <c r="B9" s="243" t="s">
        <v>2155</v>
      </c>
      <c r="C9" s="244">
        <f>ROUND(D9*E9/10000,0)</f>
        <v>0</v>
      </c>
      <c r="D9" s="245">
        <f>'数据-汇总表'!E5</f>
        <v>0</v>
      </c>
      <c r="E9" s="244">
        <f>'数据-取费表'!B27</f>
        <v>0</v>
      </c>
      <c r="F9" s="240"/>
      <c r="G9" s="272"/>
    </row>
    <row r="10" spans="1:7" s="217" customFormat="1" ht="13.5" customHeight="1">
      <c r="A10" s="242" t="s">
        <v>907</v>
      </c>
      <c r="B10" s="243" t="s">
        <v>2156</v>
      </c>
      <c r="C10" s="244">
        <f>ROUND(D10*E10/10000,0)</f>
        <v>0</v>
      </c>
      <c r="D10" s="245">
        <f>'数据-汇总表'!E6</f>
        <v>0</v>
      </c>
      <c r="E10" s="244">
        <f>'数据-取费表'!B28</f>
        <v>0</v>
      </c>
      <c r="F10" s="240"/>
      <c r="G10" s="272"/>
    </row>
    <row r="11" spans="1:7" s="217" customFormat="1" ht="13.5" hidden="1" customHeight="1">
      <c r="A11" s="246" t="s">
        <v>909</v>
      </c>
      <c r="B11" s="238" t="s">
        <v>2157</v>
      </c>
      <c r="C11" s="236"/>
      <c r="D11" s="240"/>
      <c r="E11" s="240"/>
      <c r="F11" s="240"/>
      <c r="G11" s="270"/>
    </row>
    <row r="12" spans="1:7" s="217" customFormat="1" ht="13.5" hidden="1" customHeight="1">
      <c r="A12" s="246" t="s">
        <v>911</v>
      </c>
      <c r="B12" s="238" t="s">
        <v>2158</v>
      </c>
      <c r="C12" s="236">
        <v>0</v>
      </c>
      <c r="D12" s="240"/>
      <c r="E12" s="273"/>
      <c r="F12" s="240">
        <v>3.0499999999999999E-2</v>
      </c>
      <c r="G12" s="270"/>
    </row>
    <row r="13" spans="1:7" s="217" customFormat="1" ht="13.5" hidden="1" customHeight="1">
      <c r="A13" s="246" t="s">
        <v>912</v>
      </c>
      <c r="B13" s="238" t="s">
        <v>2159</v>
      </c>
      <c r="C13" s="236"/>
      <c r="D13" s="240"/>
      <c r="E13" s="240"/>
      <c r="F13" s="240"/>
      <c r="G13" s="270"/>
    </row>
    <row r="14" spans="1:7" s="217" customFormat="1" ht="13.5" hidden="1" customHeight="1">
      <c r="A14" s="246" t="s">
        <v>914</v>
      </c>
      <c r="B14" s="238" t="s">
        <v>2153</v>
      </c>
      <c r="C14" s="236"/>
      <c r="D14" s="240"/>
      <c r="E14" s="240"/>
      <c r="F14" s="240"/>
      <c r="G14" s="270" t="s">
        <v>2160</v>
      </c>
    </row>
    <row r="15" spans="1:7" s="217" customFormat="1" ht="13.5" hidden="1" customHeight="1">
      <c r="A15" s="246" t="s">
        <v>916</v>
      </c>
      <c r="B15" s="238" t="s">
        <v>2161</v>
      </c>
      <c r="C15" s="240"/>
      <c r="D15" s="240"/>
      <c r="E15" s="240"/>
      <c r="F15" s="240"/>
      <c r="G15" s="270" t="s">
        <v>2162</v>
      </c>
    </row>
    <row r="16" spans="1:7" s="217" customFormat="1" ht="13.5" hidden="1" customHeight="1">
      <c r="A16" s="246" t="s">
        <v>919</v>
      </c>
      <c r="B16" s="238" t="s">
        <v>2153</v>
      </c>
      <c r="C16" s="240"/>
      <c r="D16" s="240"/>
      <c r="E16" s="240"/>
      <c r="F16" s="240"/>
      <c r="G16" s="270"/>
    </row>
    <row r="17" spans="1:7" s="217" customFormat="1" ht="13.5" hidden="1" customHeight="1">
      <c r="A17" s="246" t="s">
        <v>920</v>
      </c>
      <c r="B17" s="238" t="s">
        <v>2163</v>
      </c>
      <c r="C17" s="247"/>
      <c r="D17" s="247"/>
      <c r="E17" s="247"/>
      <c r="F17" s="247"/>
      <c r="G17" s="270" t="s">
        <v>2162</v>
      </c>
    </row>
    <row r="18" spans="1:7" s="217" customFormat="1" ht="13.5" hidden="1" customHeight="1">
      <c r="A18" s="246" t="s">
        <v>922</v>
      </c>
      <c r="B18" s="238" t="s">
        <v>2164</v>
      </c>
      <c r="C18" s="240">
        <v>0</v>
      </c>
      <c r="D18" s="240"/>
      <c r="E18" s="240"/>
      <c r="F18" s="240">
        <v>3.0499999999999999E-2</v>
      </c>
      <c r="G18" s="270" t="s">
        <v>2165</v>
      </c>
    </row>
    <row r="19" spans="1:7" s="218" customFormat="1" ht="13.5" customHeight="1">
      <c r="A19" s="248" t="s">
        <v>1580</v>
      </c>
      <c r="B19" s="235" t="s">
        <v>2166</v>
      </c>
      <c r="C19" s="236">
        <f>IF(G19="已包含在土地取得成本中","0",ROUND(D19*E19/10000,0))</f>
        <v>0</v>
      </c>
      <c r="D19" s="236">
        <f>'数据-汇总表'!E3</f>
        <v>0</v>
      </c>
      <c r="E19" s="236">
        <f>'数据-取费表'!B31</f>
        <v>0</v>
      </c>
      <c r="F19" s="274"/>
      <c r="G19" s="271" t="s">
        <v>2167</v>
      </c>
    </row>
    <row r="20" spans="1:7" s="217" customFormat="1" ht="13.5" customHeight="1">
      <c r="A20" s="248" t="s">
        <v>1617</v>
      </c>
      <c r="B20" s="235" t="s">
        <v>2168</v>
      </c>
      <c r="C20" s="249">
        <f>ROUND((C5+C19)*F20,0)</f>
        <v>0</v>
      </c>
      <c r="D20" s="249"/>
      <c r="E20" s="249"/>
      <c r="F20" s="274">
        <f>'数据-取费表'!B37</f>
        <v>0</v>
      </c>
      <c r="G20" s="275" t="s">
        <v>2169</v>
      </c>
    </row>
    <row r="21" spans="1:7" s="217" customFormat="1" ht="13.5" customHeight="1">
      <c r="A21" s="248" t="s">
        <v>1622</v>
      </c>
      <c r="B21" s="235" t="s">
        <v>2170</v>
      </c>
      <c r="C21" s="250">
        <f>F21</f>
        <v>0</v>
      </c>
      <c r="D21" s="251" t="s">
        <v>2171</v>
      </c>
      <c r="E21" s="249"/>
      <c r="F21" s="274">
        <f>'数据-取费表'!B38</f>
        <v>0</v>
      </c>
      <c r="G21" s="276" t="s">
        <v>2172</v>
      </c>
    </row>
    <row r="22" spans="1:7" s="217" customFormat="1" ht="13.5" customHeight="1">
      <c r="A22" s="248" t="s">
        <v>1634</v>
      </c>
      <c r="B22" s="235" t="s">
        <v>2173</v>
      </c>
      <c r="C22" s="249" t="e">
        <f ca="1">ROUND(SUM(C23:C25),0)</f>
        <v>#VALUE!</v>
      </c>
      <c r="D22" s="250" t="e">
        <f ca="1">C26</f>
        <v>#VALUE!</v>
      </c>
      <c r="E22" s="251" t="s">
        <v>2171</v>
      </c>
      <c r="F22" s="277" t="e">
        <f ca="1">'数据-取费表'!B40</f>
        <v>#VALUE!</v>
      </c>
      <c r="G22" s="275" t="str">
        <f>IF('数据-取费表'!B22&lt;=1,"单利计息","复利计息")</f>
        <v>单利计息</v>
      </c>
    </row>
    <row r="23" spans="1:7" s="217" customFormat="1" ht="13.5" customHeight="1">
      <c r="A23" s="252" t="s">
        <v>898</v>
      </c>
      <c r="B23" s="238" t="s">
        <v>2174</v>
      </c>
      <c r="C23" s="253" t="e">
        <f ca="1">ROUND(IF('数据-取费表'!B22&lt;=1,C5*F22*'数据-取费表'!B23,C5*(POWER((1+F22),'数据-取费表'!B23)-1)),0)</f>
        <v>#VALUE!</v>
      </c>
      <c r="D23" s="253"/>
      <c r="E23" s="253"/>
      <c r="F23" s="278"/>
      <c r="G23" s="279" t="s">
        <v>2175</v>
      </c>
    </row>
    <row r="24" spans="1:7" s="217" customFormat="1" ht="13.5" customHeight="1">
      <c r="A24" s="252" t="s">
        <v>900</v>
      </c>
      <c r="B24" s="238" t="s">
        <v>2176</v>
      </c>
      <c r="C24" s="253" t="e">
        <f ca="1">ROUND(IF('数据-取费表'!B22&lt;=1,C19*F22*('数据-取费表'!B19/2+'数据-取费表'!B21),C19*(POWER((1+F22),('数据-取费表'!B19/2+'数据-取费表'!B21))-1)),0)</f>
        <v>#VALUE!</v>
      </c>
      <c r="D24" s="253"/>
      <c r="E24" s="253"/>
      <c r="F24" s="278"/>
      <c r="G24" s="279" t="s">
        <v>2177</v>
      </c>
    </row>
    <row r="25" spans="1:7" s="217" customFormat="1" ht="24">
      <c r="A25" s="252" t="s">
        <v>902</v>
      </c>
      <c r="B25" s="238" t="s">
        <v>2178</v>
      </c>
      <c r="C25" s="253" t="e">
        <f ca="1">ROUND(IF('数据-取费表'!B22&lt;=1,C20*F22*'数据-取费表'!B23/2,C20*(POWER((1+F22),'数据-取费表'!B23/2)-1)),0)</f>
        <v>#VALUE!</v>
      </c>
      <c r="D25" s="253"/>
      <c r="E25" s="280"/>
      <c r="F25" s="278"/>
      <c r="G25" s="281" t="s">
        <v>2179</v>
      </c>
    </row>
    <row r="26" spans="1:7" s="217" customFormat="1">
      <c r="A26" s="252" t="s">
        <v>942</v>
      </c>
      <c r="B26" s="238" t="s">
        <v>2180</v>
      </c>
      <c r="C26" s="253" t="e">
        <f ca="1">ROUND(IF('数据-取费表'!B22&lt;=1,F21*F22*'数据-取费表'!B23/2,F21*(POWER((1+F22),'数据-取费表'!B23/2)-1)),4)</f>
        <v>#VALUE!</v>
      </c>
      <c r="D26" s="253"/>
      <c r="E26" s="280"/>
      <c r="F26" s="278"/>
      <c r="G26" s="282"/>
    </row>
    <row r="27" spans="1:7" s="217" customFormat="1" ht="26.4">
      <c r="A27" s="248" t="s">
        <v>1643</v>
      </c>
      <c r="B27" s="254" t="s">
        <v>2181</v>
      </c>
      <c r="C27" s="255" t="e">
        <f>C28</f>
        <v>#DIV/0!</v>
      </c>
      <c r="D27" s="250" t="e">
        <f>C29</f>
        <v>#DIV/0!</v>
      </c>
      <c r="E27" s="251" t="s">
        <v>2171</v>
      </c>
      <c r="F27" s="277" t="e">
        <f>'数据-取费表'!Q16</f>
        <v>#DIV/0!</v>
      </c>
      <c r="G27" s="283" t="s">
        <v>2182</v>
      </c>
    </row>
    <row r="28" spans="1:7" s="217" customFormat="1" ht="13.5" customHeight="1">
      <c r="A28" s="252" t="s">
        <v>898</v>
      </c>
      <c r="B28" s="256" t="s">
        <v>2183</v>
      </c>
      <c r="C28" s="257" t="e">
        <f>ROUND((C5+C19+C20)*F27*'数据-取费表'!B21/'数据-取费表'!B20,0)</f>
        <v>#DIV/0!</v>
      </c>
      <c r="D28" s="250"/>
      <c r="E28" s="251"/>
      <c r="F28" s="277"/>
      <c r="G28" s="283"/>
    </row>
    <row r="29" spans="1:7" s="217" customFormat="1" ht="13.5" customHeight="1">
      <c r="A29" s="252" t="s">
        <v>900</v>
      </c>
      <c r="B29" s="256" t="s">
        <v>2184</v>
      </c>
      <c r="C29" s="253" t="e">
        <f>ROUND(C21*F27*'数据-取费表'!B21/'数据-取费表'!B20,4)</f>
        <v>#DIV/0!</v>
      </c>
      <c r="D29" s="250"/>
      <c r="E29" s="251"/>
      <c r="F29" s="277"/>
      <c r="G29" s="283"/>
    </row>
    <row r="30" spans="1:7" s="217" customFormat="1" ht="13.5" customHeight="1">
      <c r="A30" s="248" t="s">
        <v>2185</v>
      </c>
      <c r="B30" s="235" t="s">
        <v>2186</v>
      </c>
      <c r="C30" s="250">
        <f>F30</f>
        <v>0</v>
      </c>
      <c r="D30" s="251" t="s">
        <v>2187</v>
      </c>
      <c r="E30" s="280"/>
      <c r="F30" s="277">
        <f>'数据-取费表'!B41</f>
        <v>0</v>
      </c>
      <c r="G30" s="276" t="s">
        <v>2188</v>
      </c>
    </row>
    <row r="31" spans="1:7" ht="16.5" customHeight="1">
      <c r="A31" s="234">
        <v>1</v>
      </c>
      <c r="B31" s="235" t="s">
        <v>2189</v>
      </c>
      <c r="C31" s="236" t="e">
        <f ca="1">ROUND((C5+C19+C20+C22+C27)/(1-C21-D22-D27-C30/(1+'数据-取费表'!B42)),0)</f>
        <v>#VALUE!</v>
      </c>
      <c r="D31" s="236"/>
      <c r="E31" s="236"/>
      <c r="F31" s="236"/>
      <c r="G31" s="276" t="s">
        <v>2190</v>
      </c>
    </row>
    <row r="32" spans="1:7" s="216" customFormat="1" ht="16.2">
      <c r="A32" s="258" t="s">
        <v>2191</v>
      </c>
      <c r="B32" s="259"/>
      <c r="C32" s="259"/>
      <c r="D32" s="259"/>
      <c r="E32" s="259"/>
      <c r="F32" s="259"/>
      <c r="G32" s="284"/>
    </row>
    <row r="33" spans="1:7" s="217" customFormat="1" ht="13.5" customHeight="1">
      <c r="A33" s="234" t="s">
        <v>894</v>
      </c>
      <c r="B33" s="235" t="s">
        <v>2192</v>
      </c>
      <c r="C33" s="249">
        <f>SUM(C34:C38)</f>
        <v>0</v>
      </c>
      <c r="D33" s="249"/>
      <c r="E33" s="236"/>
      <c r="F33" s="280"/>
      <c r="G33" s="276"/>
    </row>
    <row r="34" spans="1:7" s="219" customFormat="1" ht="13.5" customHeight="1">
      <c r="A34" s="252" t="s">
        <v>898</v>
      </c>
      <c r="B34" s="238" t="s">
        <v>2193</v>
      </c>
      <c r="C34" s="240">
        <f>IF(F34=100%,'数据-取费表'!M16-SUMIF('数据-取费表'!C:C,"公共配套",'数据-取费表'!M:M),'数据-取费表'!O16-SUMIF('数据-取费表'!C:C,"公共配套",'数据-取费表'!O:O))</f>
        <v>0</v>
      </c>
      <c r="D34" s="240"/>
      <c r="E34" s="240"/>
      <c r="F34" s="274">
        <f>IF('数据-取费表'!B24=0,1,'数据-取费表'!N16)</f>
        <v>1</v>
      </c>
      <c r="G34" s="270" t="s">
        <v>2194</v>
      </c>
    </row>
    <row r="35" spans="1:7" ht="13.5" customHeight="1">
      <c r="A35" s="252" t="s">
        <v>900</v>
      </c>
      <c r="B35" s="238" t="s">
        <v>2195</v>
      </c>
      <c r="C35" s="240">
        <f>ROUND(C34*F35,0)</f>
        <v>0</v>
      </c>
      <c r="D35" s="240"/>
      <c r="E35" s="240"/>
      <c r="F35" s="285">
        <f>'数据-取费表'!B33</f>
        <v>0</v>
      </c>
      <c r="G35" s="270" t="s">
        <v>2196</v>
      </c>
    </row>
    <row r="36" spans="1:7" ht="24">
      <c r="A36" s="252" t="s">
        <v>902</v>
      </c>
      <c r="B36" s="238" t="s">
        <v>2197</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2198</v>
      </c>
    </row>
    <row r="37" spans="1:7" s="219" customFormat="1" ht="13.5" customHeight="1">
      <c r="A37" s="252" t="s">
        <v>942</v>
      </c>
      <c r="B37" s="238" t="s">
        <v>2199</v>
      </c>
      <c r="C37" s="257">
        <f>ROUND(E37*D37*F34/10000,0)</f>
        <v>0</v>
      </c>
      <c r="D37" s="240">
        <f>'数据-汇总表'!E3</f>
        <v>0</v>
      </c>
      <c r="E37" s="257">
        <f>'数据-取费表'!B35</f>
        <v>0</v>
      </c>
      <c r="F37" s="285"/>
      <c r="G37" s="287" t="s">
        <v>2200</v>
      </c>
    </row>
    <row r="38" spans="1:7" ht="13.5" customHeight="1">
      <c r="A38" s="252" t="s">
        <v>964</v>
      </c>
      <c r="B38" s="238" t="s">
        <v>2158</v>
      </c>
      <c r="C38" s="240">
        <f>ROUND(C34*F38,0)</f>
        <v>0</v>
      </c>
      <c r="D38" s="240"/>
      <c r="E38" s="240"/>
      <c r="F38" s="285">
        <f>'数据-取费表'!B36</f>
        <v>0</v>
      </c>
      <c r="G38" s="270" t="s">
        <v>2196</v>
      </c>
    </row>
    <row r="39" spans="1:7" s="217" customFormat="1" ht="13.5" customHeight="1">
      <c r="A39" s="248" t="s">
        <v>1580</v>
      </c>
      <c r="B39" s="235" t="s">
        <v>2168</v>
      </c>
      <c r="C39" s="249">
        <f>ROUND(C33*F20,0)</f>
        <v>0</v>
      </c>
      <c r="D39" s="249"/>
      <c r="E39" s="249"/>
      <c r="F39" s="274"/>
      <c r="G39" s="275" t="s">
        <v>2201</v>
      </c>
    </row>
    <row r="40" spans="1:7" s="217" customFormat="1" ht="13.5" customHeight="1">
      <c r="A40" s="248" t="s">
        <v>1617</v>
      </c>
      <c r="B40" s="235" t="s">
        <v>2170</v>
      </c>
      <c r="C40" s="250">
        <f>F21</f>
        <v>0</v>
      </c>
      <c r="D40" s="251" t="s">
        <v>2202</v>
      </c>
      <c r="E40" s="249"/>
      <c r="F40" s="274"/>
      <c r="G40" s="276" t="s">
        <v>2203</v>
      </c>
    </row>
    <row r="41" spans="1:7" s="217" customFormat="1" ht="13.5" customHeight="1">
      <c r="A41" s="248" t="s">
        <v>1622</v>
      </c>
      <c r="B41" s="235" t="s">
        <v>2173</v>
      </c>
      <c r="C41" s="249" t="e">
        <f ca="1">ROUND(SUM(C42:C43),0)</f>
        <v>#VALUE!</v>
      </c>
      <c r="D41" s="250" t="e">
        <f ca="1">C44</f>
        <v>#VALUE!</v>
      </c>
      <c r="E41" s="251" t="s">
        <v>2202</v>
      </c>
      <c r="F41" s="277"/>
      <c r="G41" s="275" t="str">
        <f>IF('数据-取费表'!B22&lt;=1,"单利计息","复利计息")</f>
        <v>单利计息</v>
      </c>
    </row>
    <row r="42" spans="1:7" ht="13.5" customHeight="1">
      <c r="A42" s="252" t="s">
        <v>898</v>
      </c>
      <c r="B42" s="238" t="s">
        <v>2174</v>
      </c>
      <c r="C42" s="253" t="e">
        <f ca="1">ROUND(IF('数据-取费表'!B22&lt;=1,C33*F22*'数据-取费表'!B21/2,C33*(POWER((1+F22),'数据-取费表'!B21/2)-1)),0)</f>
        <v>#VALUE!</v>
      </c>
      <c r="D42" s="253"/>
      <c r="E42" s="253"/>
      <c r="F42" s="278"/>
      <c r="G42" s="3004" t="s">
        <v>2204</v>
      </c>
    </row>
    <row r="43" spans="1:7" ht="13.5" customHeight="1">
      <c r="A43" s="252" t="s">
        <v>900</v>
      </c>
      <c r="B43" s="238" t="s">
        <v>2176</v>
      </c>
      <c r="C43" s="253" t="e">
        <f ca="1">ROUND(IF('数据-取费表'!B22&lt;=1,C39*F22*'数据-取费表'!B21/2,C39*(POWER((1+F22),'数据-取费表'!B21/2)-1)),0)</f>
        <v>#VALUE!</v>
      </c>
      <c r="D43" s="253"/>
      <c r="E43" s="253"/>
      <c r="F43" s="278"/>
      <c r="G43" s="3005"/>
    </row>
    <row r="44" spans="1:7" ht="13.5" customHeight="1">
      <c r="A44" s="252" t="s">
        <v>902</v>
      </c>
      <c r="B44" s="238" t="s">
        <v>2178</v>
      </c>
      <c r="C44" s="253" t="e">
        <f ca="1">ROUND(IF('数据-取费表'!B22&lt;=1,C40*F22*'数据-取费表'!B21/2,C40*(POWER((1+F22),'数据-取费表'!B21/2)-1)),4)</f>
        <v>#VALUE!</v>
      </c>
      <c r="D44" s="253"/>
      <c r="E44" s="253"/>
      <c r="F44" s="278"/>
      <c r="G44" s="3006"/>
    </row>
    <row r="45" spans="1:7" s="217" customFormat="1" ht="13.5" customHeight="1">
      <c r="A45" s="248" t="s">
        <v>1634</v>
      </c>
      <c r="B45" s="254" t="s">
        <v>2181</v>
      </c>
      <c r="C45" s="255" t="e">
        <f>C46</f>
        <v>#DIV/0!</v>
      </c>
      <c r="D45" s="250" t="e">
        <f>C47</f>
        <v>#DIV/0!</v>
      </c>
      <c r="E45" s="251" t="s">
        <v>2202</v>
      </c>
      <c r="F45" s="277"/>
      <c r="G45" s="283" t="s">
        <v>2205</v>
      </c>
    </row>
    <row r="46" spans="1:7" s="217" customFormat="1" ht="13.5" customHeight="1">
      <c r="A46" s="252" t="s">
        <v>898</v>
      </c>
      <c r="B46" s="256" t="s">
        <v>2206</v>
      </c>
      <c r="C46" s="257" t="e">
        <f>ROUND((C33+C39)*F27,0)</f>
        <v>#DIV/0!</v>
      </c>
      <c r="D46" s="250"/>
      <c r="E46" s="251"/>
      <c r="F46" s="277"/>
      <c r="G46" s="283"/>
    </row>
    <row r="47" spans="1:7" s="217" customFormat="1" ht="13.5" customHeight="1">
      <c r="A47" s="252" t="s">
        <v>900</v>
      </c>
      <c r="B47" s="256" t="s">
        <v>2207</v>
      </c>
      <c r="C47" s="253" t="e">
        <f>ROUND(C40*F27,4)</f>
        <v>#DIV/0!</v>
      </c>
      <c r="D47" s="250"/>
      <c r="E47" s="251"/>
      <c r="F47" s="277"/>
      <c r="G47" s="283"/>
    </row>
    <row r="48" spans="1:7" s="217" customFormat="1" ht="13.5" customHeight="1">
      <c r="A48" s="248" t="s">
        <v>1643</v>
      </c>
      <c r="B48" s="235" t="s">
        <v>2186</v>
      </c>
      <c r="C48" s="250">
        <f>F30</f>
        <v>0</v>
      </c>
      <c r="D48" s="251" t="s">
        <v>2208</v>
      </c>
      <c r="E48" s="249"/>
      <c r="F48" s="277"/>
      <c r="G48" s="276" t="s">
        <v>2209</v>
      </c>
    </row>
    <row r="49" spans="1:7" ht="16.5" customHeight="1">
      <c r="A49" s="248" t="s">
        <v>2185</v>
      </c>
      <c r="B49" s="235" t="s">
        <v>2210</v>
      </c>
      <c r="C49" s="249" t="e">
        <f ca="1">ROUND((C33+C39+C41+C45)/(1-C40-D41-D45-C48/(1+'数据-取费表'!B42)),0)</f>
        <v>#VALUE!</v>
      </c>
      <c r="D49" s="249"/>
      <c r="E49" s="249"/>
      <c r="F49" s="255"/>
      <c r="G49" s="276" t="s">
        <v>2211</v>
      </c>
    </row>
    <row r="50" spans="1:7" s="219" customFormat="1" ht="24">
      <c r="A50" s="248" t="s">
        <v>2212</v>
      </c>
      <c r="B50" s="235" t="s">
        <v>2213</v>
      </c>
      <c r="C50" s="249"/>
      <c r="D50" s="249"/>
      <c r="E50" s="249"/>
      <c r="F50" s="255" t="e">
        <f>IF('数据-取费表'!B24=0,'数据-取费表'!N16,1)</f>
        <v>#DIV/0!</v>
      </c>
      <c r="G50" s="283" t="s">
        <v>2214</v>
      </c>
    </row>
    <row r="51" spans="1:7" ht="16.5" customHeight="1">
      <c r="A51" s="248" t="s">
        <v>2215</v>
      </c>
      <c r="B51" s="235" t="s">
        <v>2216</v>
      </c>
      <c r="C51" s="249" t="e">
        <f ca="1">ROUND(C49*F50,0)</f>
        <v>#VALUE!</v>
      </c>
      <c r="D51" s="249"/>
      <c r="E51" s="249"/>
      <c r="F51" s="255"/>
      <c r="G51" s="276" t="s">
        <v>2217</v>
      </c>
    </row>
    <row r="52" spans="1:7" s="216" customFormat="1" ht="16.2">
      <c r="A52" s="260" t="s">
        <v>2218</v>
      </c>
      <c r="B52" s="261"/>
      <c r="C52" s="262" t="e">
        <f ca="1">C31+C51</f>
        <v>#VALUE!</v>
      </c>
      <c r="D52" s="261"/>
      <c r="E52" s="261"/>
      <c r="F52" s="261"/>
      <c r="G52" s="289"/>
    </row>
    <row r="55" spans="1:7" ht="15">
      <c r="B55" s="263" t="s">
        <v>2219</v>
      </c>
      <c r="C55" s="264"/>
    </row>
    <row r="56" spans="1:7">
      <c r="B56" s="265" t="s">
        <v>2220</v>
      </c>
      <c r="C56" s="266" t="e">
        <f ca="1">ROUND(C51/C52,3)</f>
        <v>#VALUE!</v>
      </c>
    </row>
    <row r="57" spans="1:7">
      <c r="B57" s="265" t="s">
        <v>2221</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8"/>
      <c r="C2" s="2838"/>
      <c r="D2" s="2838"/>
      <c r="E2" s="2838"/>
    </row>
    <row r="3" spans="1:5" ht="17.399999999999999">
      <c r="A3" s="2839" t="str">
        <f>IF(项目基本情况!B9="房地产市场价值","估价结果一览表（市场价值不需“结果表-1”）","估价结果一览表")</f>
        <v>估价结果一览表</v>
      </c>
      <c r="B3" s="2839"/>
      <c r="C3" s="2839"/>
      <c r="D3" s="2839"/>
      <c r="E3" s="2839"/>
    </row>
    <row r="4" spans="1:5" ht="17.399999999999999">
      <c r="A4" s="2781"/>
      <c r="B4" s="2840" t="s">
        <v>95</v>
      </c>
      <c r="C4" s="2840"/>
      <c r="D4" s="2840"/>
      <c r="E4" s="2781"/>
    </row>
    <row r="5" spans="1:5" ht="15.6">
      <c r="B5" s="2832" t="s">
        <v>96</v>
      </c>
      <c r="C5" s="2782" t="s">
        <v>97</v>
      </c>
      <c r="D5" s="2783" t="e">
        <f ca="1">结果表!H101</f>
        <v>#REF!</v>
      </c>
    </row>
    <row r="6" spans="1:5" ht="15.6">
      <c r="B6" s="2832"/>
      <c r="C6" s="2782" t="s">
        <v>98</v>
      </c>
      <c r="D6" s="2783" t="e">
        <f ca="1">NUMBERSTRING(INT(D5*10000),2)&amp;"元整"</f>
        <v>#REF!</v>
      </c>
    </row>
    <row r="7" spans="1:5" ht="15.6">
      <c r="B7" s="2833"/>
      <c r="C7" s="2784" t="s">
        <v>99</v>
      </c>
      <c r="D7" s="2785" t="e">
        <f ca="1">结果表!H102</f>
        <v>#REF!</v>
      </c>
    </row>
    <row r="8" spans="1:5" ht="15.6">
      <c r="B8" s="2834" t="str">
        <f>结果表!E103</f>
        <v>2.估价师知悉的法定优先受偿款</v>
      </c>
      <c r="C8" s="2786" t="s">
        <v>100</v>
      </c>
      <c r="D8" s="2785">
        <f>结果表!H103</f>
        <v>0</v>
      </c>
    </row>
    <row r="9" spans="1:5" ht="15.6">
      <c r="B9" s="2836"/>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1" t="str">
        <f>结果表!E107</f>
        <v>3.房地产抵押价值</v>
      </c>
      <c r="C13" s="2790" t="s">
        <v>97</v>
      </c>
      <c r="D13" s="2791" t="e">
        <f ca="1">结果表!H107</f>
        <v>#REF!</v>
      </c>
    </row>
    <row r="14" spans="1:5" ht="15.6">
      <c r="B14" s="2832"/>
      <c r="C14" s="2782" t="s">
        <v>98</v>
      </c>
      <c r="D14" s="2783" t="e">
        <f ca="1">NUMBERSTRING(INT(D13*10000),2)&amp;"元整"</f>
        <v>#REF!</v>
      </c>
    </row>
    <row r="15" spans="1:5" ht="15.6">
      <c r="B15" s="2833"/>
      <c r="C15" s="2784" t="s">
        <v>99</v>
      </c>
      <c r="D15" s="2792" t="e">
        <f ca="1">结果表!H108</f>
        <v>#REF!</v>
      </c>
    </row>
    <row r="16" spans="1:5" ht="15.6">
      <c r="B16" s="2834" t="str">
        <f>结果表!E109</f>
        <v>——</v>
      </c>
      <c r="C16" s="2790" t="s">
        <v>97</v>
      </c>
      <c r="D16" s="2793" t="str">
        <f>结果表!H109</f>
        <v>——</v>
      </c>
    </row>
    <row r="17" spans="1:5" ht="15.6">
      <c r="B17" s="2835"/>
      <c r="C17" s="2782" t="s">
        <v>98</v>
      </c>
      <c r="D17" s="2783" t="e">
        <f>NUMBERSTRING(INT(D16*10000),2)&amp;"元整"</f>
        <v>#VALUE!</v>
      </c>
    </row>
    <row r="18" spans="1:5" ht="15.6">
      <c r="B18" s="2836"/>
      <c r="C18" s="2784" t="s">
        <v>99</v>
      </c>
      <c r="D18" s="2792" t="str">
        <f>结果表!H110</f>
        <v>——</v>
      </c>
    </row>
    <row r="19" spans="1:5" ht="15.6">
      <c r="B19" s="2831" t="str">
        <f>结果表!E111</f>
        <v>——</v>
      </c>
      <c r="C19" s="2790" t="s">
        <v>97</v>
      </c>
      <c r="D19" s="2785" t="str">
        <f>结果表!H111</f>
        <v>——</v>
      </c>
    </row>
    <row r="20" spans="1:5" ht="15.6">
      <c r="B20" s="2832"/>
      <c r="C20" s="2782" t="s">
        <v>98</v>
      </c>
      <c r="D20" s="2783" t="e">
        <f>NUMBERSTRING(INT(D19*10000),2)&amp;"元整"</f>
        <v>#VALUE!</v>
      </c>
    </row>
    <row r="21" spans="1:5" ht="15.6">
      <c r="B21" s="2837"/>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44904</v>
      </c>
      <c r="B1" s="151" t="s">
        <v>2222</v>
      </c>
      <c r="C1" s="152"/>
      <c r="D1" s="152"/>
      <c r="E1" s="152"/>
      <c r="F1" s="152"/>
      <c r="G1" s="152"/>
      <c r="H1" s="152"/>
      <c r="I1" s="152"/>
      <c r="J1" s="176"/>
      <c r="K1" s="152" t="s">
        <v>2026</v>
      </c>
      <c r="L1" s="152"/>
      <c r="M1" s="152"/>
      <c r="N1" s="152"/>
      <c r="O1" s="152"/>
      <c r="P1" s="152"/>
      <c r="Q1" s="176"/>
      <c r="R1" s="3132" t="s">
        <v>2028</v>
      </c>
      <c r="S1" s="3131"/>
      <c r="T1" s="3131"/>
      <c r="U1" s="3131"/>
      <c r="V1" s="3131"/>
      <c r="W1" s="3131"/>
      <c r="X1" s="176"/>
      <c r="Y1" s="3132" t="s">
        <v>2029</v>
      </c>
      <c r="Z1" s="3131"/>
      <c r="AA1" s="3131"/>
      <c r="AB1" s="3131"/>
      <c r="AC1" s="3131"/>
      <c r="AD1" s="3131"/>
    </row>
    <row r="2" spans="1:30" s="143" customFormat="1">
      <c r="B2" s="153"/>
      <c r="C2" s="154"/>
      <c r="D2" s="155" t="s">
        <v>2223</v>
      </c>
      <c r="E2" s="172" t="s">
        <v>1564</v>
      </c>
      <c r="F2" s="172" t="s">
        <v>1770</v>
      </c>
      <c r="G2" s="172" t="s">
        <v>1771</v>
      </c>
      <c r="H2" s="172" t="s">
        <v>1772</v>
      </c>
      <c r="I2" s="172" t="s">
        <v>288</v>
      </c>
      <c r="J2" s="177"/>
      <c r="K2" s="155" t="s">
        <v>2223</v>
      </c>
      <c r="L2" s="172" t="s">
        <v>1564</v>
      </c>
      <c r="M2" s="172" t="s">
        <v>1770</v>
      </c>
      <c r="N2" s="172" t="s">
        <v>1771</v>
      </c>
      <c r="O2" s="172" t="s">
        <v>1772</v>
      </c>
      <c r="P2" s="172" t="s">
        <v>288</v>
      </c>
      <c r="Q2" s="177"/>
      <c r="R2" s="155" t="s">
        <v>2223</v>
      </c>
      <c r="S2" s="172" t="s">
        <v>1564</v>
      </c>
      <c r="T2" s="172" t="s">
        <v>1770</v>
      </c>
      <c r="U2" s="172" t="s">
        <v>1771</v>
      </c>
      <c r="V2" s="172" t="s">
        <v>1772</v>
      </c>
      <c r="W2" s="172" t="s">
        <v>288</v>
      </c>
      <c r="X2" s="177"/>
      <c r="Y2" s="155" t="s">
        <v>2223</v>
      </c>
      <c r="Z2" s="172" t="s">
        <v>1564</v>
      </c>
      <c r="AA2" s="172" t="s">
        <v>1770</v>
      </c>
      <c r="AB2" s="172" t="s">
        <v>1771</v>
      </c>
      <c r="AC2" s="172" t="s">
        <v>1772</v>
      </c>
      <c r="AD2" s="172" t="s">
        <v>288</v>
      </c>
    </row>
    <row r="3" spans="1:30" s="144" customFormat="1" ht="13.2">
      <c r="A3" s="156" t="s">
        <v>2033</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2034</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2035</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2036</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2037</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2038</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2039</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2040</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2041</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2042</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1344</v>
      </c>
    </row>
    <row r="18" spans="1:30" s="142" customFormat="1" ht="13.2">
      <c r="B18" s="151" t="s">
        <v>2224</v>
      </c>
      <c r="C18" s="152"/>
      <c r="D18" s="152"/>
      <c r="E18" s="152"/>
      <c r="F18" s="152"/>
      <c r="G18" s="152"/>
      <c r="H18" s="152"/>
      <c r="I18" s="152"/>
      <c r="J18" s="176"/>
      <c r="K18" s="152" t="s">
        <v>2026</v>
      </c>
      <c r="L18" s="152"/>
      <c r="M18" s="152"/>
      <c r="N18" s="152"/>
      <c r="O18" s="152"/>
      <c r="P18" s="152"/>
      <c r="Q18" s="176"/>
      <c r="R18" s="3132" t="s">
        <v>2028</v>
      </c>
      <c r="S18" s="3131"/>
      <c r="T18" s="3131"/>
      <c r="U18" s="3131"/>
      <c r="V18" s="3131"/>
      <c r="W18" s="3131"/>
      <c r="X18" s="176"/>
      <c r="Y18" s="3132" t="s">
        <v>2029</v>
      </c>
      <c r="Z18" s="3131"/>
      <c r="AA18" s="3131"/>
      <c r="AB18" s="3131"/>
      <c r="AC18" s="3131"/>
      <c r="AD18" s="3131"/>
    </row>
    <row r="19" spans="1:30" s="143" customFormat="1">
      <c r="B19" s="153"/>
      <c r="C19" s="154"/>
      <c r="D19" s="155" t="s">
        <v>2223</v>
      </c>
      <c r="E19" s="172" t="s">
        <v>1564</v>
      </c>
      <c r="F19" s="172" t="s">
        <v>1770</v>
      </c>
      <c r="G19" s="172" t="s">
        <v>1771</v>
      </c>
      <c r="H19" s="172"/>
      <c r="I19" s="172" t="s">
        <v>288</v>
      </c>
      <c r="J19" s="177"/>
      <c r="K19" s="155" t="s">
        <v>2223</v>
      </c>
      <c r="L19" s="172" t="s">
        <v>1564</v>
      </c>
      <c r="M19" s="172" t="s">
        <v>1770</v>
      </c>
      <c r="N19" s="172" t="s">
        <v>1771</v>
      </c>
      <c r="O19" s="172"/>
      <c r="P19" s="172" t="s">
        <v>288</v>
      </c>
      <c r="Q19" s="177"/>
      <c r="R19" s="155" t="s">
        <v>2223</v>
      </c>
      <c r="S19" s="172" t="s">
        <v>1564</v>
      </c>
      <c r="T19" s="172" t="s">
        <v>1770</v>
      </c>
      <c r="U19" s="172" t="s">
        <v>1771</v>
      </c>
      <c r="V19" s="172"/>
      <c r="W19" s="172" t="s">
        <v>288</v>
      </c>
      <c r="X19" s="177"/>
      <c r="Y19" s="155" t="s">
        <v>2223</v>
      </c>
      <c r="Z19" s="172" t="s">
        <v>1564</v>
      </c>
      <c r="AA19" s="172" t="s">
        <v>1770</v>
      </c>
      <c r="AB19" s="172" t="s">
        <v>1771</v>
      </c>
      <c r="AC19" s="172"/>
      <c r="AD19" s="172" t="s">
        <v>288</v>
      </c>
    </row>
    <row r="20" spans="1:30" s="144" customFormat="1" ht="13.2">
      <c r="A20" s="156" t="s">
        <v>2033</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2034</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2035</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2036</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2037</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2038</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2039</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2040</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2041</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2042</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7" t="s">
        <v>2225</v>
      </c>
      <c r="B1" s="3147"/>
      <c r="C1" s="3147"/>
      <c r="D1" s="3147"/>
      <c r="E1" s="3147"/>
      <c r="F1" s="3147"/>
      <c r="G1" s="3148"/>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2226</v>
      </c>
      <c r="B2" s="114"/>
      <c r="C2" s="114"/>
      <c r="D2" s="114"/>
      <c r="E2" s="114"/>
      <c r="F2" s="114"/>
      <c r="G2" s="128" t="s">
        <v>2227</v>
      </c>
      <c r="I2" s="119" t="s">
        <v>2228</v>
      </c>
      <c r="J2" s="119" t="s">
        <v>2229</v>
      </c>
      <c r="K2" s="119" t="s">
        <v>2230</v>
      </c>
      <c r="L2" s="119" t="s">
        <v>2231</v>
      </c>
      <c r="M2" s="119" t="s">
        <v>2232</v>
      </c>
      <c r="N2" s="119" t="s">
        <v>2233</v>
      </c>
      <c r="O2" s="119" t="s">
        <v>2234</v>
      </c>
      <c r="P2" s="119" t="s">
        <v>2235</v>
      </c>
      <c r="Q2" s="119" t="s">
        <v>2236</v>
      </c>
      <c r="R2" s="119" t="s">
        <v>2237</v>
      </c>
      <c r="S2" s="119" t="s">
        <v>2238</v>
      </c>
      <c r="T2" s="119" t="s">
        <v>2239</v>
      </c>
    </row>
    <row r="3" spans="1:20" s="111" customFormat="1">
      <c r="A3" s="3149" t="s">
        <v>2240</v>
      </c>
      <c r="B3" s="115"/>
      <c r="C3" s="116" t="s">
        <v>1564</v>
      </c>
      <c r="D3" s="116" t="s">
        <v>1770</v>
      </c>
      <c r="E3" s="116" t="s">
        <v>1771</v>
      </c>
      <c r="F3" s="116" t="s">
        <v>1772</v>
      </c>
      <c r="G3" s="116" t="s">
        <v>288</v>
      </c>
      <c r="H3" s="129"/>
      <c r="I3" s="120" t="s">
        <v>2241</v>
      </c>
      <c r="J3" s="121" t="s">
        <v>2242</v>
      </c>
      <c r="K3" s="121" t="s">
        <v>2243</v>
      </c>
      <c r="L3" s="120" t="s">
        <v>2244</v>
      </c>
      <c r="M3" s="120" t="s">
        <v>2245</v>
      </c>
      <c r="N3" s="120" t="s">
        <v>2246</v>
      </c>
      <c r="O3" s="120" t="s">
        <v>2247</v>
      </c>
      <c r="P3" s="120" t="s">
        <v>2248</v>
      </c>
      <c r="Q3" s="120" t="s">
        <v>2249</v>
      </c>
      <c r="R3" s="120" t="s">
        <v>2250</v>
      </c>
      <c r="S3" s="120" t="s">
        <v>2251</v>
      </c>
      <c r="T3" s="120" t="s">
        <v>2252</v>
      </c>
    </row>
    <row r="4" spans="1:20" s="111" customFormat="1">
      <c r="A4" s="3150"/>
      <c r="B4" s="117" t="s">
        <v>2253</v>
      </c>
      <c r="C4" s="117" t="s">
        <v>2254</v>
      </c>
      <c r="D4" s="117" t="s">
        <v>2254</v>
      </c>
      <c r="E4" s="117" t="s">
        <v>2254</v>
      </c>
      <c r="F4" s="130" t="s">
        <v>2254</v>
      </c>
      <c r="G4" s="130" t="s">
        <v>2254</v>
      </c>
      <c r="H4" s="129"/>
      <c r="I4" s="121" t="s">
        <v>2255</v>
      </c>
      <c r="J4" s="121" t="s">
        <v>2256</v>
      </c>
      <c r="K4" s="121" t="s">
        <v>2257</v>
      </c>
      <c r="L4" s="120" t="s">
        <v>2258</v>
      </c>
      <c r="M4" s="120" t="s">
        <v>2259</v>
      </c>
      <c r="N4" s="120" t="s">
        <v>2260</v>
      </c>
      <c r="O4" s="120" t="s">
        <v>2261</v>
      </c>
      <c r="P4" s="120" t="s">
        <v>2262</v>
      </c>
      <c r="Q4" s="120" t="s">
        <v>2263</v>
      </c>
      <c r="R4" s="120" t="s">
        <v>2264</v>
      </c>
      <c r="S4" s="120" t="s">
        <v>2265</v>
      </c>
      <c r="T4" s="120" t="s">
        <v>2266</v>
      </c>
    </row>
    <row r="5" spans="1:20">
      <c r="A5" s="118" t="s">
        <v>232</v>
      </c>
      <c r="B5" s="119" t="s">
        <v>2228</v>
      </c>
      <c r="C5" s="119">
        <v>34550</v>
      </c>
      <c r="D5" s="119">
        <v>34470</v>
      </c>
      <c r="E5" s="119">
        <v>34470</v>
      </c>
      <c r="F5" s="119">
        <v>13400</v>
      </c>
      <c r="G5" s="119">
        <v>25450</v>
      </c>
      <c r="H5" s="129"/>
      <c r="I5" s="120" t="s">
        <v>2267</v>
      </c>
      <c r="J5" s="121" t="s">
        <v>2268</v>
      </c>
      <c r="K5" s="121" t="s">
        <v>2269</v>
      </c>
      <c r="L5" s="120" t="s">
        <v>2270</v>
      </c>
      <c r="M5" s="120" t="s">
        <v>2271</v>
      </c>
      <c r="N5" s="120" t="s">
        <v>2272</v>
      </c>
      <c r="O5" s="120" t="s">
        <v>2273</v>
      </c>
      <c r="P5" s="120" t="s">
        <v>2274</v>
      </c>
      <c r="Q5" s="120" t="s">
        <v>2275</v>
      </c>
      <c r="R5" s="120" t="s">
        <v>2276</v>
      </c>
      <c r="S5" s="120" t="s">
        <v>2277</v>
      </c>
      <c r="T5" s="120" t="s">
        <v>2278</v>
      </c>
    </row>
    <row r="6" spans="1:20">
      <c r="A6" s="120" t="s">
        <v>232</v>
      </c>
      <c r="B6" s="120" t="s">
        <v>2241</v>
      </c>
      <c r="C6" s="120">
        <v>36990</v>
      </c>
      <c r="D6" s="120">
        <v>36850</v>
      </c>
      <c r="E6" s="120">
        <v>36850</v>
      </c>
      <c r="F6" s="120">
        <v>14590</v>
      </c>
      <c r="G6" s="120">
        <v>27450</v>
      </c>
      <c r="H6" s="129"/>
      <c r="I6" s="123" t="s">
        <v>2279</v>
      </c>
      <c r="J6" s="121" t="s">
        <v>2280</v>
      </c>
      <c r="K6" s="121" t="s">
        <v>2281</v>
      </c>
      <c r="L6" s="120" t="s">
        <v>2282</v>
      </c>
      <c r="M6" s="120" t="s">
        <v>2283</v>
      </c>
      <c r="N6" s="120" t="s">
        <v>2284</v>
      </c>
      <c r="O6" s="120" t="s">
        <v>2285</v>
      </c>
      <c r="P6" s="120" t="s">
        <v>2286</v>
      </c>
      <c r="Q6" s="120" t="s">
        <v>2287</v>
      </c>
      <c r="R6" s="120" t="s">
        <v>2288</v>
      </c>
      <c r="S6" s="120" t="s">
        <v>2289</v>
      </c>
      <c r="T6" s="120" t="s">
        <v>2290</v>
      </c>
    </row>
    <row r="7" spans="1:20">
      <c r="A7" s="120" t="s">
        <v>232</v>
      </c>
      <c r="B7" s="121" t="s">
        <v>2255</v>
      </c>
      <c r="C7" s="120">
        <v>34850</v>
      </c>
      <c r="D7" s="120">
        <v>34690</v>
      </c>
      <c r="E7" s="120">
        <v>34690</v>
      </c>
      <c r="F7" s="120">
        <v>14360</v>
      </c>
      <c r="G7" s="120">
        <v>25620</v>
      </c>
      <c r="H7" s="129"/>
      <c r="J7" s="121" t="s">
        <v>2291</v>
      </c>
      <c r="K7" s="121" t="s">
        <v>2292</v>
      </c>
      <c r="L7" s="120" t="s">
        <v>2293</v>
      </c>
      <c r="M7" s="120" t="s">
        <v>2294</v>
      </c>
      <c r="N7" s="120" t="s">
        <v>2295</v>
      </c>
      <c r="O7" s="120" t="s">
        <v>2296</v>
      </c>
      <c r="P7" s="120" t="s">
        <v>2297</v>
      </c>
      <c r="Q7" s="120" t="s">
        <v>2298</v>
      </c>
      <c r="R7" s="120" t="s">
        <v>2299</v>
      </c>
      <c r="S7" s="120" t="s">
        <v>2300</v>
      </c>
      <c r="T7" s="120" t="s">
        <v>2301</v>
      </c>
    </row>
    <row r="8" spans="1:20">
      <c r="A8" s="120" t="s">
        <v>232</v>
      </c>
      <c r="B8" s="120" t="s">
        <v>2267</v>
      </c>
      <c r="C8" s="120">
        <v>32630</v>
      </c>
      <c r="D8" s="120">
        <v>32510</v>
      </c>
      <c r="E8" s="120">
        <v>32510</v>
      </c>
      <c r="F8" s="120">
        <v>13300</v>
      </c>
      <c r="G8" s="120">
        <v>24010</v>
      </c>
      <c r="H8" s="129"/>
      <c r="J8" s="121" t="s">
        <v>2302</v>
      </c>
      <c r="K8" s="121" t="s">
        <v>2303</v>
      </c>
      <c r="L8" s="120" t="s">
        <v>2304</v>
      </c>
      <c r="M8" s="120" t="s">
        <v>2305</v>
      </c>
      <c r="N8" s="120" t="s">
        <v>2306</v>
      </c>
      <c r="O8" s="120" t="s">
        <v>2307</v>
      </c>
      <c r="P8" s="120" t="s">
        <v>2308</v>
      </c>
      <c r="Q8" s="120" t="s">
        <v>2309</v>
      </c>
      <c r="R8" s="120" t="s">
        <v>2310</v>
      </c>
      <c r="S8" s="120" t="s">
        <v>2311</v>
      </c>
      <c r="T8" s="124" t="s">
        <v>2312</v>
      </c>
    </row>
    <row r="9" spans="1:20">
      <c r="A9" s="122" t="s">
        <v>232</v>
      </c>
      <c r="B9" s="123" t="s">
        <v>2279</v>
      </c>
      <c r="C9" s="124">
        <v>36370</v>
      </c>
      <c r="D9" s="124">
        <v>36210</v>
      </c>
      <c r="E9" s="124">
        <v>36210</v>
      </c>
      <c r="F9" s="124"/>
      <c r="G9" s="124">
        <v>26740</v>
      </c>
      <c r="H9" s="129"/>
      <c r="J9" s="121" t="s">
        <v>2313</v>
      </c>
      <c r="K9" s="121" t="s">
        <v>2314</v>
      </c>
      <c r="L9" s="120" t="s">
        <v>2315</v>
      </c>
      <c r="M9" s="120" t="s">
        <v>2316</v>
      </c>
      <c r="N9" s="120" t="s">
        <v>2317</v>
      </c>
      <c r="O9" s="120" t="s">
        <v>2318</v>
      </c>
      <c r="P9" s="120" t="s">
        <v>2319</v>
      </c>
      <c r="Q9" s="120" t="s">
        <v>2320</v>
      </c>
      <c r="R9" s="120" t="s">
        <v>2321</v>
      </c>
      <c r="S9" s="120" t="s">
        <v>2322</v>
      </c>
    </row>
    <row r="10" spans="1:20">
      <c r="A10" s="118" t="s">
        <v>243</v>
      </c>
      <c r="B10" s="119" t="s">
        <v>2229</v>
      </c>
      <c r="C10" s="120">
        <v>32350</v>
      </c>
      <c r="D10" s="120">
        <v>31430</v>
      </c>
      <c r="E10" s="120">
        <v>31320</v>
      </c>
      <c r="F10" s="120">
        <v>10850</v>
      </c>
      <c r="G10" s="120">
        <v>22860</v>
      </c>
      <c r="H10" s="129"/>
      <c r="J10" s="121" t="s">
        <v>2323</v>
      </c>
      <c r="K10" s="121" t="s">
        <v>2324</v>
      </c>
      <c r="L10" s="120" t="s">
        <v>2325</v>
      </c>
      <c r="M10" s="120" t="s">
        <v>2326</v>
      </c>
      <c r="N10" s="120" t="s">
        <v>2327</v>
      </c>
      <c r="O10" s="120" t="s">
        <v>2328</v>
      </c>
      <c r="P10" s="120" t="s">
        <v>2329</v>
      </c>
      <c r="Q10" s="120" t="s">
        <v>2330</v>
      </c>
      <c r="R10" s="120" t="s">
        <v>2331</v>
      </c>
      <c r="S10" s="120" t="s">
        <v>2332</v>
      </c>
    </row>
    <row r="11" spans="1:20">
      <c r="A11" s="120" t="s">
        <v>243</v>
      </c>
      <c r="B11" s="121" t="s">
        <v>2242</v>
      </c>
      <c r="C11" s="120">
        <v>31590</v>
      </c>
      <c r="D11" s="120">
        <v>29490</v>
      </c>
      <c r="E11" s="120">
        <v>28700</v>
      </c>
      <c r="F11" s="120">
        <v>10410</v>
      </c>
      <c r="G11" s="120">
        <v>21460</v>
      </c>
      <c r="H11" s="129"/>
      <c r="J11" s="121" t="s">
        <v>2333</v>
      </c>
      <c r="K11" s="121" t="s">
        <v>2334</v>
      </c>
      <c r="L11" s="120" t="s">
        <v>2335</v>
      </c>
      <c r="M11" s="120" t="s">
        <v>2336</v>
      </c>
      <c r="N11" s="120" t="s">
        <v>2337</v>
      </c>
      <c r="O11" s="120" t="s">
        <v>2338</v>
      </c>
      <c r="P11" s="120" t="s">
        <v>2339</v>
      </c>
      <c r="Q11" s="120" t="s">
        <v>2340</v>
      </c>
      <c r="R11" s="120" t="s">
        <v>2341</v>
      </c>
      <c r="S11" s="120" t="s">
        <v>2342</v>
      </c>
    </row>
    <row r="12" spans="1:20">
      <c r="A12" s="120" t="s">
        <v>243</v>
      </c>
      <c r="B12" s="121" t="s">
        <v>2256</v>
      </c>
      <c r="C12" s="120">
        <v>29640</v>
      </c>
      <c r="D12" s="120">
        <v>27550</v>
      </c>
      <c r="E12" s="120">
        <v>28010</v>
      </c>
      <c r="F12" s="120">
        <v>8730</v>
      </c>
      <c r="G12" s="120">
        <v>20050</v>
      </c>
      <c r="H12" s="129"/>
      <c r="J12" s="121" t="s">
        <v>2343</v>
      </c>
      <c r="K12" s="121" t="s">
        <v>2344</v>
      </c>
      <c r="L12" s="120" t="s">
        <v>2345</v>
      </c>
      <c r="M12" s="120" t="s">
        <v>2346</v>
      </c>
      <c r="N12" s="120" t="s">
        <v>2347</v>
      </c>
      <c r="O12" s="120" t="s">
        <v>2348</v>
      </c>
      <c r="P12" s="120" t="s">
        <v>2349</v>
      </c>
      <c r="Q12" s="120" t="s">
        <v>2350</v>
      </c>
      <c r="R12" s="120" t="s">
        <v>2351</v>
      </c>
      <c r="S12" s="120" t="s">
        <v>2352</v>
      </c>
    </row>
    <row r="13" spans="1:20">
      <c r="A13" s="120" t="s">
        <v>243</v>
      </c>
      <c r="B13" s="121" t="s">
        <v>2268</v>
      </c>
      <c r="C13" s="120">
        <v>29680</v>
      </c>
      <c r="D13" s="120">
        <v>27660</v>
      </c>
      <c r="E13" s="120">
        <v>28210</v>
      </c>
      <c r="F13" s="120">
        <v>9590</v>
      </c>
      <c r="G13" s="120">
        <v>20120</v>
      </c>
      <c r="H13" s="129"/>
      <c r="J13" s="121" t="s">
        <v>2353</v>
      </c>
      <c r="K13" s="121" t="s">
        <v>2354</v>
      </c>
      <c r="L13" s="120" t="s">
        <v>2355</v>
      </c>
      <c r="M13" s="120" t="s">
        <v>2356</v>
      </c>
      <c r="N13" s="120" t="s">
        <v>2357</v>
      </c>
      <c r="O13" s="120" t="s">
        <v>2358</v>
      </c>
      <c r="P13" s="120" t="s">
        <v>2359</v>
      </c>
      <c r="Q13" s="120" t="s">
        <v>2360</v>
      </c>
      <c r="R13" s="120" t="s">
        <v>2361</v>
      </c>
      <c r="S13" s="120" t="s">
        <v>2362</v>
      </c>
    </row>
    <row r="14" spans="1:20">
      <c r="A14" s="120" t="s">
        <v>243</v>
      </c>
      <c r="B14" s="121" t="s">
        <v>2280</v>
      </c>
      <c r="C14" s="120">
        <v>30520</v>
      </c>
      <c r="D14" s="120">
        <v>29510</v>
      </c>
      <c r="E14" s="120">
        <v>29400</v>
      </c>
      <c r="F14" s="120">
        <v>9630</v>
      </c>
      <c r="G14" s="120">
        <v>21480</v>
      </c>
      <c r="H14" s="129"/>
      <c r="J14" s="121" t="s">
        <v>2363</v>
      </c>
      <c r="K14" s="121" t="s">
        <v>2364</v>
      </c>
      <c r="L14" s="120" t="s">
        <v>2365</v>
      </c>
      <c r="M14" s="120" t="s">
        <v>2366</v>
      </c>
      <c r="N14" s="120" t="s">
        <v>2367</v>
      </c>
      <c r="O14" s="120" t="s">
        <v>2368</v>
      </c>
      <c r="P14" s="120" t="s">
        <v>2369</v>
      </c>
      <c r="Q14" s="120" t="s">
        <v>2370</v>
      </c>
      <c r="R14" s="120" t="s">
        <v>2371</v>
      </c>
      <c r="S14" s="120" t="s">
        <v>2372</v>
      </c>
    </row>
    <row r="15" spans="1:20">
      <c r="A15" s="120" t="s">
        <v>243</v>
      </c>
      <c r="B15" s="121" t="s">
        <v>2291</v>
      </c>
      <c r="C15" s="120">
        <v>29090</v>
      </c>
      <c r="D15" s="120">
        <v>27590</v>
      </c>
      <c r="E15" s="120">
        <v>28120</v>
      </c>
      <c r="F15" s="120">
        <v>9110</v>
      </c>
      <c r="G15" s="120">
        <v>20070</v>
      </c>
      <c r="H15" s="129"/>
      <c r="J15" s="121" t="s">
        <v>2373</v>
      </c>
      <c r="K15" s="121" t="s">
        <v>2374</v>
      </c>
      <c r="L15" s="120" t="s">
        <v>2375</v>
      </c>
      <c r="M15" s="120" t="s">
        <v>2376</v>
      </c>
      <c r="N15" s="120" t="s">
        <v>2377</v>
      </c>
      <c r="O15" s="120" t="s">
        <v>2378</v>
      </c>
      <c r="P15" s="120" t="s">
        <v>2379</v>
      </c>
      <c r="Q15" s="120" t="s">
        <v>2380</v>
      </c>
      <c r="R15" s="120" t="s">
        <v>2381</v>
      </c>
      <c r="S15" s="120" t="s">
        <v>2382</v>
      </c>
    </row>
    <row r="16" spans="1:20">
      <c r="A16" s="120" t="s">
        <v>243</v>
      </c>
      <c r="B16" s="121" t="s">
        <v>2302</v>
      </c>
      <c r="C16" s="120">
        <v>26790</v>
      </c>
      <c r="D16" s="120">
        <v>30370</v>
      </c>
      <c r="E16" s="120">
        <v>30240</v>
      </c>
      <c r="F16" s="120">
        <v>11590</v>
      </c>
      <c r="G16" s="120">
        <v>22090</v>
      </c>
      <c r="H16" s="129"/>
      <c r="J16" s="121" t="s">
        <v>2383</v>
      </c>
      <c r="K16" s="121" t="s">
        <v>2384</v>
      </c>
      <c r="L16" s="120" t="s">
        <v>2385</v>
      </c>
      <c r="M16" s="120" t="s">
        <v>2386</v>
      </c>
      <c r="N16" s="120" t="s">
        <v>2387</v>
      </c>
      <c r="O16" s="120" t="s">
        <v>2388</v>
      </c>
      <c r="P16" s="120" t="s">
        <v>2389</v>
      </c>
      <c r="Q16" s="120" t="s">
        <v>2390</v>
      </c>
      <c r="R16" s="120" t="s">
        <v>2391</v>
      </c>
      <c r="S16" s="120" t="s">
        <v>2392</v>
      </c>
    </row>
    <row r="17" spans="1:19">
      <c r="A17" s="120" t="s">
        <v>243</v>
      </c>
      <c r="B17" s="121" t="s">
        <v>2313</v>
      </c>
      <c r="C17" s="120">
        <v>29180</v>
      </c>
      <c r="D17" s="120">
        <v>27620</v>
      </c>
      <c r="E17" s="120">
        <v>28180</v>
      </c>
      <c r="F17" s="120">
        <v>10790</v>
      </c>
      <c r="G17" s="120">
        <v>20090</v>
      </c>
      <c r="H17" s="129"/>
      <c r="J17" s="121" t="s">
        <v>2393</v>
      </c>
      <c r="K17" s="121" t="s">
        <v>2394</v>
      </c>
      <c r="L17" s="120" t="s">
        <v>2395</v>
      </c>
      <c r="M17" s="120" t="s">
        <v>2396</v>
      </c>
      <c r="N17" s="120" t="s">
        <v>2397</v>
      </c>
      <c r="O17" s="120" t="s">
        <v>2398</v>
      </c>
      <c r="P17" s="120" t="s">
        <v>2399</v>
      </c>
      <c r="Q17" s="120" t="s">
        <v>2400</v>
      </c>
      <c r="R17" s="120" t="s">
        <v>2401</v>
      </c>
      <c r="S17" s="120" t="s">
        <v>2402</v>
      </c>
    </row>
    <row r="18" spans="1:19">
      <c r="A18" s="120" t="s">
        <v>243</v>
      </c>
      <c r="B18" s="121" t="s">
        <v>2323</v>
      </c>
      <c r="C18" s="120">
        <v>26840</v>
      </c>
      <c r="D18" s="120">
        <v>28930</v>
      </c>
      <c r="E18" s="120">
        <v>28820</v>
      </c>
      <c r="F18" s="120"/>
      <c r="G18" s="120">
        <v>21050</v>
      </c>
      <c r="H18" s="129"/>
      <c r="J18" s="121" t="s">
        <v>2403</v>
      </c>
      <c r="K18" s="121" t="s">
        <v>2404</v>
      </c>
      <c r="L18" s="120" t="s">
        <v>2405</v>
      </c>
      <c r="M18" s="120" t="s">
        <v>2406</v>
      </c>
      <c r="N18" s="120" t="s">
        <v>2407</v>
      </c>
      <c r="O18" s="120" t="s">
        <v>2408</v>
      </c>
      <c r="P18" s="120" t="s">
        <v>2409</v>
      </c>
      <c r="Q18" s="120" t="s">
        <v>2410</v>
      </c>
      <c r="R18" s="120" t="s">
        <v>2411</v>
      </c>
      <c r="S18" s="120" t="s">
        <v>2412</v>
      </c>
    </row>
    <row r="19" spans="1:19">
      <c r="A19" s="120" t="s">
        <v>243</v>
      </c>
      <c r="B19" s="121" t="s">
        <v>2333</v>
      </c>
      <c r="C19" s="120">
        <v>27750</v>
      </c>
      <c r="D19" s="120">
        <v>26680</v>
      </c>
      <c r="E19" s="120">
        <v>26590</v>
      </c>
      <c r="F19" s="120"/>
      <c r="G19" s="120">
        <v>19420</v>
      </c>
      <c r="H19" s="129"/>
      <c r="J19" s="121" t="s">
        <v>2413</v>
      </c>
      <c r="K19" s="121" t="s">
        <v>2414</v>
      </c>
      <c r="L19" s="120" t="s">
        <v>2415</v>
      </c>
      <c r="M19" s="120" t="s">
        <v>2416</v>
      </c>
      <c r="N19" s="120" t="s">
        <v>2417</v>
      </c>
      <c r="O19" s="120" t="s">
        <v>2418</v>
      </c>
      <c r="P19" s="120" t="s">
        <v>2419</v>
      </c>
      <c r="Q19" s="120" t="s">
        <v>2420</v>
      </c>
      <c r="R19" s="120" t="s">
        <v>2421</v>
      </c>
      <c r="S19" s="120" t="s">
        <v>2422</v>
      </c>
    </row>
    <row r="20" spans="1:19">
      <c r="A20" s="120" t="s">
        <v>243</v>
      </c>
      <c r="B20" s="121" t="s">
        <v>2343</v>
      </c>
      <c r="C20" s="120">
        <v>27050</v>
      </c>
      <c r="D20" s="120">
        <v>29010</v>
      </c>
      <c r="E20" s="120">
        <v>28910</v>
      </c>
      <c r="F20" s="120"/>
      <c r="G20" s="120">
        <v>21110</v>
      </c>
      <c r="J20" s="121" t="s">
        <v>2423</v>
      </c>
      <c r="K20" s="121" t="s">
        <v>2424</v>
      </c>
      <c r="L20" s="120" t="s">
        <v>2425</v>
      </c>
      <c r="M20" s="120" t="s">
        <v>2426</v>
      </c>
      <c r="N20" s="120" t="s">
        <v>2427</v>
      </c>
      <c r="O20" s="120" t="s">
        <v>2428</v>
      </c>
      <c r="P20" s="120" t="s">
        <v>409</v>
      </c>
      <c r="Q20" s="120" t="s">
        <v>2429</v>
      </c>
      <c r="R20" s="120" t="s">
        <v>2430</v>
      </c>
      <c r="S20" s="120" t="s">
        <v>2431</v>
      </c>
    </row>
    <row r="21" spans="1:19">
      <c r="A21" s="120" t="s">
        <v>243</v>
      </c>
      <c r="B21" s="121" t="s">
        <v>2353</v>
      </c>
      <c r="C21" s="120">
        <v>32370</v>
      </c>
      <c r="D21" s="120">
        <v>26730</v>
      </c>
      <c r="E21" s="120">
        <v>26640</v>
      </c>
      <c r="F21" s="120"/>
      <c r="G21" s="120">
        <v>19440</v>
      </c>
      <c r="J21" s="124" t="s">
        <v>2432</v>
      </c>
      <c r="K21" s="121" t="s">
        <v>2433</v>
      </c>
      <c r="L21" s="120" t="s">
        <v>2434</v>
      </c>
      <c r="M21" s="120" t="s">
        <v>2435</v>
      </c>
      <c r="N21" s="120" t="s">
        <v>2436</v>
      </c>
      <c r="O21" s="120" t="s">
        <v>2437</v>
      </c>
      <c r="P21" s="120" t="s">
        <v>2438</v>
      </c>
      <c r="Q21" s="120" t="s">
        <v>2439</v>
      </c>
      <c r="R21" s="120" t="s">
        <v>2440</v>
      </c>
      <c r="S21" s="124" t="s">
        <v>2441</v>
      </c>
    </row>
    <row r="22" spans="1:19">
      <c r="A22" s="120" t="s">
        <v>243</v>
      </c>
      <c r="B22" s="121" t="s">
        <v>2363</v>
      </c>
      <c r="C22" s="120">
        <v>29830</v>
      </c>
      <c r="D22" s="120">
        <v>27600</v>
      </c>
      <c r="E22" s="120">
        <v>28150</v>
      </c>
      <c r="F22" s="120"/>
      <c r="G22" s="120">
        <v>20080</v>
      </c>
      <c r="K22" s="121" t="s">
        <v>2442</v>
      </c>
      <c r="L22" s="120" t="s">
        <v>2443</v>
      </c>
      <c r="M22" s="120" t="s">
        <v>2444</v>
      </c>
      <c r="N22" s="120" t="s">
        <v>2445</v>
      </c>
      <c r="O22" s="120" t="s">
        <v>2446</v>
      </c>
      <c r="P22" s="120" t="s">
        <v>2447</v>
      </c>
      <c r="Q22" s="120" t="s">
        <v>2448</v>
      </c>
      <c r="R22" s="120" t="s">
        <v>2449</v>
      </c>
    </row>
    <row r="23" spans="1:19">
      <c r="A23" s="120" t="s">
        <v>243</v>
      </c>
      <c r="B23" s="121" t="s">
        <v>2373</v>
      </c>
      <c r="C23" s="120">
        <v>27800</v>
      </c>
      <c r="D23" s="120">
        <v>26900</v>
      </c>
      <c r="E23" s="120">
        <v>27170</v>
      </c>
      <c r="F23" s="120"/>
      <c r="G23" s="120">
        <v>19570</v>
      </c>
      <c r="K23" s="121" t="s">
        <v>2450</v>
      </c>
      <c r="L23" s="120" t="s">
        <v>2451</v>
      </c>
      <c r="M23" s="120" t="s">
        <v>2452</v>
      </c>
      <c r="N23" s="120" t="s">
        <v>2453</v>
      </c>
      <c r="O23" s="120" t="s">
        <v>2454</v>
      </c>
      <c r="P23" s="120" t="s">
        <v>2455</v>
      </c>
      <c r="Q23" s="120" t="s">
        <v>2456</v>
      </c>
      <c r="R23" s="120" t="s">
        <v>2457</v>
      </c>
    </row>
    <row r="24" spans="1:19">
      <c r="A24" s="120" t="s">
        <v>243</v>
      </c>
      <c r="B24" s="121" t="s">
        <v>2383</v>
      </c>
      <c r="C24" s="120">
        <v>27930</v>
      </c>
      <c r="D24" s="120">
        <v>32260</v>
      </c>
      <c r="E24" s="120">
        <v>32120</v>
      </c>
      <c r="F24" s="120"/>
      <c r="G24" s="120">
        <v>23470</v>
      </c>
      <c r="K24" s="121" t="s">
        <v>2458</v>
      </c>
      <c r="L24" s="120" t="s">
        <v>2459</v>
      </c>
      <c r="M24" s="120" t="s">
        <v>2460</v>
      </c>
      <c r="N24" s="120" t="s">
        <v>2461</v>
      </c>
      <c r="O24" s="120" t="s">
        <v>2462</v>
      </c>
      <c r="P24" s="120" t="s">
        <v>2463</v>
      </c>
      <c r="Q24" s="137" t="s">
        <v>2464</v>
      </c>
      <c r="R24" s="120" t="s">
        <v>2465</v>
      </c>
    </row>
    <row r="25" spans="1:19">
      <c r="A25" s="120" t="s">
        <v>243</v>
      </c>
      <c r="B25" s="121" t="s">
        <v>2393</v>
      </c>
      <c r="C25" s="120">
        <v>32230</v>
      </c>
      <c r="D25" s="120">
        <v>29640</v>
      </c>
      <c r="E25" s="120">
        <v>29510</v>
      </c>
      <c r="F25" s="120"/>
      <c r="G25" s="120">
        <v>21560</v>
      </c>
      <c r="K25" s="121" t="s">
        <v>2466</v>
      </c>
      <c r="L25" s="120" t="s">
        <v>2467</v>
      </c>
      <c r="M25" s="120" t="s">
        <v>2468</v>
      </c>
      <c r="N25" s="120" t="s">
        <v>2469</v>
      </c>
      <c r="O25" s="120" t="s">
        <v>2470</v>
      </c>
      <c r="P25" s="120" t="s">
        <v>2471</v>
      </c>
      <c r="Q25" s="137" t="s">
        <v>2472</v>
      </c>
      <c r="R25" s="120" t="s">
        <v>2473</v>
      </c>
    </row>
    <row r="26" spans="1:19">
      <c r="A26" s="120" t="s">
        <v>243</v>
      </c>
      <c r="B26" s="121" t="s">
        <v>2403</v>
      </c>
      <c r="C26" s="120">
        <v>31690</v>
      </c>
      <c r="D26" s="120">
        <v>27650</v>
      </c>
      <c r="E26" s="120">
        <v>28200</v>
      </c>
      <c r="F26" s="120"/>
      <c r="G26" s="120">
        <v>20110</v>
      </c>
      <c r="K26" s="123" t="s">
        <v>408</v>
      </c>
      <c r="L26" s="120" t="s">
        <v>2474</v>
      </c>
      <c r="M26" s="120" t="s">
        <v>2475</v>
      </c>
      <c r="N26" s="120" t="s">
        <v>2476</v>
      </c>
      <c r="O26" s="120" t="s">
        <v>2477</v>
      </c>
      <c r="P26" s="120" t="s">
        <v>2478</v>
      </c>
      <c r="Q26" s="137" t="s">
        <v>2479</v>
      </c>
      <c r="R26" s="120" t="s">
        <v>2480</v>
      </c>
    </row>
    <row r="27" spans="1:19">
      <c r="A27" s="120" t="s">
        <v>243</v>
      </c>
      <c r="B27" s="121" t="s">
        <v>2413</v>
      </c>
      <c r="C27" s="120">
        <v>29610</v>
      </c>
      <c r="D27" s="120">
        <v>27770</v>
      </c>
      <c r="E27" s="120">
        <v>28300</v>
      </c>
      <c r="F27" s="120"/>
      <c r="G27" s="120">
        <v>20210</v>
      </c>
      <c r="L27" s="120" t="s">
        <v>2481</v>
      </c>
      <c r="M27" s="120" t="s">
        <v>2482</v>
      </c>
      <c r="N27" s="120" t="s">
        <v>2483</v>
      </c>
      <c r="O27" s="120" t="s">
        <v>2484</v>
      </c>
      <c r="P27" s="120" t="s">
        <v>2485</v>
      </c>
      <c r="Q27" s="120" t="s">
        <v>2486</v>
      </c>
      <c r="R27" s="120" t="s">
        <v>2487</v>
      </c>
    </row>
    <row r="28" spans="1:19">
      <c r="A28" s="120" t="s">
        <v>243</v>
      </c>
      <c r="B28" s="121" t="s">
        <v>2423</v>
      </c>
      <c r="C28" s="120"/>
      <c r="D28" s="120">
        <v>31520</v>
      </c>
      <c r="E28" s="120">
        <v>31410</v>
      </c>
      <c r="F28" s="120"/>
      <c r="G28" s="120">
        <v>22940</v>
      </c>
      <c r="L28" s="120" t="s">
        <v>2488</v>
      </c>
      <c r="M28" s="120" t="s">
        <v>2489</v>
      </c>
      <c r="N28" s="120" t="s">
        <v>2490</v>
      </c>
      <c r="O28" s="120" t="s">
        <v>2491</v>
      </c>
      <c r="P28" s="120" t="s">
        <v>2492</v>
      </c>
      <c r="Q28" s="120" t="s">
        <v>2493</v>
      </c>
      <c r="R28" s="120" t="s">
        <v>2494</v>
      </c>
    </row>
    <row r="29" spans="1:19">
      <c r="A29" s="122" t="s">
        <v>243</v>
      </c>
      <c r="B29" s="125" t="s">
        <v>2432</v>
      </c>
      <c r="C29" s="126"/>
      <c r="D29" s="126">
        <v>29460</v>
      </c>
      <c r="E29" s="126">
        <v>28640</v>
      </c>
      <c r="F29" s="126"/>
      <c r="G29" s="126">
        <v>21430</v>
      </c>
      <c r="L29" s="120" t="s">
        <v>2495</v>
      </c>
      <c r="M29" s="120" t="s">
        <v>2496</v>
      </c>
      <c r="N29" s="120" t="s">
        <v>2497</v>
      </c>
      <c r="O29" s="120" t="s">
        <v>2498</v>
      </c>
      <c r="P29" s="120" t="s">
        <v>2499</v>
      </c>
      <c r="Q29" s="120" t="s">
        <v>2500</v>
      </c>
      <c r="R29" s="120" t="s">
        <v>2501</v>
      </c>
    </row>
    <row r="30" spans="1:19">
      <c r="A30" s="118" t="s">
        <v>253</v>
      </c>
      <c r="B30" s="119" t="s">
        <v>2230</v>
      </c>
      <c r="C30" s="119">
        <v>26890</v>
      </c>
      <c r="D30" s="119">
        <v>26770</v>
      </c>
      <c r="E30" s="119">
        <v>25700</v>
      </c>
      <c r="F30" s="119">
        <v>8180</v>
      </c>
      <c r="G30" s="131">
        <v>18740</v>
      </c>
      <c r="L30" s="120" t="s">
        <v>2502</v>
      </c>
      <c r="M30" s="120" t="s">
        <v>2503</v>
      </c>
      <c r="N30" s="120" t="s">
        <v>2504</v>
      </c>
      <c r="O30" s="120" t="s">
        <v>2505</v>
      </c>
      <c r="P30" s="120" t="s">
        <v>2506</v>
      </c>
      <c r="Q30" s="120" t="s">
        <v>2507</v>
      </c>
      <c r="R30" s="120" t="s">
        <v>2508</v>
      </c>
    </row>
    <row r="31" spans="1:19">
      <c r="A31" s="120" t="s">
        <v>253</v>
      </c>
      <c r="B31" s="121" t="s">
        <v>2243</v>
      </c>
      <c r="C31" s="120">
        <v>24550</v>
      </c>
      <c r="D31" s="120">
        <v>23990</v>
      </c>
      <c r="E31" s="120">
        <v>22930</v>
      </c>
      <c r="F31" s="120">
        <v>7470</v>
      </c>
      <c r="G31" s="132">
        <v>16790</v>
      </c>
      <c r="L31" s="120" t="s">
        <v>2509</v>
      </c>
      <c r="M31" s="120" t="s">
        <v>2510</v>
      </c>
      <c r="N31" s="120" t="s">
        <v>2511</v>
      </c>
      <c r="O31" s="120" t="s">
        <v>2512</v>
      </c>
      <c r="P31" s="120" t="s">
        <v>2513</v>
      </c>
      <c r="Q31" s="120" t="s">
        <v>2514</v>
      </c>
      <c r="R31" s="120" t="s">
        <v>2515</v>
      </c>
    </row>
    <row r="32" spans="1:19">
      <c r="A32" s="120" t="s">
        <v>253</v>
      </c>
      <c r="B32" s="121" t="s">
        <v>2257</v>
      </c>
      <c r="C32" s="120">
        <v>27210</v>
      </c>
      <c r="D32" s="120">
        <v>23240</v>
      </c>
      <c r="E32" s="120">
        <v>23260</v>
      </c>
      <c r="F32" s="120">
        <v>7130</v>
      </c>
      <c r="G32" s="132">
        <v>16270</v>
      </c>
      <c r="L32" s="120" t="s">
        <v>2516</v>
      </c>
      <c r="M32" s="120" t="s">
        <v>2517</v>
      </c>
      <c r="N32" s="120" t="s">
        <v>2518</v>
      </c>
      <c r="O32" s="120" t="s">
        <v>2519</v>
      </c>
      <c r="P32" s="120" t="s">
        <v>2520</v>
      </c>
      <c r="Q32" s="120" t="s">
        <v>2521</v>
      </c>
      <c r="R32" s="124" t="s">
        <v>2522</v>
      </c>
    </row>
    <row r="33" spans="1:17">
      <c r="A33" s="120" t="s">
        <v>253</v>
      </c>
      <c r="B33" s="121" t="s">
        <v>2269</v>
      </c>
      <c r="C33" s="120">
        <v>27300</v>
      </c>
      <c r="D33" s="120">
        <v>22980</v>
      </c>
      <c r="E33" s="120">
        <v>24260</v>
      </c>
      <c r="F33" s="120">
        <v>5860</v>
      </c>
      <c r="G33" s="132">
        <v>16090</v>
      </c>
      <c r="L33" s="124" t="s">
        <v>2523</v>
      </c>
      <c r="M33" s="120" t="s">
        <v>2524</v>
      </c>
      <c r="N33" s="120" t="s">
        <v>2525</v>
      </c>
      <c r="O33" s="120" t="s">
        <v>2526</v>
      </c>
      <c r="P33" s="120" t="s">
        <v>2527</v>
      </c>
      <c r="Q33" s="120" t="s">
        <v>2528</v>
      </c>
    </row>
    <row r="34" spans="1:17">
      <c r="A34" s="120" t="s">
        <v>253</v>
      </c>
      <c r="B34" s="121" t="s">
        <v>2281</v>
      </c>
      <c r="C34" s="120">
        <v>23090</v>
      </c>
      <c r="D34" s="120">
        <v>23390</v>
      </c>
      <c r="E34" s="120">
        <v>23510</v>
      </c>
      <c r="F34" s="120">
        <v>6700</v>
      </c>
      <c r="G34" s="132">
        <v>16370</v>
      </c>
      <c r="M34" s="120" t="s">
        <v>2529</v>
      </c>
      <c r="N34" s="120" t="s">
        <v>2530</v>
      </c>
      <c r="O34" s="120" t="s">
        <v>2531</v>
      </c>
      <c r="P34" s="120" t="s">
        <v>2532</v>
      </c>
      <c r="Q34" s="120" t="s">
        <v>2533</v>
      </c>
    </row>
    <row r="35" spans="1:17">
      <c r="A35" s="120" t="s">
        <v>253</v>
      </c>
      <c r="B35" s="121" t="s">
        <v>2292</v>
      </c>
      <c r="C35" s="120">
        <v>27270</v>
      </c>
      <c r="D35" s="120">
        <v>24270</v>
      </c>
      <c r="E35" s="120">
        <v>24950</v>
      </c>
      <c r="F35" s="120">
        <v>6600</v>
      </c>
      <c r="G35" s="132">
        <v>16990</v>
      </c>
      <c r="M35" s="120" t="s">
        <v>2534</v>
      </c>
      <c r="N35" s="120" t="s">
        <v>2535</v>
      </c>
      <c r="O35" s="120" t="s">
        <v>2536</v>
      </c>
      <c r="P35" s="120" t="s">
        <v>2537</v>
      </c>
      <c r="Q35" s="120" t="s">
        <v>2538</v>
      </c>
    </row>
    <row r="36" spans="1:17">
      <c r="A36" s="120" t="s">
        <v>253</v>
      </c>
      <c r="B36" s="121" t="s">
        <v>2303</v>
      </c>
      <c r="C36" s="120">
        <v>23490</v>
      </c>
      <c r="D36" s="120">
        <v>23020</v>
      </c>
      <c r="E36" s="120">
        <v>25230</v>
      </c>
      <c r="F36" s="120">
        <v>6780</v>
      </c>
      <c r="G36" s="132">
        <v>16120</v>
      </c>
      <c r="M36" s="120" t="s">
        <v>2539</v>
      </c>
      <c r="N36" s="120" t="s">
        <v>2540</v>
      </c>
      <c r="O36" s="120" t="s">
        <v>2541</v>
      </c>
      <c r="P36" s="120" t="s">
        <v>2542</v>
      </c>
      <c r="Q36" s="120" t="s">
        <v>2543</v>
      </c>
    </row>
    <row r="37" spans="1:17">
      <c r="A37" s="120" t="s">
        <v>253</v>
      </c>
      <c r="B37" s="121" t="s">
        <v>2314</v>
      </c>
      <c r="C37" s="120">
        <v>24380</v>
      </c>
      <c r="D37" s="120">
        <v>22240</v>
      </c>
      <c r="E37" s="120">
        <v>25980</v>
      </c>
      <c r="F37" s="120">
        <v>8160</v>
      </c>
      <c r="G37" s="132">
        <v>15570</v>
      </c>
      <c r="M37" s="120" t="s">
        <v>2544</v>
      </c>
      <c r="N37" s="120" t="s">
        <v>2545</v>
      </c>
      <c r="O37" s="120" t="s">
        <v>2546</v>
      </c>
      <c r="P37" s="120" t="s">
        <v>2547</v>
      </c>
      <c r="Q37" s="120" t="s">
        <v>2548</v>
      </c>
    </row>
    <row r="38" spans="1:17">
      <c r="A38" s="120" t="s">
        <v>253</v>
      </c>
      <c r="B38" s="121" t="s">
        <v>2324</v>
      </c>
      <c r="C38" s="120">
        <v>23120</v>
      </c>
      <c r="D38" s="120">
        <v>24630</v>
      </c>
      <c r="E38" s="120">
        <v>25030</v>
      </c>
      <c r="F38" s="120">
        <v>7710</v>
      </c>
      <c r="G38" s="132">
        <v>17240</v>
      </c>
      <c r="M38" s="120" t="s">
        <v>2549</v>
      </c>
      <c r="N38" s="120" t="s">
        <v>2550</v>
      </c>
      <c r="O38" s="120" t="s">
        <v>2551</v>
      </c>
      <c r="P38" s="120" t="s">
        <v>2552</v>
      </c>
      <c r="Q38" s="120" t="s">
        <v>2553</v>
      </c>
    </row>
    <row r="39" spans="1:17">
      <c r="A39" s="120" t="s">
        <v>253</v>
      </c>
      <c r="B39" s="121" t="s">
        <v>2334</v>
      </c>
      <c r="C39" s="120">
        <v>22330</v>
      </c>
      <c r="D39" s="120">
        <v>21140</v>
      </c>
      <c r="E39" s="120">
        <v>23970</v>
      </c>
      <c r="F39" s="120">
        <v>7940</v>
      </c>
      <c r="G39" s="132">
        <v>14790</v>
      </c>
      <c r="M39" s="120" t="s">
        <v>2554</v>
      </c>
      <c r="N39" s="120" t="s">
        <v>2555</v>
      </c>
      <c r="O39" s="120" t="s">
        <v>2556</v>
      </c>
      <c r="P39" s="120" t="s">
        <v>2557</v>
      </c>
      <c r="Q39" s="120" t="s">
        <v>2558</v>
      </c>
    </row>
    <row r="40" spans="1:17">
      <c r="A40" s="120" t="s">
        <v>253</v>
      </c>
      <c r="B40" s="121" t="s">
        <v>2344</v>
      </c>
      <c r="C40" s="120">
        <v>24740</v>
      </c>
      <c r="D40" s="120">
        <v>24690</v>
      </c>
      <c r="E40" s="120">
        <v>22610</v>
      </c>
      <c r="F40" s="120"/>
      <c r="G40" s="132">
        <v>17280</v>
      </c>
      <c r="M40" s="120" t="s">
        <v>2559</v>
      </c>
      <c r="N40" s="120" t="s">
        <v>2560</v>
      </c>
      <c r="O40" s="120" t="s">
        <v>2561</v>
      </c>
      <c r="P40" s="120" t="s">
        <v>2562</v>
      </c>
      <c r="Q40" s="120" t="s">
        <v>2563</v>
      </c>
    </row>
    <row r="41" spans="1:17">
      <c r="A41" s="120" t="s">
        <v>253</v>
      </c>
      <c r="B41" s="121" t="s">
        <v>2354</v>
      </c>
      <c r="C41" s="120">
        <v>21220</v>
      </c>
      <c r="D41" s="120">
        <v>21120</v>
      </c>
      <c r="E41" s="120">
        <v>22590</v>
      </c>
      <c r="F41" s="120"/>
      <c r="G41" s="132">
        <v>14780</v>
      </c>
      <c r="M41" s="124" t="s">
        <v>2564</v>
      </c>
      <c r="N41" s="120" t="s">
        <v>2565</v>
      </c>
      <c r="O41" s="120" t="s">
        <v>2566</v>
      </c>
      <c r="P41" s="120" t="s">
        <v>2567</v>
      </c>
      <c r="Q41" s="120" t="s">
        <v>2568</v>
      </c>
    </row>
    <row r="42" spans="1:17">
      <c r="A42" s="120" t="s">
        <v>253</v>
      </c>
      <c r="B42" s="121" t="s">
        <v>2364</v>
      </c>
      <c r="C42" s="120">
        <v>24800</v>
      </c>
      <c r="D42" s="120">
        <v>22280</v>
      </c>
      <c r="E42" s="120">
        <v>24350</v>
      </c>
      <c r="F42" s="120"/>
      <c r="G42" s="132">
        <v>15590</v>
      </c>
      <c r="N42" s="120" t="s">
        <v>2569</v>
      </c>
      <c r="O42" s="120" t="s">
        <v>2570</v>
      </c>
      <c r="P42" s="120" t="s">
        <v>2571</v>
      </c>
      <c r="Q42" s="120" t="s">
        <v>2572</v>
      </c>
    </row>
    <row r="43" spans="1:17">
      <c r="A43" s="120" t="s">
        <v>253</v>
      </c>
      <c r="B43" s="121" t="s">
        <v>2374</v>
      </c>
      <c r="C43" s="120">
        <v>21210</v>
      </c>
      <c r="D43" s="120">
        <v>21160</v>
      </c>
      <c r="E43" s="120">
        <v>22650</v>
      </c>
      <c r="F43" s="120"/>
      <c r="G43" s="132">
        <v>14800</v>
      </c>
      <c r="N43" s="120" t="s">
        <v>2573</v>
      </c>
      <c r="O43" s="120" t="s">
        <v>2574</v>
      </c>
      <c r="P43" s="120" t="s">
        <v>2575</v>
      </c>
      <c r="Q43" s="120" t="s">
        <v>2576</v>
      </c>
    </row>
    <row r="44" spans="1:17">
      <c r="A44" s="120" t="s">
        <v>253</v>
      </c>
      <c r="B44" s="121" t="s">
        <v>2384</v>
      </c>
      <c r="C44" s="120">
        <v>22370</v>
      </c>
      <c r="D44" s="120">
        <v>23140</v>
      </c>
      <c r="E44" s="120">
        <v>25090</v>
      </c>
      <c r="F44" s="120"/>
      <c r="G44" s="132">
        <v>16190</v>
      </c>
      <c r="N44" s="120" t="s">
        <v>2577</v>
      </c>
      <c r="O44" s="120" t="s">
        <v>2578</v>
      </c>
      <c r="P44" s="124" t="s">
        <v>2579</v>
      </c>
      <c r="Q44" s="120" t="s">
        <v>2580</v>
      </c>
    </row>
    <row r="45" spans="1:17">
      <c r="A45" s="120" t="s">
        <v>253</v>
      </c>
      <c r="B45" s="121" t="s">
        <v>2394</v>
      </c>
      <c r="C45" s="120">
        <v>21240</v>
      </c>
      <c r="D45" s="120">
        <v>27050</v>
      </c>
      <c r="E45" s="120">
        <v>28000</v>
      </c>
      <c r="F45" s="120"/>
      <c r="G45" s="132">
        <v>18940</v>
      </c>
      <c r="N45" s="120" t="s">
        <v>2581</v>
      </c>
      <c r="O45" s="124" t="s">
        <v>2582</v>
      </c>
      <c r="Q45" s="120" t="s">
        <v>2583</v>
      </c>
    </row>
    <row r="46" spans="1:17">
      <c r="A46" s="120" t="s">
        <v>253</v>
      </c>
      <c r="B46" s="121" t="s">
        <v>2404</v>
      </c>
      <c r="C46" s="120">
        <v>23240</v>
      </c>
      <c r="D46" s="120">
        <v>23000</v>
      </c>
      <c r="E46" s="120">
        <v>24980</v>
      </c>
      <c r="F46" s="120"/>
      <c r="G46" s="132">
        <v>16100</v>
      </c>
      <c r="N46" s="120" t="s">
        <v>2584</v>
      </c>
      <c r="Q46" s="120" t="s">
        <v>2585</v>
      </c>
    </row>
    <row r="47" spans="1:17">
      <c r="A47" s="120" t="s">
        <v>253</v>
      </c>
      <c r="B47" s="121" t="s">
        <v>2414</v>
      </c>
      <c r="C47" s="120">
        <v>27150</v>
      </c>
      <c r="D47" s="120">
        <v>23310</v>
      </c>
      <c r="E47" s="120">
        <v>25150</v>
      </c>
      <c r="F47" s="120"/>
      <c r="G47" s="132">
        <v>16310</v>
      </c>
      <c r="N47" s="120" t="s">
        <v>2586</v>
      </c>
      <c r="Q47" s="120" t="s">
        <v>2587</v>
      </c>
    </row>
    <row r="48" spans="1:17">
      <c r="A48" s="120" t="s">
        <v>253</v>
      </c>
      <c r="B48" s="121" t="s">
        <v>2424</v>
      </c>
      <c r="C48" s="120">
        <v>23100</v>
      </c>
      <c r="D48" s="120">
        <v>21110</v>
      </c>
      <c r="E48" s="120">
        <v>23080</v>
      </c>
      <c r="F48" s="120"/>
      <c r="G48" s="132">
        <v>14780</v>
      </c>
      <c r="N48" s="120" t="s">
        <v>2588</v>
      </c>
      <c r="Q48" s="120" t="s">
        <v>2589</v>
      </c>
    </row>
    <row r="49" spans="1:17">
      <c r="A49" s="120" t="s">
        <v>253</v>
      </c>
      <c r="B49" s="121" t="s">
        <v>2433</v>
      </c>
      <c r="C49" s="120">
        <v>23400</v>
      </c>
      <c r="D49" s="120">
        <v>22920</v>
      </c>
      <c r="E49" s="120">
        <v>24900</v>
      </c>
      <c r="F49" s="120"/>
      <c r="G49" s="132">
        <v>16040</v>
      </c>
      <c r="N49" s="120" t="s">
        <v>2590</v>
      </c>
      <c r="Q49" s="120" t="s">
        <v>2591</v>
      </c>
    </row>
    <row r="50" spans="1:17">
      <c r="A50" s="120" t="s">
        <v>253</v>
      </c>
      <c r="B50" s="121" t="s">
        <v>2442</v>
      </c>
      <c r="C50" s="120">
        <v>21200</v>
      </c>
      <c r="D50" s="120">
        <v>26540</v>
      </c>
      <c r="E50" s="120">
        <v>23200</v>
      </c>
      <c r="F50" s="120"/>
      <c r="G50" s="132">
        <v>18580</v>
      </c>
      <c r="N50" s="120" t="s">
        <v>2592</v>
      </c>
      <c r="Q50" s="121" t="s">
        <v>2593</v>
      </c>
    </row>
    <row r="51" spans="1:17">
      <c r="A51" s="120" t="s">
        <v>253</v>
      </c>
      <c r="B51" s="121" t="s">
        <v>2450</v>
      </c>
      <c r="C51" s="120">
        <v>23000</v>
      </c>
      <c r="D51" s="120">
        <v>23460</v>
      </c>
      <c r="E51" s="120">
        <v>25290</v>
      </c>
      <c r="F51" s="120"/>
      <c r="G51" s="132">
        <v>16420</v>
      </c>
      <c r="N51" s="120" t="s">
        <v>2594</v>
      </c>
      <c r="Q51" s="124" t="s">
        <v>2595</v>
      </c>
    </row>
    <row r="52" spans="1:17">
      <c r="A52" s="120" t="s">
        <v>253</v>
      </c>
      <c r="B52" s="121" t="s">
        <v>2458</v>
      </c>
      <c r="C52" s="120">
        <v>26660</v>
      </c>
      <c r="D52" s="120">
        <v>22350</v>
      </c>
      <c r="E52" s="120">
        <v>22920</v>
      </c>
      <c r="F52" s="120"/>
      <c r="G52" s="132">
        <v>15640</v>
      </c>
      <c r="N52" s="120" t="s">
        <v>2596</v>
      </c>
    </row>
    <row r="53" spans="1:17">
      <c r="A53" s="120" t="s">
        <v>253</v>
      </c>
      <c r="B53" s="121" t="s">
        <v>2466</v>
      </c>
      <c r="C53" s="120">
        <v>23580</v>
      </c>
      <c r="D53" s="120"/>
      <c r="E53" s="120">
        <v>24280</v>
      </c>
      <c r="F53" s="120"/>
      <c r="G53" s="132"/>
      <c r="N53" s="120" t="s">
        <v>2597</v>
      </c>
    </row>
    <row r="54" spans="1:17">
      <c r="A54" s="127" t="s">
        <v>253</v>
      </c>
      <c r="B54" s="123" t="s">
        <v>408</v>
      </c>
      <c r="C54" s="124">
        <v>22460</v>
      </c>
      <c r="D54" s="124"/>
      <c r="E54" s="124"/>
      <c r="F54" s="124"/>
      <c r="G54" s="133"/>
      <c r="N54" s="120" t="s">
        <v>2598</v>
      </c>
    </row>
    <row r="55" spans="1:17">
      <c r="A55" s="118" t="s">
        <v>261</v>
      </c>
      <c r="B55" s="119" t="s">
        <v>2231</v>
      </c>
      <c r="C55" s="120">
        <v>21970</v>
      </c>
      <c r="D55" s="120">
        <v>20370</v>
      </c>
      <c r="E55" s="120">
        <v>20180</v>
      </c>
      <c r="F55" s="120">
        <v>5730</v>
      </c>
      <c r="G55" s="120">
        <v>13820</v>
      </c>
      <c r="N55" s="120" t="s">
        <v>2599</v>
      </c>
    </row>
    <row r="56" spans="1:17">
      <c r="A56" s="120" t="s">
        <v>261</v>
      </c>
      <c r="B56" s="120" t="s">
        <v>2244</v>
      </c>
      <c r="C56" s="120">
        <v>20470</v>
      </c>
      <c r="D56" s="120">
        <v>20700</v>
      </c>
      <c r="E56" s="120">
        <v>20380</v>
      </c>
      <c r="F56" s="120">
        <v>4760</v>
      </c>
      <c r="G56" s="120">
        <v>14050</v>
      </c>
      <c r="N56" s="120" t="s">
        <v>2600</v>
      </c>
    </row>
    <row r="57" spans="1:17">
      <c r="A57" s="120" t="s">
        <v>261</v>
      </c>
      <c r="B57" s="120" t="s">
        <v>2258</v>
      </c>
      <c r="C57" s="120">
        <v>20790</v>
      </c>
      <c r="D57" s="120">
        <v>21370</v>
      </c>
      <c r="E57" s="120">
        <v>20890</v>
      </c>
      <c r="F57" s="120">
        <v>4910</v>
      </c>
      <c r="G57" s="120">
        <v>14510</v>
      </c>
      <c r="N57" s="120" t="s">
        <v>2601</v>
      </c>
    </row>
    <row r="58" spans="1:17">
      <c r="A58" s="120" t="s">
        <v>261</v>
      </c>
      <c r="B58" s="120" t="s">
        <v>2270</v>
      </c>
      <c r="C58" s="120">
        <v>21460</v>
      </c>
      <c r="D58" s="120">
        <v>20920</v>
      </c>
      <c r="E58" s="120">
        <v>23410</v>
      </c>
      <c r="F58" s="120">
        <v>5100</v>
      </c>
      <c r="G58" s="120">
        <v>14200</v>
      </c>
      <c r="N58" s="120" t="s">
        <v>2602</v>
      </c>
    </row>
    <row r="59" spans="1:17">
      <c r="A59" s="120" t="s">
        <v>261</v>
      </c>
      <c r="B59" s="120" t="s">
        <v>2282</v>
      </c>
      <c r="C59" s="120">
        <v>21000</v>
      </c>
      <c r="D59" s="120">
        <v>21550</v>
      </c>
      <c r="E59" s="120">
        <v>21150</v>
      </c>
      <c r="F59" s="120">
        <v>5250</v>
      </c>
      <c r="G59" s="120">
        <v>14630</v>
      </c>
      <c r="N59" s="120" t="s">
        <v>2603</v>
      </c>
    </row>
    <row r="60" spans="1:17">
      <c r="A60" s="120" t="s">
        <v>261</v>
      </c>
      <c r="B60" s="120" t="s">
        <v>2293</v>
      </c>
      <c r="C60" s="120">
        <v>21640</v>
      </c>
      <c r="D60" s="120">
        <v>21260</v>
      </c>
      <c r="E60" s="120">
        <v>24040</v>
      </c>
      <c r="F60" s="120">
        <v>4470</v>
      </c>
      <c r="G60" s="120">
        <v>14430</v>
      </c>
      <c r="N60" s="120" t="s">
        <v>2604</v>
      </c>
    </row>
    <row r="61" spans="1:17">
      <c r="A61" s="120" t="s">
        <v>261</v>
      </c>
      <c r="B61" s="120" t="s">
        <v>2304</v>
      </c>
      <c r="C61" s="120">
        <v>21330</v>
      </c>
      <c r="D61" s="120">
        <v>18640</v>
      </c>
      <c r="E61" s="120">
        <v>21190</v>
      </c>
      <c r="F61" s="120">
        <v>4180</v>
      </c>
      <c r="G61" s="120">
        <v>12650</v>
      </c>
      <c r="N61" s="120" t="s">
        <v>2605</v>
      </c>
    </row>
    <row r="62" spans="1:17">
      <c r="A62" s="120" t="s">
        <v>261</v>
      </c>
      <c r="B62" s="120" t="s">
        <v>2315</v>
      </c>
      <c r="C62" s="120">
        <v>18710</v>
      </c>
      <c r="D62" s="120">
        <v>19400</v>
      </c>
      <c r="E62" s="120">
        <v>23750</v>
      </c>
      <c r="F62" s="120">
        <v>4860</v>
      </c>
      <c r="G62" s="120">
        <v>13170</v>
      </c>
      <c r="N62" s="120" t="s">
        <v>2606</v>
      </c>
    </row>
    <row r="63" spans="1:17">
      <c r="A63" s="120" t="s">
        <v>261</v>
      </c>
      <c r="B63" s="120" t="s">
        <v>2325</v>
      </c>
      <c r="C63" s="120">
        <v>19480</v>
      </c>
      <c r="D63" s="120">
        <v>16830</v>
      </c>
      <c r="E63" s="120">
        <v>21590</v>
      </c>
      <c r="F63" s="120">
        <v>4560</v>
      </c>
      <c r="G63" s="120">
        <v>11420</v>
      </c>
      <c r="N63" s="120" t="s">
        <v>2607</v>
      </c>
    </row>
    <row r="64" spans="1:17">
      <c r="A64" s="120" t="s">
        <v>261</v>
      </c>
      <c r="B64" s="120" t="s">
        <v>2335</v>
      </c>
      <c r="C64" s="120">
        <v>16920</v>
      </c>
      <c r="D64" s="120">
        <v>19190</v>
      </c>
      <c r="E64" s="120">
        <v>22200</v>
      </c>
      <c r="F64" s="120">
        <v>4390</v>
      </c>
      <c r="G64" s="120">
        <v>13030</v>
      </c>
      <c r="N64" s="124" t="s">
        <v>2608</v>
      </c>
    </row>
    <row r="65" spans="1:7" s="112" customFormat="1">
      <c r="A65" s="120" t="s">
        <v>261</v>
      </c>
      <c r="B65" s="120" t="s">
        <v>2345</v>
      </c>
      <c r="C65" s="120">
        <v>19290</v>
      </c>
      <c r="D65" s="120">
        <v>17020</v>
      </c>
      <c r="E65" s="120">
        <v>19880</v>
      </c>
      <c r="F65" s="120">
        <v>4070</v>
      </c>
      <c r="G65" s="120">
        <v>11550</v>
      </c>
    </row>
    <row r="66" spans="1:7" s="112" customFormat="1">
      <c r="A66" s="120" t="s">
        <v>261</v>
      </c>
      <c r="B66" s="120" t="s">
        <v>2355</v>
      </c>
      <c r="C66" s="120">
        <v>17090</v>
      </c>
      <c r="D66" s="120">
        <v>18340</v>
      </c>
      <c r="E66" s="120">
        <v>21830</v>
      </c>
      <c r="F66" s="120">
        <v>4690</v>
      </c>
      <c r="G66" s="120">
        <v>12450</v>
      </c>
    </row>
    <row r="67" spans="1:7" s="112" customFormat="1">
      <c r="A67" s="120" t="s">
        <v>261</v>
      </c>
      <c r="B67" s="120" t="s">
        <v>2365</v>
      </c>
      <c r="C67" s="120">
        <v>18420</v>
      </c>
      <c r="D67" s="120">
        <v>16360</v>
      </c>
      <c r="E67" s="120">
        <v>20020</v>
      </c>
      <c r="F67" s="120">
        <v>5150</v>
      </c>
      <c r="G67" s="120">
        <v>11110</v>
      </c>
    </row>
    <row r="68" spans="1:7" s="112" customFormat="1">
      <c r="A68" s="120" t="s">
        <v>261</v>
      </c>
      <c r="B68" s="120" t="s">
        <v>2375</v>
      </c>
      <c r="C68" s="120">
        <v>16450</v>
      </c>
      <c r="D68" s="120">
        <v>18430</v>
      </c>
      <c r="E68" s="120">
        <v>21010</v>
      </c>
      <c r="F68" s="120">
        <v>4720</v>
      </c>
      <c r="G68" s="120">
        <v>12510</v>
      </c>
    </row>
    <row r="69" spans="1:7" s="112" customFormat="1">
      <c r="A69" s="120" t="s">
        <v>261</v>
      </c>
      <c r="B69" s="120" t="s">
        <v>2385</v>
      </c>
      <c r="C69" s="120">
        <v>18510</v>
      </c>
      <c r="D69" s="120">
        <v>16300</v>
      </c>
      <c r="E69" s="120">
        <v>18830</v>
      </c>
      <c r="F69" s="120">
        <v>5400</v>
      </c>
      <c r="G69" s="120">
        <v>11070</v>
      </c>
    </row>
    <row r="70" spans="1:7" s="112" customFormat="1">
      <c r="A70" s="120" t="s">
        <v>261</v>
      </c>
      <c r="B70" s="120" t="s">
        <v>2395</v>
      </c>
      <c r="C70" s="120">
        <v>16370</v>
      </c>
      <c r="D70" s="120">
        <v>18620</v>
      </c>
      <c r="E70" s="120">
        <v>21100</v>
      </c>
      <c r="F70" s="120">
        <v>5700</v>
      </c>
      <c r="G70" s="120">
        <v>12640</v>
      </c>
    </row>
    <row r="71" spans="1:7" s="112" customFormat="1">
      <c r="A71" s="120" t="s">
        <v>261</v>
      </c>
      <c r="B71" s="120" t="s">
        <v>2405</v>
      </c>
      <c r="C71" s="120">
        <v>18700</v>
      </c>
      <c r="D71" s="120">
        <v>16290</v>
      </c>
      <c r="E71" s="120">
        <v>18760</v>
      </c>
      <c r="F71" s="120">
        <v>4780</v>
      </c>
      <c r="G71" s="120">
        <v>11050</v>
      </c>
    </row>
    <row r="72" spans="1:7" s="112" customFormat="1">
      <c r="A72" s="120" t="s">
        <v>261</v>
      </c>
      <c r="B72" s="120" t="s">
        <v>2415</v>
      </c>
      <c r="C72" s="120">
        <v>16340</v>
      </c>
      <c r="D72" s="120">
        <v>17520</v>
      </c>
      <c r="E72" s="120">
        <v>21170</v>
      </c>
      <c r="F72" s="120"/>
      <c r="G72" s="120">
        <v>11900</v>
      </c>
    </row>
    <row r="73" spans="1:7" s="112" customFormat="1">
      <c r="A73" s="120" t="s">
        <v>261</v>
      </c>
      <c r="B73" s="120" t="s">
        <v>2425</v>
      </c>
      <c r="C73" s="120">
        <v>17610</v>
      </c>
      <c r="D73" s="120">
        <v>18520</v>
      </c>
      <c r="E73" s="120">
        <v>18720</v>
      </c>
      <c r="F73" s="120"/>
      <c r="G73" s="120">
        <v>12570</v>
      </c>
    </row>
    <row r="74" spans="1:7" s="112" customFormat="1">
      <c r="A74" s="120" t="s">
        <v>261</v>
      </c>
      <c r="B74" s="120" t="s">
        <v>2434</v>
      </c>
      <c r="C74" s="120">
        <v>18600</v>
      </c>
      <c r="D74" s="120">
        <v>16480</v>
      </c>
      <c r="E74" s="120">
        <v>20100</v>
      </c>
      <c r="F74" s="120"/>
      <c r="G74" s="120">
        <v>11190</v>
      </c>
    </row>
    <row r="75" spans="1:7" s="112" customFormat="1">
      <c r="A75" s="120" t="s">
        <v>261</v>
      </c>
      <c r="B75" s="120" t="s">
        <v>2443</v>
      </c>
      <c r="C75" s="120">
        <v>16570</v>
      </c>
      <c r="D75" s="120">
        <v>17530</v>
      </c>
      <c r="E75" s="120">
        <v>21030</v>
      </c>
      <c r="F75" s="120"/>
      <c r="G75" s="120">
        <v>11900</v>
      </c>
    </row>
    <row r="76" spans="1:7" s="112" customFormat="1">
      <c r="A76" s="120" t="s">
        <v>261</v>
      </c>
      <c r="B76" s="120" t="s">
        <v>2451</v>
      </c>
      <c r="C76" s="120">
        <v>17610</v>
      </c>
      <c r="D76" s="120">
        <v>20800</v>
      </c>
      <c r="E76" s="120">
        <v>18920</v>
      </c>
      <c r="F76" s="120"/>
      <c r="G76" s="120">
        <v>14120</v>
      </c>
    </row>
    <row r="77" spans="1:7" s="112" customFormat="1">
      <c r="A77" s="120" t="s">
        <v>261</v>
      </c>
      <c r="B77" s="120" t="s">
        <v>2459</v>
      </c>
      <c r="C77" s="120">
        <v>20890</v>
      </c>
      <c r="D77" s="120">
        <v>19740</v>
      </c>
      <c r="E77" s="120">
        <v>20110</v>
      </c>
      <c r="F77" s="120"/>
      <c r="G77" s="120">
        <v>13400</v>
      </c>
    </row>
    <row r="78" spans="1:7" s="112" customFormat="1">
      <c r="A78" s="120" t="s">
        <v>261</v>
      </c>
      <c r="B78" s="120" t="s">
        <v>2467</v>
      </c>
      <c r="C78" s="120">
        <v>19820</v>
      </c>
      <c r="D78" s="120">
        <v>19780</v>
      </c>
      <c r="E78" s="120">
        <v>18560</v>
      </c>
      <c r="F78" s="120"/>
      <c r="G78" s="120">
        <v>13430</v>
      </c>
    </row>
    <row r="79" spans="1:7" s="112" customFormat="1">
      <c r="A79" s="120" t="s">
        <v>261</v>
      </c>
      <c r="B79" s="120" t="s">
        <v>2474</v>
      </c>
      <c r="C79" s="120">
        <v>21660</v>
      </c>
      <c r="D79" s="120">
        <v>18000</v>
      </c>
      <c r="E79" s="120">
        <v>22570</v>
      </c>
      <c r="F79" s="120"/>
      <c r="G79" s="120">
        <v>12220</v>
      </c>
    </row>
    <row r="80" spans="1:7" s="112" customFormat="1">
      <c r="A80" s="120" t="s">
        <v>261</v>
      </c>
      <c r="B80" s="120" t="s">
        <v>2481</v>
      </c>
      <c r="C80" s="120">
        <v>19850</v>
      </c>
      <c r="D80" s="120"/>
      <c r="E80" s="120">
        <v>21700</v>
      </c>
      <c r="F80" s="120"/>
      <c r="G80" s="120"/>
    </row>
    <row r="81" spans="1:7" s="112" customFormat="1">
      <c r="A81" s="120" t="s">
        <v>261</v>
      </c>
      <c r="B81" s="120" t="s">
        <v>2488</v>
      </c>
      <c r="C81" s="120">
        <v>18080</v>
      </c>
      <c r="D81" s="120"/>
      <c r="E81" s="120">
        <v>20900</v>
      </c>
      <c r="F81" s="120"/>
      <c r="G81" s="120"/>
    </row>
    <row r="82" spans="1:7" s="112" customFormat="1">
      <c r="A82" s="120" t="s">
        <v>261</v>
      </c>
      <c r="B82" s="120" t="s">
        <v>2495</v>
      </c>
      <c r="C82" s="120"/>
      <c r="D82" s="120"/>
      <c r="E82" s="120">
        <v>20840</v>
      </c>
      <c r="F82" s="120"/>
      <c r="G82" s="120"/>
    </row>
    <row r="83" spans="1:7" s="112" customFormat="1">
      <c r="A83" s="120" t="s">
        <v>261</v>
      </c>
      <c r="B83" s="120" t="s">
        <v>2502</v>
      </c>
      <c r="C83" s="120"/>
      <c r="D83" s="120"/>
      <c r="E83" s="120"/>
      <c r="F83" s="120">
        <v>4770</v>
      </c>
      <c r="G83" s="120"/>
    </row>
    <row r="84" spans="1:7" s="112" customFormat="1">
      <c r="A84" s="120" t="s">
        <v>261</v>
      </c>
      <c r="B84" s="120" t="s">
        <v>2509</v>
      </c>
      <c r="C84" s="120"/>
      <c r="D84" s="120"/>
      <c r="E84" s="120"/>
      <c r="F84" s="120">
        <v>4600</v>
      </c>
      <c r="G84" s="120"/>
    </row>
    <row r="85" spans="1:7" s="112" customFormat="1">
      <c r="A85" s="120" t="s">
        <v>261</v>
      </c>
      <c r="B85" s="120" t="s">
        <v>2516</v>
      </c>
      <c r="C85" s="120"/>
      <c r="D85" s="120"/>
      <c r="E85" s="120"/>
      <c r="F85" s="120">
        <v>4680</v>
      </c>
      <c r="G85" s="120"/>
    </row>
    <row r="86" spans="1:7" s="112" customFormat="1">
      <c r="A86" s="122" t="s">
        <v>261</v>
      </c>
      <c r="B86" s="125" t="s">
        <v>2523</v>
      </c>
      <c r="C86" s="126">
        <v>16610</v>
      </c>
      <c r="D86" s="126">
        <v>16540</v>
      </c>
      <c r="E86" s="126">
        <v>18850</v>
      </c>
      <c r="F86" s="126"/>
      <c r="G86" s="126">
        <v>11220</v>
      </c>
    </row>
    <row r="87" spans="1:7" s="112" customFormat="1">
      <c r="A87" s="118" t="s">
        <v>269</v>
      </c>
      <c r="B87" s="119" t="s">
        <v>2232</v>
      </c>
      <c r="C87" s="119">
        <v>15240</v>
      </c>
      <c r="D87" s="119">
        <v>15170</v>
      </c>
      <c r="E87" s="119">
        <v>18260</v>
      </c>
      <c r="F87" s="119">
        <v>3830</v>
      </c>
      <c r="G87" s="131">
        <v>10020</v>
      </c>
    </row>
    <row r="88" spans="1:7" s="112" customFormat="1">
      <c r="A88" s="120" t="s">
        <v>269</v>
      </c>
      <c r="B88" s="120" t="s">
        <v>2245</v>
      </c>
      <c r="C88" s="120">
        <v>17310</v>
      </c>
      <c r="D88" s="120">
        <v>17220</v>
      </c>
      <c r="E88" s="120">
        <v>18610</v>
      </c>
      <c r="F88" s="120">
        <v>3990</v>
      </c>
      <c r="G88" s="132">
        <v>11380</v>
      </c>
    </row>
    <row r="89" spans="1:7" s="112" customFormat="1">
      <c r="A89" s="120" t="s">
        <v>269</v>
      </c>
      <c r="B89" s="120" t="s">
        <v>2259</v>
      </c>
      <c r="C89" s="120">
        <v>15600</v>
      </c>
      <c r="D89" s="120">
        <v>15550</v>
      </c>
      <c r="E89" s="120">
        <v>19200</v>
      </c>
      <c r="F89" s="120">
        <v>4110</v>
      </c>
      <c r="G89" s="132">
        <v>10270</v>
      </c>
    </row>
    <row r="90" spans="1:7" s="112" customFormat="1">
      <c r="A90" s="120" t="s">
        <v>269</v>
      </c>
      <c r="B90" s="120" t="s">
        <v>2271</v>
      </c>
      <c r="C90" s="120">
        <v>17330</v>
      </c>
      <c r="D90" s="120">
        <v>17240</v>
      </c>
      <c r="E90" s="120">
        <v>18570</v>
      </c>
      <c r="F90" s="120">
        <v>4070</v>
      </c>
      <c r="G90" s="132">
        <v>11390</v>
      </c>
    </row>
    <row r="91" spans="1:7" s="112" customFormat="1">
      <c r="A91" s="120" t="s">
        <v>269</v>
      </c>
      <c r="B91" s="120" t="s">
        <v>2283</v>
      </c>
      <c r="C91" s="120">
        <v>16330</v>
      </c>
      <c r="D91" s="120">
        <v>16260</v>
      </c>
      <c r="E91" s="120">
        <v>16800</v>
      </c>
      <c r="F91" s="120">
        <v>3410</v>
      </c>
      <c r="G91" s="132">
        <v>10740</v>
      </c>
    </row>
    <row r="92" spans="1:7" s="112" customFormat="1">
      <c r="A92" s="120" t="s">
        <v>269</v>
      </c>
      <c r="B92" s="120" t="s">
        <v>2294</v>
      </c>
      <c r="C92" s="120">
        <v>15570</v>
      </c>
      <c r="D92" s="120">
        <v>15500</v>
      </c>
      <c r="E92" s="120">
        <v>17360</v>
      </c>
      <c r="F92" s="120">
        <v>3510</v>
      </c>
      <c r="G92" s="132">
        <v>10240</v>
      </c>
    </row>
    <row r="93" spans="1:7" s="112" customFormat="1">
      <c r="A93" s="120" t="s">
        <v>269</v>
      </c>
      <c r="B93" s="120" t="s">
        <v>2305</v>
      </c>
      <c r="C93" s="120">
        <v>14000</v>
      </c>
      <c r="D93" s="120">
        <v>13930</v>
      </c>
      <c r="E93" s="120">
        <v>18200</v>
      </c>
      <c r="F93" s="120">
        <v>3640</v>
      </c>
      <c r="G93" s="132">
        <v>9210</v>
      </c>
    </row>
    <row r="94" spans="1:7" s="112" customFormat="1">
      <c r="A94" s="120" t="s">
        <v>269</v>
      </c>
      <c r="B94" s="120" t="s">
        <v>2316</v>
      </c>
      <c r="C94" s="120">
        <v>14530</v>
      </c>
      <c r="D94" s="120">
        <v>14470</v>
      </c>
      <c r="E94" s="120">
        <v>18240</v>
      </c>
      <c r="F94" s="120">
        <v>3180</v>
      </c>
      <c r="G94" s="132">
        <v>9560</v>
      </c>
    </row>
    <row r="95" spans="1:7" s="112" customFormat="1">
      <c r="A95" s="120" t="s">
        <v>269</v>
      </c>
      <c r="B95" s="120" t="s">
        <v>2326</v>
      </c>
      <c r="C95" s="120">
        <v>17330</v>
      </c>
      <c r="D95" s="120">
        <v>17260</v>
      </c>
      <c r="E95" s="120">
        <v>18420</v>
      </c>
      <c r="F95" s="120">
        <v>3060</v>
      </c>
      <c r="G95" s="132">
        <v>11410</v>
      </c>
    </row>
    <row r="96" spans="1:7" s="112" customFormat="1">
      <c r="A96" s="120" t="s">
        <v>269</v>
      </c>
      <c r="B96" s="120" t="s">
        <v>2336</v>
      </c>
      <c r="C96" s="120">
        <v>15030</v>
      </c>
      <c r="D96" s="120">
        <v>14970</v>
      </c>
      <c r="E96" s="120">
        <v>17580</v>
      </c>
      <c r="F96" s="120">
        <v>2970</v>
      </c>
      <c r="G96" s="132">
        <v>9890</v>
      </c>
    </row>
    <row r="97" spans="1:7" s="112" customFormat="1">
      <c r="A97" s="120" t="s">
        <v>269</v>
      </c>
      <c r="B97" s="120" t="s">
        <v>2346</v>
      </c>
      <c r="C97" s="120">
        <v>17400</v>
      </c>
      <c r="D97" s="120">
        <v>17330</v>
      </c>
      <c r="E97" s="120">
        <v>16430</v>
      </c>
      <c r="F97" s="120">
        <v>2950</v>
      </c>
      <c r="G97" s="132">
        <v>11450</v>
      </c>
    </row>
    <row r="98" spans="1:7" s="112" customFormat="1">
      <c r="A98" s="120" t="s">
        <v>269</v>
      </c>
      <c r="B98" s="120" t="s">
        <v>2356</v>
      </c>
      <c r="C98" s="120">
        <v>15200</v>
      </c>
      <c r="D98" s="120">
        <v>15120</v>
      </c>
      <c r="E98" s="120">
        <v>17550</v>
      </c>
      <c r="F98" s="120">
        <v>3080</v>
      </c>
      <c r="G98" s="132">
        <v>9990</v>
      </c>
    </row>
    <row r="99" spans="1:7" s="112" customFormat="1">
      <c r="A99" s="120" t="s">
        <v>269</v>
      </c>
      <c r="B99" s="120" t="s">
        <v>2366</v>
      </c>
      <c r="C99" s="120">
        <v>17520</v>
      </c>
      <c r="D99" s="120">
        <v>17430</v>
      </c>
      <c r="E99" s="120">
        <v>16350</v>
      </c>
      <c r="F99" s="120">
        <v>3260</v>
      </c>
      <c r="G99" s="132">
        <v>11510</v>
      </c>
    </row>
    <row r="100" spans="1:7" s="112" customFormat="1">
      <c r="A100" s="120" t="s">
        <v>269</v>
      </c>
      <c r="B100" s="120" t="s">
        <v>2376</v>
      </c>
      <c r="C100" s="120">
        <v>15340</v>
      </c>
      <c r="D100" s="120">
        <v>15260</v>
      </c>
      <c r="E100" s="120">
        <v>15930</v>
      </c>
      <c r="F100" s="120">
        <v>2740</v>
      </c>
      <c r="G100" s="132">
        <v>10080</v>
      </c>
    </row>
    <row r="101" spans="1:7" s="112" customFormat="1">
      <c r="A101" s="120" t="s">
        <v>269</v>
      </c>
      <c r="B101" s="120" t="s">
        <v>2386</v>
      </c>
      <c r="C101" s="120">
        <v>14620</v>
      </c>
      <c r="D101" s="120">
        <v>14560</v>
      </c>
      <c r="E101" s="120">
        <v>15570</v>
      </c>
      <c r="F101" s="120">
        <v>3500</v>
      </c>
      <c r="G101" s="132">
        <v>9630</v>
      </c>
    </row>
    <row r="102" spans="1:7" s="112" customFormat="1">
      <c r="A102" s="120" t="s">
        <v>269</v>
      </c>
      <c r="B102" s="120" t="s">
        <v>2396</v>
      </c>
      <c r="C102" s="120">
        <v>13680</v>
      </c>
      <c r="D102" s="120">
        <v>13610</v>
      </c>
      <c r="E102" s="120">
        <v>15690</v>
      </c>
      <c r="F102" s="120">
        <v>2870</v>
      </c>
      <c r="G102" s="132">
        <v>8990</v>
      </c>
    </row>
    <row r="103" spans="1:7" s="112" customFormat="1">
      <c r="A103" s="120" t="s">
        <v>269</v>
      </c>
      <c r="B103" s="120" t="s">
        <v>2406</v>
      </c>
      <c r="C103" s="120">
        <v>14620</v>
      </c>
      <c r="D103" s="120">
        <v>14540</v>
      </c>
      <c r="E103" s="120">
        <v>15240</v>
      </c>
      <c r="F103" s="120">
        <v>2840</v>
      </c>
      <c r="G103" s="132">
        <v>9610</v>
      </c>
    </row>
    <row r="104" spans="1:7" s="112" customFormat="1">
      <c r="A104" s="120" t="s">
        <v>269</v>
      </c>
      <c r="B104" s="120" t="s">
        <v>2416</v>
      </c>
      <c r="C104" s="120">
        <v>13610</v>
      </c>
      <c r="D104" s="120">
        <v>13540</v>
      </c>
      <c r="E104" s="120">
        <v>15750</v>
      </c>
      <c r="F104" s="120">
        <v>2770</v>
      </c>
      <c r="G104" s="132">
        <v>8940</v>
      </c>
    </row>
    <row r="105" spans="1:7" s="112" customFormat="1">
      <c r="A105" s="120" t="s">
        <v>269</v>
      </c>
      <c r="B105" s="120" t="s">
        <v>2426</v>
      </c>
      <c r="C105" s="120">
        <v>13310</v>
      </c>
      <c r="D105" s="120">
        <v>13240</v>
      </c>
      <c r="E105" s="120">
        <v>16280</v>
      </c>
      <c r="F105" s="120">
        <v>3210</v>
      </c>
      <c r="G105" s="132">
        <v>8750</v>
      </c>
    </row>
    <row r="106" spans="1:7" s="112" customFormat="1">
      <c r="A106" s="120" t="s">
        <v>269</v>
      </c>
      <c r="B106" s="120" t="s">
        <v>2435</v>
      </c>
      <c r="C106" s="120">
        <v>13010</v>
      </c>
      <c r="D106" s="120">
        <v>12930</v>
      </c>
      <c r="E106" s="120">
        <v>14960</v>
      </c>
      <c r="F106" s="120">
        <v>3530</v>
      </c>
      <c r="G106" s="132">
        <v>8550</v>
      </c>
    </row>
    <row r="107" spans="1:7" s="112" customFormat="1">
      <c r="A107" s="120" t="s">
        <v>269</v>
      </c>
      <c r="B107" s="120" t="s">
        <v>2444</v>
      </c>
      <c r="C107" s="120">
        <v>13070</v>
      </c>
      <c r="D107" s="120">
        <v>13000</v>
      </c>
      <c r="E107" s="120">
        <v>15910</v>
      </c>
      <c r="F107" s="120">
        <v>3990</v>
      </c>
      <c r="G107" s="132">
        <v>8580</v>
      </c>
    </row>
    <row r="108" spans="1:7" s="112" customFormat="1">
      <c r="A108" s="120" t="s">
        <v>269</v>
      </c>
      <c r="B108" s="120" t="s">
        <v>2452</v>
      </c>
      <c r="C108" s="120">
        <v>12640</v>
      </c>
      <c r="D108" s="120">
        <v>12580</v>
      </c>
      <c r="E108" s="120">
        <v>15730</v>
      </c>
      <c r="F108" s="120"/>
      <c r="G108" s="132">
        <v>8310</v>
      </c>
    </row>
    <row r="109" spans="1:7" s="112" customFormat="1">
      <c r="A109" s="120" t="s">
        <v>269</v>
      </c>
      <c r="B109" s="120" t="s">
        <v>2460</v>
      </c>
      <c r="C109" s="120">
        <v>13130</v>
      </c>
      <c r="D109" s="120">
        <v>13070</v>
      </c>
      <c r="E109" s="120">
        <v>15000</v>
      </c>
      <c r="F109" s="120"/>
      <c r="G109" s="132">
        <v>8630</v>
      </c>
    </row>
    <row r="110" spans="1:7" s="112" customFormat="1">
      <c r="A110" s="120" t="s">
        <v>269</v>
      </c>
      <c r="B110" s="120" t="s">
        <v>2468</v>
      </c>
      <c r="C110" s="120">
        <v>13560</v>
      </c>
      <c r="D110" s="120">
        <v>13490</v>
      </c>
      <c r="E110" s="120">
        <v>16300</v>
      </c>
      <c r="F110" s="120"/>
      <c r="G110" s="132">
        <v>8920</v>
      </c>
    </row>
    <row r="111" spans="1:7" s="112" customFormat="1">
      <c r="A111" s="120" t="s">
        <v>269</v>
      </c>
      <c r="B111" s="120" t="s">
        <v>2475</v>
      </c>
      <c r="C111" s="120">
        <v>12440</v>
      </c>
      <c r="D111" s="120">
        <v>12380</v>
      </c>
      <c r="E111" s="120">
        <v>17850</v>
      </c>
      <c r="F111" s="120"/>
      <c r="G111" s="132">
        <v>8180</v>
      </c>
    </row>
    <row r="112" spans="1:7" s="112" customFormat="1">
      <c r="A112" s="120" t="s">
        <v>269</v>
      </c>
      <c r="B112" s="120" t="s">
        <v>2482</v>
      </c>
      <c r="C112" s="120">
        <v>13260</v>
      </c>
      <c r="D112" s="120">
        <v>13180</v>
      </c>
      <c r="E112" s="120">
        <v>19740</v>
      </c>
      <c r="F112" s="120"/>
      <c r="G112" s="132">
        <v>8710</v>
      </c>
    </row>
    <row r="113" spans="1:7" s="112" customFormat="1">
      <c r="A113" s="120" t="s">
        <v>269</v>
      </c>
      <c r="B113" s="120" t="s">
        <v>2489</v>
      </c>
      <c r="C113" s="120">
        <v>15520</v>
      </c>
      <c r="D113" s="120">
        <v>15450</v>
      </c>
      <c r="E113" s="120"/>
      <c r="F113" s="120"/>
      <c r="G113" s="132">
        <v>10210</v>
      </c>
    </row>
    <row r="114" spans="1:7" s="112" customFormat="1">
      <c r="A114" s="120" t="s">
        <v>269</v>
      </c>
      <c r="B114" s="120" t="s">
        <v>2496</v>
      </c>
      <c r="C114" s="120">
        <v>13110</v>
      </c>
      <c r="D114" s="120">
        <v>13050</v>
      </c>
      <c r="E114" s="120"/>
      <c r="F114" s="120"/>
      <c r="G114" s="132">
        <v>8620</v>
      </c>
    </row>
    <row r="115" spans="1:7" s="112" customFormat="1">
      <c r="A115" s="120" t="s">
        <v>269</v>
      </c>
      <c r="B115" s="120" t="s">
        <v>2503</v>
      </c>
      <c r="C115" s="120">
        <v>12460</v>
      </c>
      <c r="D115" s="120">
        <v>12390</v>
      </c>
      <c r="E115" s="120"/>
      <c r="F115" s="120"/>
      <c r="G115" s="132">
        <v>8190</v>
      </c>
    </row>
    <row r="116" spans="1:7" s="112" customFormat="1">
      <c r="A116" s="120" t="s">
        <v>269</v>
      </c>
      <c r="B116" s="120" t="s">
        <v>2510</v>
      </c>
      <c r="C116" s="120">
        <v>13580</v>
      </c>
      <c r="D116" s="120">
        <v>13520</v>
      </c>
      <c r="E116" s="120"/>
      <c r="F116" s="120"/>
      <c r="G116" s="132">
        <v>8930</v>
      </c>
    </row>
    <row r="117" spans="1:7" s="112" customFormat="1">
      <c r="A117" s="120" t="s">
        <v>269</v>
      </c>
      <c r="B117" s="120" t="s">
        <v>2517</v>
      </c>
      <c r="C117" s="120">
        <v>17120</v>
      </c>
      <c r="D117" s="120">
        <v>17040</v>
      </c>
      <c r="E117" s="120"/>
      <c r="F117" s="120"/>
      <c r="G117" s="132">
        <v>11260</v>
      </c>
    </row>
    <row r="118" spans="1:7" s="112" customFormat="1">
      <c r="A118" s="120" t="s">
        <v>269</v>
      </c>
      <c r="B118" s="120" t="s">
        <v>2524</v>
      </c>
      <c r="C118" s="120">
        <v>14860</v>
      </c>
      <c r="D118" s="120">
        <v>14790</v>
      </c>
      <c r="E118" s="120"/>
      <c r="F118" s="120"/>
      <c r="G118" s="132">
        <v>9780</v>
      </c>
    </row>
    <row r="119" spans="1:7" s="112" customFormat="1">
      <c r="A119" s="120" t="s">
        <v>269</v>
      </c>
      <c r="B119" s="120" t="s">
        <v>2529</v>
      </c>
      <c r="C119" s="120">
        <v>16470</v>
      </c>
      <c r="D119" s="120">
        <v>16400</v>
      </c>
      <c r="E119" s="120"/>
      <c r="F119" s="120"/>
      <c r="G119" s="132">
        <v>10840</v>
      </c>
    </row>
    <row r="120" spans="1:7" s="112" customFormat="1">
      <c r="A120" s="120" t="s">
        <v>269</v>
      </c>
      <c r="B120" s="120" t="s">
        <v>2534</v>
      </c>
      <c r="C120" s="120"/>
      <c r="D120" s="120"/>
      <c r="E120" s="120"/>
      <c r="F120" s="120">
        <v>4160</v>
      </c>
      <c r="G120" s="132"/>
    </row>
    <row r="121" spans="1:7" s="112" customFormat="1">
      <c r="A121" s="120" t="s">
        <v>269</v>
      </c>
      <c r="B121" s="120" t="s">
        <v>2539</v>
      </c>
      <c r="C121" s="120"/>
      <c r="D121" s="120"/>
      <c r="E121" s="120"/>
      <c r="F121" s="120">
        <v>3880</v>
      </c>
      <c r="G121" s="132"/>
    </row>
    <row r="122" spans="1:7" s="112" customFormat="1">
      <c r="A122" s="120" t="s">
        <v>269</v>
      </c>
      <c r="B122" s="120" t="s">
        <v>2544</v>
      </c>
      <c r="C122" s="120">
        <v>13750</v>
      </c>
      <c r="D122" s="120">
        <v>13680</v>
      </c>
      <c r="E122" s="120">
        <v>16460</v>
      </c>
      <c r="F122" s="120">
        <v>2880</v>
      </c>
      <c r="G122" s="132">
        <v>9040</v>
      </c>
    </row>
    <row r="123" spans="1:7" s="112" customFormat="1">
      <c r="A123" s="120" t="s">
        <v>269</v>
      </c>
      <c r="B123" s="120" t="s">
        <v>2549</v>
      </c>
      <c r="C123" s="120">
        <v>13590</v>
      </c>
      <c r="D123" s="120">
        <v>13520</v>
      </c>
      <c r="E123" s="120">
        <v>16290</v>
      </c>
      <c r="F123" s="120">
        <v>2790</v>
      </c>
      <c r="G123" s="132">
        <v>8930</v>
      </c>
    </row>
    <row r="124" spans="1:7" s="112" customFormat="1">
      <c r="A124" s="120" t="s">
        <v>269</v>
      </c>
      <c r="B124" s="120" t="s">
        <v>2554</v>
      </c>
      <c r="C124" s="120">
        <v>13400</v>
      </c>
      <c r="D124" s="120">
        <v>13320</v>
      </c>
      <c r="E124" s="120">
        <v>16100</v>
      </c>
      <c r="F124" s="120">
        <v>2320</v>
      </c>
      <c r="G124" s="132">
        <v>8800</v>
      </c>
    </row>
    <row r="125" spans="1:7" s="112" customFormat="1">
      <c r="A125" s="120" t="s">
        <v>269</v>
      </c>
      <c r="B125" s="120" t="s">
        <v>2559</v>
      </c>
      <c r="C125" s="120">
        <v>12860</v>
      </c>
      <c r="D125" s="120">
        <v>12790</v>
      </c>
      <c r="E125" s="120">
        <v>15370</v>
      </c>
      <c r="F125" s="120">
        <v>2280</v>
      </c>
      <c r="G125" s="132">
        <v>8450</v>
      </c>
    </row>
    <row r="126" spans="1:7" s="112" customFormat="1">
      <c r="A126" s="127" t="s">
        <v>269</v>
      </c>
      <c r="B126" s="124" t="s">
        <v>2564</v>
      </c>
      <c r="C126" s="124">
        <v>12960</v>
      </c>
      <c r="D126" s="124">
        <v>12890</v>
      </c>
      <c r="E126" s="124">
        <v>15530</v>
      </c>
      <c r="F126" s="124">
        <v>2910</v>
      </c>
      <c r="G126" s="133">
        <v>8520</v>
      </c>
    </row>
    <row r="127" spans="1:7" s="112" customFormat="1">
      <c r="A127" s="118" t="s">
        <v>275</v>
      </c>
      <c r="B127" s="119" t="s">
        <v>2233</v>
      </c>
      <c r="C127" s="120">
        <v>12280</v>
      </c>
      <c r="D127" s="120">
        <v>12250</v>
      </c>
      <c r="E127" s="120">
        <v>15130</v>
      </c>
      <c r="F127" s="120">
        <v>2710</v>
      </c>
      <c r="G127" s="120">
        <v>7870</v>
      </c>
    </row>
    <row r="128" spans="1:7" s="112" customFormat="1">
      <c r="A128" s="120" t="s">
        <v>275</v>
      </c>
      <c r="B128" s="120" t="s">
        <v>2246</v>
      </c>
      <c r="C128" s="120">
        <v>13180</v>
      </c>
      <c r="D128" s="120">
        <v>13150</v>
      </c>
      <c r="E128" s="120">
        <v>16190</v>
      </c>
      <c r="F128" s="120">
        <v>2820</v>
      </c>
      <c r="G128" s="120">
        <v>8460</v>
      </c>
    </row>
    <row r="129" spans="1:7" s="112" customFormat="1">
      <c r="A129" s="120" t="s">
        <v>275</v>
      </c>
      <c r="B129" s="120" t="s">
        <v>2260</v>
      </c>
      <c r="C129" s="120">
        <v>10950</v>
      </c>
      <c r="D129" s="120">
        <v>10920</v>
      </c>
      <c r="E129" s="120">
        <v>13820</v>
      </c>
      <c r="F129" s="120">
        <v>2500</v>
      </c>
      <c r="G129" s="120">
        <v>7020</v>
      </c>
    </row>
    <row r="130" spans="1:7" s="112" customFormat="1">
      <c r="A130" s="120" t="s">
        <v>275</v>
      </c>
      <c r="B130" s="120" t="s">
        <v>2272</v>
      </c>
      <c r="C130" s="120">
        <v>10910</v>
      </c>
      <c r="D130" s="120">
        <v>10860</v>
      </c>
      <c r="E130" s="120">
        <v>13730</v>
      </c>
      <c r="F130" s="120">
        <v>2760</v>
      </c>
      <c r="G130" s="120">
        <v>6990</v>
      </c>
    </row>
    <row r="131" spans="1:7" s="112" customFormat="1">
      <c r="A131" s="120" t="s">
        <v>275</v>
      </c>
      <c r="B131" s="120" t="s">
        <v>2284</v>
      </c>
      <c r="C131" s="120">
        <v>12910</v>
      </c>
      <c r="D131" s="120">
        <v>12870</v>
      </c>
      <c r="E131" s="120">
        <v>15720</v>
      </c>
      <c r="F131" s="120">
        <v>2750</v>
      </c>
      <c r="G131" s="120">
        <v>8280</v>
      </c>
    </row>
    <row r="132" spans="1:7" s="112" customFormat="1">
      <c r="A132" s="120" t="s">
        <v>275</v>
      </c>
      <c r="B132" s="120" t="s">
        <v>2295</v>
      </c>
      <c r="C132" s="120">
        <v>11910</v>
      </c>
      <c r="D132" s="120">
        <v>11860</v>
      </c>
      <c r="E132" s="120">
        <v>14730</v>
      </c>
      <c r="F132" s="120">
        <v>2360</v>
      </c>
      <c r="G132" s="120">
        <v>7630</v>
      </c>
    </row>
    <row r="133" spans="1:7" s="112" customFormat="1">
      <c r="A133" s="120" t="s">
        <v>275</v>
      </c>
      <c r="B133" s="120" t="s">
        <v>2306</v>
      </c>
      <c r="C133" s="120">
        <v>12270</v>
      </c>
      <c r="D133" s="120">
        <v>12210</v>
      </c>
      <c r="E133" s="120">
        <v>15010</v>
      </c>
      <c r="F133" s="120">
        <v>2580</v>
      </c>
      <c r="G133" s="120">
        <v>7860</v>
      </c>
    </row>
    <row r="134" spans="1:7" s="112" customFormat="1">
      <c r="A134" s="120" t="s">
        <v>275</v>
      </c>
      <c r="B134" s="120" t="s">
        <v>2317</v>
      </c>
      <c r="C134" s="120">
        <v>10800</v>
      </c>
      <c r="D134" s="120">
        <v>10780</v>
      </c>
      <c r="E134" s="120">
        <v>13640</v>
      </c>
      <c r="F134" s="120">
        <v>2110</v>
      </c>
      <c r="G134" s="120">
        <v>6930</v>
      </c>
    </row>
    <row r="135" spans="1:7" s="112" customFormat="1">
      <c r="A135" s="120" t="s">
        <v>275</v>
      </c>
      <c r="B135" s="120" t="s">
        <v>2327</v>
      </c>
      <c r="C135" s="120">
        <v>10430</v>
      </c>
      <c r="D135" s="120">
        <v>10390</v>
      </c>
      <c r="E135" s="120">
        <v>13140</v>
      </c>
      <c r="F135" s="120">
        <v>2240</v>
      </c>
      <c r="G135" s="120">
        <v>6680</v>
      </c>
    </row>
    <row r="136" spans="1:7" s="112" customFormat="1">
      <c r="A136" s="120" t="s">
        <v>275</v>
      </c>
      <c r="B136" s="120" t="s">
        <v>2337</v>
      </c>
      <c r="C136" s="120">
        <v>11930</v>
      </c>
      <c r="D136" s="120">
        <v>11880</v>
      </c>
      <c r="E136" s="120">
        <v>14770</v>
      </c>
      <c r="F136" s="120">
        <v>1970</v>
      </c>
      <c r="G136" s="120">
        <v>7640</v>
      </c>
    </row>
    <row r="137" spans="1:7" s="112" customFormat="1">
      <c r="A137" s="120" t="s">
        <v>275</v>
      </c>
      <c r="B137" s="120" t="s">
        <v>2347</v>
      </c>
      <c r="C137" s="120">
        <v>10470</v>
      </c>
      <c r="D137" s="120">
        <v>10430</v>
      </c>
      <c r="E137" s="120">
        <v>13190</v>
      </c>
      <c r="F137" s="120">
        <v>1990</v>
      </c>
      <c r="G137" s="120">
        <v>6710</v>
      </c>
    </row>
    <row r="138" spans="1:7" s="112" customFormat="1">
      <c r="A138" s="120" t="s">
        <v>275</v>
      </c>
      <c r="B138" s="120" t="s">
        <v>2357</v>
      </c>
      <c r="C138" s="120">
        <v>10410</v>
      </c>
      <c r="D138" s="120">
        <v>10380</v>
      </c>
      <c r="E138" s="120">
        <v>13130</v>
      </c>
      <c r="F138" s="120">
        <v>2030</v>
      </c>
      <c r="G138" s="120">
        <v>6680</v>
      </c>
    </row>
    <row r="139" spans="1:7" s="112" customFormat="1">
      <c r="A139" s="120" t="s">
        <v>275</v>
      </c>
      <c r="B139" s="120" t="s">
        <v>2367</v>
      </c>
      <c r="C139" s="120">
        <v>9460</v>
      </c>
      <c r="D139" s="120">
        <v>9410</v>
      </c>
      <c r="E139" s="120">
        <v>12050</v>
      </c>
      <c r="F139" s="120">
        <v>2140</v>
      </c>
      <c r="G139" s="120">
        <v>6050</v>
      </c>
    </row>
    <row r="140" spans="1:7" s="112" customFormat="1">
      <c r="A140" s="120" t="s">
        <v>275</v>
      </c>
      <c r="B140" s="120" t="s">
        <v>2377</v>
      </c>
      <c r="C140" s="120">
        <v>11030</v>
      </c>
      <c r="D140" s="120">
        <v>10980</v>
      </c>
      <c r="E140" s="120">
        <v>13880</v>
      </c>
      <c r="F140" s="120">
        <v>2210</v>
      </c>
      <c r="G140" s="120">
        <v>7060</v>
      </c>
    </row>
    <row r="141" spans="1:7" s="112" customFormat="1">
      <c r="A141" s="120" t="s">
        <v>275</v>
      </c>
      <c r="B141" s="120" t="s">
        <v>2387</v>
      </c>
      <c r="C141" s="120">
        <v>11200</v>
      </c>
      <c r="D141" s="120">
        <v>11150</v>
      </c>
      <c r="E141" s="120">
        <v>14100</v>
      </c>
      <c r="F141" s="120">
        <v>2470</v>
      </c>
      <c r="G141" s="120">
        <v>7170</v>
      </c>
    </row>
    <row r="142" spans="1:7" s="112" customFormat="1">
      <c r="A142" s="120" t="s">
        <v>275</v>
      </c>
      <c r="B142" s="120" t="s">
        <v>2397</v>
      </c>
      <c r="C142" s="120">
        <v>10780</v>
      </c>
      <c r="D142" s="120">
        <v>10730</v>
      </c>
      <c r="E142" s="120">
        <v>13540</v>
      </c>
      <c r="F142" s="120">
        <v>2280</v>
      </c>
      <c r="G142" s="120">
        <v>6900</v>
      </c>
    </row>
    <row r="143" spans="1:7" s="112" customFormat="1">
      <c r="A143" s="120" t="s">
        <v>275</v>
      </c>
      <c r="B143" s="120" t="s">
        <v>2407</v>
      </c>
      <c r="C143" s="120">
        <v>11550</v>
      </c>
      <c r="D143" s="120">
        <v>11490</v>
      </c>
      <c r="E143" s="120">
        <v>14480</v>
      </c>
      <c r="F143" s="120">
        <v>2070</v>
      </c>
      <c r="G143" s="120">
        <v>7390</v>
      </c>
    </row>
    <row r="144" spans="1:7" s="112" customFormat="1">
      <c r="A144" s="120" t="s">
        <v>275</v>
      </c>
      <c r="B144" s="120" t="s">
        <v>2417</v>
      </c>
      <c r="C144" s="120">
        <v>10720</v>
      </c>
      <c r="D144" s="120">
        <v>10680</v>
      </c>
      <c r="E144" s="120">
        <v>13480</v>
      </c>
      <c r="F144" s="120">
        <v>2440</v>
      </c>
      <c r="G144" s="120">
        <v>6870</v>
      </c>
    </row>
    <row r="145" spans="1:7" s="112" customFormat="1">
      <c r="A145" s="120" t="s">
        <v>275</v>
      </c>
      <c r="B145" s="120" t="s">
        <v>2427</v>
      </c>
      <c r="C145" s="120">
        <v>10340</v>
      </c>
      <c r="D145" s="120">
        <v>10290</v>
      </c>
      <c r="E145" s="120">
        <v>12880</v>
      </c>
      <c r="F145" s="120">
        <v>2650</v>
      </c>
      <c r="G145" s="120">
        <v>6620</v>
      </c>
    </row>
    <row r="146" spans="1:7" s="112" customFormat="1">
      <c r="A146" s="120" t="s">
        <v>275</v>
      </c>
      <c r="B146" s="120" t="s">
        <v>2436</v>
      </c>
      <c r="C146" s="120">
        <v>11890</v>
      </c>
      <c r="D146" s="120">
        <v>11830</v>
      </c>
      <c r="E146" s="120">
        <v>14670</v>
      </c>
      <c r="F146" s="120"/>
      <c r="G146" s="120">
        <v>7610</v>
      </c>
    </row>
    <row r="147" spans="1:7" s="112" customFormat="1">
      <c r="A147" s="120" t="s">
        <v>275</v>
      </c>
      <c r="B147" s="120" t="s">
        <v>2445</v>
      </c>
      <c r="C147" s="120">
        <v>12650</v>
      </c>
      <c r="D147" s="120">
        <v>12600</v>
      </c>
      <c r="E147" s="120">
        <v>15440</v>
      </c>
      <c r="F147" s="120"/>
      <c r="G147" s="120">
        <v>8110</v>
      </c>
    </row>
    <row r="148" spans="1:7" s="112" customFormat="1">
      <c r="A148" s="120" t="s">
        <v>275</v>
      </c>
      <c r="B148" s="120" t="s">
        <v>2453</v>
      </c>
      <c r="C148" s="120">
        <v>10370</v>
      </c>
      <c r="D148" s="120">
        <v>10310</v>
      </c>
      <c r="E148" s="120">
        <v>12970</v>
      </c>
      <c r="F148" s="120"/>
      <c r="G148" s="120">
        <v>6630</v>
      </c>
    </row>
    <row r="149" spans="1:7" s="112" customFormat="1">
      <c r="A149" s="120" t="s">
        <v>275</v>
      </c>
      <c r="B149" s="120" t="s">
        <v>2461</v>
      </c>
      <c r="C149" s="120">
        <v>11600</v>
      </c>
      <c r="D149" s="120">
        <v>11560</v>
      </c>
      <c r="E149" s="120">
        <v>14540</v>
      </c>
      <c r="F149" s="120">
        <v>2390</v>
      </c>
      <c r="G149" s="120">
        <v>7430</v>
      </c>
    </row>
    <row r="150" spans="1:7" s="112" customFormat="1">
      <c r="A150" s="120" t="s">
        <v>275</v>
      </c>
      <c r="B150" s="120" t="s">
        <v>2469</v>
      </c>
      <c r="C150" s="120">
        <v>9950</v>
      </c>
      <c r="D150" s="120">
        <v>9890</v>
      </c>
      <c r="E150" s="120">
        <v>12590</v>
      </c>
      <c r="F150" s="120">
        <v>1970</v>
      </c>
      <c r="G150" s="120">
        <v>6360</v>
      </c>
    </row>
    <row r="151" spans="1:7" s="112" customFormat="1">
      <c r="A151" s="120" t="s">
        <v>275</v>
      </c>
      <c r="B151" s="120" t="s">
        <v>2476</v>
      </c>
      <c r="C151" s="120">
        <v>10700</v>
      </c>
      <c r="D151" s="120">
        <v>10650</v>
      </c>
      <c r="E151" s="120">
        <v>13420</v>
      </c>
      <c r="F151" s="120">
        <v>2020</v>
      </c>
      <c r="G151" s="120">
        <v>6850</v>
      </c>
    </row>
    <row r="152" spans="1:7" s="112" customFormat="1">
      <c r="A152" s="120" t="s">
        <v>275</v>
      </c>
      <c r="B152" s="120" t="s">
        <v>2483</v>
      </c>
      <c r="C152" s="120">
        <v>10310</v>
      </c>
      <c r="D152" s="120">
        <v>10260</v>
      </c>
      <c r="E152" s="120">
        <v>12820</v>
      </c>
      <c r="F152" s="120">
        <v>1980</v>
      </c>
      <c r="G152" s="120">
        <v>6600</v>
      </c>
    </row>
    <row r="153" spans="1:7" s="112" customFormat="1">
      <c r="A153" s="120" t="s">
        <v>275</v>
      </c>
      <c r="B153" s="120" t="s">
        <v>2490</v>
      </c>
      <c r="C153" s="120">
        <v>10880</v>
      </c>
      <c r="D153" s="120">
        <v>10820</v>
      </c>
      <c r="E153" s="120">
        <v>13660</v>
      </c>
      <c r="F153" s="120">
        <v>2260</v>
      </c>
      <c r="G153" s="120">
        <v>6970</v>
      </c>
    </row>
    <row r="154" spans="1:7" s="112" customFormat="1">
      <c r="A154" s="120" t="s">
        <v>275</v>
      </c>
      <c r="B154" s="120" t="s">
        <v>2497</v>
      </c>
      <c r="C154" s="120">
        <v>11220</v>
      </c>
      <c r="D154" s="120">
        <v>11160</v>
      </c>
      <c r="E154" s="120">
        <v>14130</v>
      </c>
      <c r="F154" s="120">
        <v>2230</v>
      </c>
      <c r="G154" s="120">
        <v>7180</v>
      </c>
    </row>
    <row r="155" spans="1:7" s="112" customFormat="1">
      <c r="A155" s="120" t="s">
        <v>275</v>
      </c>
      <c r="B155" s="120" t="s">
        <v>2504</v>
      </c>
      <c r="C155" s="120">
        <v>10430</v>
      </c>
      <c r="D155" s="120">
        <v>10380</v>
      </c>
      <c r="E155" s="120">
        <v>13140</v>
      </c>
      <c r="F155" s="120">
        <v>2080</v>
      </c>
      <c r="G155" s="120">
        <v>6650</v>
      </c>
    </row>
    <row r="156" spans="1:7" s="112" customFormat="1">
      <c r="A156" s="120" t="s">
        <v>275</v>
      </c>
      <c r="B156" s="120" t="s">
        <v>2511</v>
      </c>
      <c r="C156" s="120">
        <v>10440</v>
      </c>
      <c r="D156" s="120">
        <v>10400</v>
      </c>
      <c r="E156" s="120">
        <v>13150</v>
      </c>
      <c r="F156" s="120">
        <v>2490</v>
      </c>
      <c r="G156" s="120">
        <v>6690</v>
      </c>
    </row>
    <row r="157" spans="1:7" s="112" customFormat="1">
      <c r="A157" s="120" t="s">
        <v>275</v>
      </c>
      <c r="B157" s="120" t="s">
        <v>2518</v>
      </c>
      <c r="C157" s="120">
        <v>10970</v>
      </c>
      <c r="D157" s="120">
        <v>10920</v>
      </c>
      <c r="E157" s="120">
        <v>13840</v>
      </c>
      <c r="F157" s="120">
        <v>2420</v>
      </c>
      <c r="G157" s="120">
        <v>7020</v>
      </c>
    </row>
    <row r="158" spans="1:7" s="112" customFormat="1">
      <c r="A158" s="120" t="s">
        <v>275</v>
      </c>
      <c r="B158" s="120" t="s">
        <v>2525</v>
      </c>
      <c r="C158" s="120">
        <v>9590</v>
      </c>
      <c r="D158" s="120">
        <v>9540</v>
      </c>
      <c r="E158" s="120">
        <v>12210</v>
      </c>
      <c r="F158" s="120">
        <v>2100</v>
      </c>
      <c r="G158" s="120">
        <v>6130</v>
      </c>
    </row>
    <row r="159" spans="1:7" s="112" customFormat="1">
      <c r="A159" s="120" t="s">
        <v>275</v>
      </c>
      <c r="B159" s="120" t="s">
        <v>2530</v>
      </c>
      <c r="C159" s="120">
        <v>11190</v>
      </c>
      <c r="D159" s="120">
        <v>11140</v>
      </c>
      <c r="E159" s="120">
        <v>14090</v>
      </c>
      <c r="F159" s="120">
        <v>2470</v>
      </c>
      <c r="G159" s="120">
        <v>7170</v>
      </c>
    </row>
    <row r="160" spans="1:7" s="112" customFormat="1">
      <c r="A160" s="120" t="s">
        <v>275</v>
      </c>
      <c r="B160" s="120" t="s">
        <v>2535</v>
      </c>
      <c r="C160" s="120">
        <v>11180</v>
      </c>
      <c r="D160" s="120">
        <v>11140</v>
      </c>
      <c r="E160" s="120">
        <v>14050</v>
      </c>
      <c r="F160" s="120">
        <v>2270</v>
      </c>
      <c r="G160" s="120">
        <v>7170</v>
      </c>
    </row>
    <row r="161" spans="1:7" s="112" customFormat="1">
      <c r="A161" s="120" t="s">
        <v>275</v>
      </c>
      <c r="B161" s="120" t="s">
        <v>2540</v>
      </c>
      <c r="C161" s="120">
        <v>11160</v>
      </c>
      <c r="D161" s="120">
        <v>11120</v>
      </c>
      <c r="E161" s="120">
        <v>14020</v>
      </c>
      <c r="F161" s="120">
        <v>2150</v>
      </c>
      <c r="G161" s="120">
        <v>7160</v>
      </c>
    </row>
    <row r="162" spans="1:7" s="112" customFormat="1">
      <c r="A162" s="120" t="s">
        <v>275</v>
      </c>
      <c r="B162" s="120" t="s">
        <v>2545</v>
      </c>
      <c r="C162" s="120">
        <v>9620</v>
      </c>
      <c r="D162" s="120">
        <v>9570</v>
      </c>
      <c r="E162" s="120">
        <v>12320</v>
      </c>
      <c r="F162" s="120">
        <v>2010</v>
      </c>
      <c r="G162" s="120">
        <v>6160</v>
      </c>
    </row>
    <row r="163" spans="1:7" s="112" customFormat="1">
      <c r="A163" s="120" t="s">
        <v>275</v>
      </c>
      <c r="B163" s="120" t="s">
        <v>2550</v>
      </c>
      <c r="C163" s="120">
        <v>9320</v>
      </c>
      <c r="D163" s="120">
        <v>9270</v>
      </c>
      <c r="E163" s="120">
        <v>11790</v>
      </c>
      <c r="F163" s="120">
        <v>1920</v>
      </c>
      <c r="G163" s="120">
        <v>5960</v>
      </c>
    </row>
    <row r="164" spans="1:7" s="112" customFormat="1">
      <c r="A164" s="120" t="s">
        <v>275</v>
      </c>
      <c r="B164" s="120" t="s">
        <v>2555</v>
      </c>
      <c r="C164" s="120"/>
      <c r="D164" s="120"/>
      <c r="E164" s="120"/>
      <c r="F164" s="120">
        <v>1980</v>
      </c>
      <c r="G164" s="120"/>
    </row>
    <row r="165" spans="1:7" s="112" customFormat="1">
      <c r="A165" s="120" t="s">
        <v>275</v>
      </c>
      <c r="B165" s="120" t="s">
        <v>2560</v>
      </c>
      <c r="C165" s="120">
        <v>11060</v>
      </c>
      <c r="D165" s="120">
        <v>11030</v>
      </c>
      <c r="E165" s="120">
        <v>13850</v>
      </c>
      <c r="F165" s="120">
        <v>2170</v>
      </c>
      <c r="G165" s="120">
        <v>7090</v>
      </c>
    </row>
    <row r="166" spans="1:7" s="112" customFormat="1">
      <c r="A166" s="120" t="s">
        <v>275</v>
      </c>
      <c r="B166" s="120" t="s">
        <v>2565</v>
      </c>
      <c r="C166" s="120">
        <v>11050</v>
      </c>
      <c r="D166" s="120">
        <v>11010</v>
      </c>
      <c r="E166" s="120">
        <v>13920</v>
      </c>
      <c r="F166" s="120">
        <v>2140</v>
      </c>
      <c r="G166" s="120">
        <v>7080</v>
      </c>
    </row>
    <row r="167" spans="1:7" s="112" customFormat="1">
      <c r="A167" s="120" t="s">
        <v>275</v>
      </c>
      <c r="B167" s="120" t="s">
        <v>2569</v>
      </c>
      <c r="C167" s="120">
        <v>10930</v>
      </c>
      <c r="D167" s="120">
        <v>10890</v>
      </c>
      <c r="E167" s="120">
        <v>13790</v>
      </c>
      <c r="F167" s="120">
        <v>2010</v>
      </c>
      <c r="G167" s="120">
        <v>7000</v>
      </c>
    </row>
    <row r="168" spans="1:7" s="112" customFormat="1">
      <c r="A168" s="120" t="s">
        <v>275</v>
      </c>
      <c r="B168" s="120" t="s">
        <v>2573</v>
      </c>
      <c r="C168" s="120">
        <v>9420</v>
      </c>
      <c r="D168" s="120">
        <v>9380</v>
      </c>
      <c r="E168" s="120">
        <v>11970</v>
      </c>
      <c r="F168" s="120"/>
      <c r="G168" s="120">
        <v>6040</v>
      </c>
    </row>
    <row r="169" spans="1:7" s="112" customFormat="1">
      <c r="A169" s="120" t="s">
        <v>275</v>
      </c>
      <c r="B169" s="120" t="s">
        <v>2577</v>
      </c>
      <c r="C169" s="120"/>
      <c r="D169" s="120"/>
      <c r="E169" s="120"/>
      <c r="F169" s="120">
        <v>2880</v>
      </c>
      <c r="G169" s="120"/>
    </row>
    <row r="170" spans="1:7" s="112" customFormat="1">
      <c r="A170" s="120" t="s">
        <v>275</v>
      </c>
      <c r="B170" s="120" t="s">
        <v>2581</v>
      </c>
      <c r="C170" s="120"/>
      <c r="D170" s="120"/>
      <c r="E170" s="120"/>
      <c r="F170" s="120">
        <v>2880</v>
      </c>
      <c r="G170" s="120"/>
    </row>
    <row r="171" spans="1:7" s="112" customFormat="1">
      <c r="A171" s="120" t="s">
        <v>275</v>
      </c>
      <c r="B171" s="120" t="s">
        <v>2584</v>
      </c>
      <c r="C171" s="120"/>
      <c r="D171" s="120"/>
      <c r="E171" s="120"/>
      <c r="F171" s="120">
        <v>2880</v>
      </c>
      <c r="G171" s="120"/>
    </row>
    <row r="172" spans="1:7" s="112" customFormat="1">
      <c r="A172" s="120" t="s">
        <v>275</v>
      </c>
      <c r="B172" s="120" t="s">
        <v>2586</v>
      </c>
      <c r="C172" s="120"/>
      <c r="D172" s="120"/>
      <c r="E172" s="120"/>
      <c r="F172" s="120">
        <v>2880</v>
      </c>
      <c r="G172" s="120"/>
    </row>
    <row r="173" spans="1:7" s="112" customFormat="1">
      <c r="A173" s="120" t="s">
        <v>275</v>
      </c>
      <c r="B173" s="120" t="s">
        <v>2588</v>
      </c>
      <c r="C173" s="120"/>
      <c r="D173" s="120"/>
      <c r="E173" s="120"/>
      <c r="F173" s="120">
        <v>2150</v>
      </c>
      <c r="G173" s="120"/>
    </row>
    <row r="174" spans="1:7" s="112" customFormat="1">
      <c r="A174" s="120" t="s">
        <v>275</v>
      </c>
      <c r="B174" s="120" t="s">
        <v>2590</v>
      </c>
      <c r="C174" s="120"/>
      <c r="D174" s="120"/>
      <c r="E174" s="120"/>
      <c r="F174" s="120">
        <v>2030</v>
      </c>
      <c r="G174" s="120"/>
    </row>
    <row r="175" spans="1:7" s="112" customFormat="1">
      <c r="A175" s="120" t="s">
        <v>275</v>
      </c>
      <c r="B175" s="120" t="s">
        <v>2592</v>
      </c>
      <c r="C175" s="120"/>
      <c r="D175" s="120"/>
      <c r="E175" s="120"/>
      <c r="F175" s="120">
        <v>2780</v>
      </c>
      <c r="G175" s="120"/>
    </row>
    <row r="176" spans="1:7" s="112" customFormat="1">
      <c r="A176" s="120" t="s">
        <v>275</v>
      </c>
      <c r="B176" s="120" t="s">
        <v>2594</v>
      </c>
      <c r="C176" s="120"/>
      <c r="D176" s="120"/>
      <c r="E176" s="120"/>
      <c r="F176" s="120">
        <v>2780</v>
      </c>
      <c r="G176" s="120"/>
    </row>
    <row r="177" spans="1:7" s="112" customFormat="1">
      <c r="A177" s="120" t="s">
        <v>275</v>
      </c>
      <c r="B177" s="120" t="s">
        <v>2596</v>
      </c>
      <c r="C177" s="120"/>
      <c r="D177" s="120"/>
      <c r="E177" s="120"/>
      <c r="F177" s="120">
        <v>2780</v>
      </c>
      <c r="G177" s="120"/>
    </row>
    <row r="178" spans="1:7" s="112" customFormat="1">
      <c r="A178" s="120" t="s">
        <v>275</v>
      </c>
      <c r="B178" s="120" t="s">
        <v>2597</v>
      </c>
      <c r="C178" s="120"/>
      <c r="D178" s="120"/>
      <c r="E178" s="120"/>
      <c r="F178" s="120">
        <v>2060</v>
      </c>
      <c r="G178" s="120"/>
    </row>
    <row r="179" spans="1:7" s="112" customFormat="1">
      <c r="A179" s="120" t="s">
        <v>275</v>
      </c>
      <c r="B179" s="120" t="s">
        <v>2598</v>
      </c>
      <c r="C179" s="120"/>
      <c r="D179" s="120"/>
      <c r="E179" s="120"/>
      <c r="F179" s="120">
        <v>2120</v>
      </c>
      <c r="G179" s="120"/>
    </row>
    <row r="180" spans="1:7" s="112" customFormat="1">
      <c r="A180" s="120" t="s">
        <v>275</v>
      </c>
      <c r="B180" s="120" t="s">
        <v>2599</v>
      </c>
      <c r="C180" s="120"/>
      <c r="D180" s="120"/>
      <c r="E180" s="120"/>
      <c r="F180" s="120">
        <v>2340</v>
      </c>
      <c r="G180" s="120"/>
    </row>
    <row r="181" spans="1:7" s="112" customFormat="1">
      <c r="A181" s="120" t="s">
        <v>275</v>
      </c>
      <c r="B181" s="120" t="s">
        <v>2600</v>
      </c>
      <c r="C181" s="120"/>
      <c r="D181" s="120"/>
      <c r="E181" s="120"/>
      <c r="F181" s="120">
        <v>2340</v>
      </c>
      <c r="G181" s="120"/>
    </row>
    <row r="182" spans="1:7" s="112" customFormat="1">
      <c r="A182" s="120" t="s">
        <v>275</v>
      </c>
      <c r="B182" s="120" t="s">
        <v>2601</v>
      </c>
      <c r="C182" s="120"/>
      <c r="D182" s="120"/>
      <c r="E182" s="120"/>
      <c r="F182" s="120">
        <v>2340</v>
      </c>
      <c r="G182" s="120"/>
    </row>
    <row r="183" spans="1:7" s="112" customFormat="1">
      <c r="A183" s="120" t="s">
        <v>275</v>
      </c>
      <c r="B183" s="120" t="s">
        <v>2602</v>
      </c>
      <c r="C183" s="120"/>
      <c r="D183" s="120"/>
      <c r="E183" s="120"/>
      <c r="F183" s="120">
        <v>2340</v>
      </c>
      <c r="G183" s="120"/>
    </row>
    <row r="184" spans="1:7" s="112" customFormat="1">
      <c r="A184" s="120" t="s">
        <v>275</v>
      </c>
      <c r="B184" s="120" t="s">
        <v>2603</v>
      </c>
      <c r="C184" s="120"/>
      <c r="D184" s="120"/>
      <c r="E184" s="120"/>
      <c r="F184" s="120">
        <v>2340</v>
      </c>
      <c r="G184" s="120"/>
    </row>
    <row r="185" spans="1:7" s="112" customFormat="1">
      <c r="A185" s="120" t="s">
        <v>275</v>
      </c>
      <c r="B185" s="120" t="s">
        <v>2604</v>
      </c>
      <c r="C185" s="120"/>
      <c r="D185" s="120"/>
      <c r="E185" s="120"/>
      <c r="F185" s="120">
        <v>2530</v>
      </c>
      <c r="G185" s="120"/>
    </row>
    <row r="186" spans="1:7" s="112" customFormat="1">
      <c r="A186" s="120" t="s">
        <v>275</v>
      </c>
      <c r="B186" s="120" t="s">
        <v>2605</v>
      </c>
      <c r="C186" s="120"/>
      <c r="D186" s="120"/>
      <c r="E186" s="120"/>
      <c r="F186" s="120">
        <v>2550</v>
      </c>
      <c r="G186" s="120"/>
    </row>
    <row r="187" spans="1:7" s="112" customFormat="1">
      <c r="A187" s="120" t="s">
        <v>275</v>
      </c>
      <c r="B187" s="120" t="s">
        <v>2606</v>
      </c>
      <c r="C187" s="120"/>
      <c r="D187" s="120"/>
      <c r="E187" s="120"/>
      <c r="F187" s="120">
        <v>2070</v>
      </c>
      <c r="G187" s="120"/>
    </row>
    <row r="188" spans="1:7" s="112" customFormat="1">
      <c r="A188" s="120" t="s">
        <v>275</v>
      </c>
      <c r="B188" s="120" t="s">
        <v>2607</v>
      </c>
      <c r="C188" s="120"/>
      <c r="D188" s="120"/>
      <c r="E188" s="120"/>
      <c r="F188" s="120">
        <v>2340</v>
      </c>
      <c r="G188" s="120"/>
    </row>
    <row r="189" spans="1:7" s="112" customFormat="1">
      <c r="A189" s="122" t="s">
        <v>275</v>
      </c>
      <c r="B189" s="126" t="s">
        <v>2608</v>
      </c>
      <c r="C189" s="126"/>
      <c r="D189" s="126"/>
      <c r="E189" s="126"/>
      <c r="F189" s="126">
        <v>2050</v>
      </c>
      <c r="G189" s="126"/>
    </row>
    <row r="190" spans="1:7" s="112" customFormat="1">
      <c r="A190" s="118" t="s">
        <v>281</v>
      </c>
      <c r="B190" s="119" t="s">
        <v>2234</v>
      </c>
      <c r="C190" s="119">
        <v>8830</v>
      </c>
      <c r="D190" s="119">
        <v>8790</v>
      </c>
      <c r="E190" s="119">
        <v>11630</v>
      </c>
      <c r="F190" s="119">
        <v>1790</v>
      </c>
      <c r="G190" s="131">
        <v>5550</v>
      </c>
    </row>
    <row r="191" spans="1:7" s="112" customFormat="1">
      <c r="A191" s="120" t="s">
        <v>281</v>
      </c>
      <c r="B191" s="120" t="s">
        <v>2247</v>
      </c>
      <c r="C191" s="120">
        <v>9780</v>
      </c>
      <c r="D191" s="120">
        <v>9710</v>
      </c>
      <c r="E191" s="120">
        <v>12550</v>
      </c>
      <c r="F191" s="120">
        <v>1980</v>
      </c>
      <c r="G191" s="132">
        <v>6130</v>
      </c>
    </row>
    <row r="192" spans="1:7" s="112" customFormat="1">
      <c r="A192" s="120" t="s">
        <v>281</v>
      </c>
      <c r="B192" s="120" t="s">
        <v>2261</v>
      </c>
      <c r="C192" s="120">
        <v>8180</v>
      </c>
      <c r="D192" s="120">
        <v>8140</v>
      </c>
      <c r="E192" s="120">
        <v>10870</v>
      </c>
      <c r="F192" s="120">
        <v>1690</v>
      </c>
      <c r="G192" s="132">
        <v>5140</v>
      </c>
    </row>
    <row r="193" spans="1:7" s="112" customFormat="1">
      <c r="A193" s="120" t="s">
        <v>281</v>
      </c>
      <c r="B193" s="120" t="s">
        <v>2273</v>
      </c>
      <c r="C193" s="120">
        <v>8440</v>
      </c>
      <c r="D193" s="120">
        <v>8390</v>
      </c>
      <c r="E193" s="120">
        <v>11210</v>
      </c>
      <c r="F193" s="120">
        <v>1600</v>
      </c>
      <c r="G193" s="132">
        <v>5300</v>
      </c>
    </row>
    <row r="194" spans="1:7" s="112" customFormat="1">
      <c r="A194" s="120" t="s">
        <v>281</v>
      </c>
      <c r="B194" s="120" t="s">
        <v>2285</v>
      </c>
      <c r="C194" s="120">
        <v>8780</v>
      </c>
      <c r="D194" s="120">
        <v>8730</v>
      </c>
      <c r="E194" s="120">
        <v>11550</v>
      </c>
      <c r="F194" s="120">
        <v>1660</v>
      </c>
      <c r="G194" s="132">
        <v>5520</v>
      </c>
    </row>
    <row r="195" spans="1:7" s="112" customFormat="1">
      <c r="A195" s="120" t="s">
        <v>281</v>
      </c>
      <c r="B195" s="120" t="s">
        <v>2296</v>
      </c>
      <c r="C195" s="120">
        <v>8720</v>
      </c>
      <c r="D195" s="120">
        <v>8670</v>
      </c>
      <c r="E195" s="120">
        <v>11450</v>
      </c>
      <c r="F195" s="120">
        <v>1720</v>
      </c>
      <c r="G195" s="132">
        <v>5480</v>
      </c>
    </row>
    <row r="196" spans="1:7" s="112" customFormat="1">
      <c r="A196" s="120" t="s">
        <v>281</v>
      </c>
      <c r="B196" s="120" t="s">
        <v>2307</v>
      </c>
      <c r="C196" s="120">
        <v>8460</v>
      </c>
      <c r="D196" s="120">
        <v>8410</v>
      </c>
      <c r="E196" s="120">
        <v>11230</v>
      </c>
      <c r="F196" s="120">
        <v>1730</v>
      </c>
      <c r="G196" s="132">
        <v>5310</v>
      </c>
    </row>
    <row r="197" spans="1:7" s="112" customFormat="1">
      <c r="A197" s="120" t="s">
        <v>281</v>
      </c>
      <c r="B197" s="120" t="s">
        <v>2318</v>
      </c>
      <c r="C197" s="120">
        <v>8790</v>
      </c>
      <c r="D197" s="120">
        <v>8730</v>
      </c>
      <c r="E197" s="120">
        <v>11560</v>
      </c>
      <c r="F197" s="120">
        <v>1750</v>
      </c>
      <c r="G197" s="132">
        <v>5520</v>
      </c>
    </row>
    <row r="198" spans="1:7" s="112" customFormat="1">
      <c r="A198" s="120" t="s">
        <v>281</v>
      </c>
      <c r="B198" s="120" t="s">
        <v>2328</v>
      </c>
      <c r="C198" s="120">
        <v>8720</v>
      </c>
      <c r="D198" s="120">
        <v>8680</v>
      </c>
      <c r="E198" s="120">
        <v>11470</v>
      </c>
      <c r="F198" s="120"/>
      <c r="G198" s="132">
        <v>5480</v>
      </c>
    </row>
    <row r="199" spans="1:7" s="112" customFormat="1">
      <c r="A199" s="120" t="s">
        <v>281</v>
      </c>
      <c r="B199" s="120" t="s">
        <v>2338</v>
      </c>
      <c r="C199" s="120">
        <v>8690</v>
      </c>
      <c r="D199" s="120">
        <v>8630</v>
      </c>
      <c r="E199" s="120">
        <v>11350</v>
      </c>
      <c r="F199" s="120">
        <v>1600</v>
      </c>
      <c r="G199" s="132">
        <v>5450</v>
      </c>
    </row>
    <row r="200" spans="1:7" s="112" customFormat="1">
      <c r="A200" s="120" t="s">
        <v>281</v>
      </c>
      <c r="B200" s="120" t="s">
        <v>2348</v>
      </c>
      <c r="C200" s="120"/>
      <c r="D200" s="120"/>
      <c r="E200" s="120"/>
      <c r="F200" s="120">
        <v>1510</v>
      </c>
      <c r="G200" s="132"/>
    </row>
    <row r="201" spans="1:7" s="112" customFormat="1">
      <c r="A201" s="120" t="s">
        <v>281</v>
      </c>
      <c r="B201" s="120" t="s">
        <v>2358</v>
      </c>
      <c r="C201" s="120">
        <v>8440</v>
      </c>
      <c r="D201" s="120">
        <v>8390</v>
      </c>
      <c r="E201" s="120">
        <v>10930</v>
      </c>
      <c r="F201" s="120">
        <v>1500</v>
      </c>
      <c r="G201" s="132">
        <v>5300</v>
      </c>
    </row>
    <row r="202" spans="1:7" s="112" customFormat="1">
      <c r="A202" s="120" t="s">
        <v>281</v>
      </c>
      <c r="B202" s="120" t="s">
        <v>2368</v>
      </c>
      <c r="C202" s="120">
        <v>8530</v>
      </c>
      <c r="D202" s="120">
        <v>8490</v>
      </c>
      <c r="E202" s="120">
        <v>11160</v>
      </c>
      <c r="F202" s="120">
        <v>1580</v>
      </c>
      <c r="G202" s="132">
        <v>5360</v>
      </c>
    </row>
    <row r="203" spans="1:7" s="112" customFormat="1">
      <c r="A203" s="120" t="s">
        <v>281</v>
      </c>
      <c r="B203" s="120" t="s">
        <v>2378</v>
      </c>
      <c r="C203" s="120">
        <v>8130</v>
      </c>
      <c r="D203" s="120">
        <v>8070</v>
      </c>
      <c r="E203" s="120">
        <v>10820</v>
      </c>
      <c r="F203" s="120">
        <v>1690</v>
      </c>
      <c r="G203" s="132">
        <v>5100</v>
      </c>
    </row>
    <row r="204" spans="1:7" s="112" customFormat="1">
      <c r="A204" s="120" t="s">
        <v>281</v>
      </c>
      <c r="B204" s="120" t="s">
        <v>2388</v>
      </c>
      <c r="C204" s="120">
        <v>8350</v>
      </c>
      <c r="D204" s="120">
        <v>8290</v>
      </c>
      <c r="E204" s="120">
        <v>11080</v>
      </c>
      <c r="F204" s="120">
        <v>1450</v>
      </c>
      <c r="G204" s="132">
        <v>5240</v>
      </c>
    </row>
    <row r="205" spans="1:7" s="112" customFormat="1">
      <c r="A205" s="120" t="s">
        <v>281</v>
      </c>
      <c r="B205" s="120" t="s">
        <v>2398</v>
      </c>
      <c r="C205" s="120">
        <v>7190</v>
      </c>
      <c r="D205" s="120">
        <v>7130</v>
      </c>
      <c r="E205" s="120">
        <v>9490</v>
      </c>
      <c r="F205" s="120">
        <v>1470</v>
      </c>
      <c r="G205" s="132">
        <v>4510</v>
      </c>
    </row>
    <row r="206" spans="1:7" s="112" customFormat="1">
      <c r="A206" s="120" t="s">
        <v>281</v>
      </c>
      <c r="B206" s="120" t="s">
        <v>2408</v>
      </c>
      <c r="C206" s="120">
        <v>7000</v>
      </c>
      <c r="D206" s="120">
        <v>6950</v>
      </c>
      <c r="E206" s="120">
        <v>9170</v>
      </c>
      <c r="F206" s="120">
        <v>1400</v>
      </c>
      <c r="G206" s="132">
        <v>4380</v>
      </c>
    </row>
    <row r="207" spans="1:7" s="112" customFormat="1">
      <c r="A207" s="120" t="s">
        <v>281</v>
      </c>
      <c r="B207" s="120" t="s">
        <v>2418</v>
      </c>
      <c r="C207" s="120">
        <v>6950</v>
      </c>
      <c r="D207" s="120">
        <v>6900</v>
      </c>
      <c r="E207" s="120">
        <v>9110</v>
      </c>
      <c r="F207" s="120">
        <v>1790</v>
      </c>
      <c r="G207" s="132">
        <v>4360</v>
      </c>
    </row>
    <row r="208" spans="1:7" s="112" customFormat="1">
      <c r="A208" s="120" t="s">
        <v>281</v>
      </c>
      <c r="B208" s="120" t="s">
        <v>2428</v>
      </c>
      <c r="C208" s="120">
        <v>9470</v>
      </c>
      <c r="D208" s="120">
        <v>9410</v>
      </c>
      <c r="E208" s="120">
        <v>12330</v>
      </c>
      <c r="F208" s="120">
        <v>1770</v>
      </c>
      <c r="G208" s="132">
        <v>5940</v>
      </c>
    </row>
    <row r="209" spans="1:7" s="112" customFormat="1">
      <c r="A209" s="120" t="s">
        <v>281</v>
      </c>
      <c r="B209" s="120" t="s">
        <v>2437</v>
      </c>
      <c r="C209" s="120">
        <v>8740</v>
      </c>
      <c r="D209" s="120">
        <v>8700</v>
      </c>
      <c r="E209" s="120">
        <v>11500</v>
      </c>
      <c r="F209" s="120">
        <v>1730</v>
      </c>
      <c r="G209" s="132">
        <v>5490</v>
      </c>
    </row>
    <row r="210" spans="1:7" s="112" customFormat="1">
      <c r="A210" s="120" t="s">
        <v>281</v>
      </c>
      <c r="B210" s="120" t="s">
        <v>2446</v>
      </c>
      <c r="C210" s="120">
        <v>8710</v>
      </c>
      <c r="D210" s="120">
        <v>8660</v>
      </c>
      <c r="E210" s="120">
        <v>11440</v>
      </c>
      <c r="F210" s="120">
        <v>1740</v>
      </c>
      <c r="G210" s="132">
        <v>5470</v>
      </c>
    </row>
    <row r="211" spans="1:7" s="112" customFormat="1">
      <c r="A211" s="120" t="s">
        <v>281</v>
      </c>
      <c r="B211" s="120" t="s">
        <v>2454</v>
      </c>
      <c r="C211" s="120">
        <v>9480</v>
      </c>
      <c r="D211" s="120">
        <v>9430</v>
      </c>
      <c r="E211" s="120">
        <v>12360</v>
      </c>
      <c r="F211" s="120">
        <v>1820</v>
      </c>
      <c r="G211" s="132">
        <v>5950</v>
      </c>
    </row>
    <row r="212" spans="1:7" s="112" customFormat="1">
      <c r="A212" s="120" t="s">
        <v>281</v>
      </c>
      <c r="B212" s="120" t="s">
        <v>2462</v>
      </c>
      <c r="C212" s="120">
        <v>9070</v>
      </c>
      <c r="D212" s="120">
        <v>9020</v>
      </c>
      <c r="E212" s="120">
        <v>11720</v>
      </c>
      <c r="F212" s="120">
        <v>1850</v>
      </c>
      <c r="G212" s="132">
        <v>5700</v>
      </c>
    </row>
    <row r="213" spans="1:7" s="112" customFormat="1">
      <c r="A213" s="120" t="s">
        <v>281</v>
      </c>
      <c r="B213" s="120" t="s">
        <v>2470</v>
      </c>
      <c r="C213" s="120">
        <v>9030</v>
      </c>
      <c r="D213" s="120">
        <v>8980</v>
      </c>
      <c r="E213" s="120">
        <v>11670</v>
      </c>
      <c r="F213" s="120">
        <v>1690</v>
      </c>
      <c r="G213" s="132">
        <v>5670</v>
      </c>
    </row>
    <row r="214" spans="1:7" s="112" customFormat="1">
      <c r="A214" s="120" t="s">
        <v>281</v>
      </c>
      <c r="B214" s="120" t="s">
        <v>2477</v>
      </c>
      <c r="C214" s="120">
        <v>8090</v>
      </c>
      <c r="D214" s="120">
        <v>8030</v>
      </c>
      <c r="E214" s="120">
        <v>10780</v>
      </c>
      <c r="F214" s="120">
        <v>1570</v>
      </c>
      <c r="G214" s="132">
        <v>5070</v>
      </c>
    </row>
    <row r="215" spans="1:7" s="112" customFormat="1">
      <c r="A215" s="120" t="s">
        <v>281</v>
      </c>
      <c r="B215" s="120" t="s">
        <v>2484</v>
      </c>
      <c r="C215" s="120">
        <v>7950</v>
      </c>
      <c r="D215" s="120">
        <v>7900</v>
      </c>
      <c r="E215" s="120">
        <v>10560</v>
      </c>
      <c r="F215" s="120">
        <v>1630</v>
      </c>
      <c r="G215" s="132">
        <v>4990</v>
      </c>
    </row>
    <row r="216" spans="1:7" s="112" customFormat="1">
      <c r="A216" s="120" t="s">
        <v>281</v>
      </c>
      <c r="B216" s="120" t="s">
        <v>2491</v>
      </c>
      <c r="C216" s="120">
        <v>8490</v>
      </c>
      <c r="D216" s="120">
        <v>8440</v>
      </c>
      <c r="E216" s="120">
        <v>11260</v>
      </c>
      <c r="F216" s="120">
        <v>1690</v>
      </c>
      <c r="G216" s="132">
        <v>5330</v>
      </c>
    </row>
    <row r="217" spans="1:7" s="112" customFormat="1">
      <c r="A217" s="120" t="s">
        <v>281</v>
      </c>
      <c r="B217" s="120" t="s">
        <v>2498</v>
      </c>
      <c r="C217" s="120">
        <v>8200</v>
      </c>
      <c r="D217" s="120">
        <v>8150</v>
      </c>
      <c r="E217" s="120">
        <v>10910</v>
      </c>
      <c r="F217" s="120">
        <v>1670</v>
      </c>
      <c r="G217" s="132">
        <v>5150</v>
      </c>
    </row>
    <row r="218" spans="1:7" s="112" customFormat="1">
      <c r="A218" s="120" t="s">
        <v>281</v>
      </c>
      <c r="B218" s="120" t="s">
        <v>2505</v>
      </c>
      <c r="C218" s="120"/>
      <c r="D218" s="120"/>
      <c r="E218" s="120"/>
      <c r="F218" s="120">
        <v>2040</v>
      </c>
      <c r="G218" s="132"/>
    </row>
    <row r="219" spans="1:7" s="112" customFormat="1">
      <c r="A219" s="120" t="s">
        <v>281</v>
      </c>
      <c r="B219" s="120" t="s">
        <v>2512</v>
      </c>
      <c r="C219" s="120"/>
      <c r="D219" s="120"/>
      <c r="E219" s="120"/>
      <c r="F219" s="120">
        <v>2040</v>
      </c>
      <c r="G219" s="132"/>
    </row>
    <row r="220" spans="1:7" s="112" customFormat="1">
      <c r="A220" s="120" t="s">
        <v>281</v>
      </c>
      <c r="B220" s="120" t="s">
        <v>2519</v>
      </c>
      <c r="C220" s="120"/>
      <c r="D220" s="120"/>
      <c r="E220" s="120"/>
      <c r="F220" s="120">
        <v>2040</v>
      </c>
      <c r="G220" s="132"/>
    </row>
    <row r="221" spans="1:7" s="112" customFormat="1">
      <c r="A221" s="120" t="s">
        <v>281</v>
      </c>
      <c r="B221" s="120" t="s">
        <v>2526</v>
      </c>
      <c r="C221" s="120"/>
      <c r="D221" s="120"/>
      <c r="E221" s="120"/>
      <c r="F221" s="120">
        <v>2040</v>
      </c>
      <c r="G221" s="132"/>
    </row>
    <row r="222" spans="1:7" s="112" customFormat="1">
      <c r="A222" s="120" t="s">
        <v>281</v>
      </c>
      <c r="B222" s="120" t="s">
        <v>2531</v>
      </c>
      <c r="C222" s="120"/>
      <c r="D222" s="120"/>
      <c r="E222" s="120"/>
      <c r="F222" s="120">
        <v>2040</v>
      </c>
      <c r="G222" s="132"/>
    </row>
    <row r="223" spans="1:7" s="112" customFormat="1">
      <c r="A223" s="120" t="s">
        <v>281</v>
      </c>
      <c r="B223" s="120" t="s">
        <v>2536</v>
      </c>
      <c r="C223" s="120"/>
      <c r="D223" s="120"/>
      <c r="E223" s="120"/>
      <c r="F223" s="120">
        <v>1930</v>
      </c>
      <c r="G223" s="132"/>
    </row>
    <row r="224" spans="1:7" s="112" customFormat="1">
      <c r="A224" s="120" t="s">
        <v>281</v>
      </c>
      <c r="B224" s="120" t="s">
        <v>2541</v>
      </c>
      <c r="C224" s="120"/>
      <c r="D224" s="120"/>
      <c r="E224" s="120"/>
      <c r="F224" s="120">
        <v>1930</v>
      </c>
      <c r="G224" s="132"/>
    </row>
    <row r="225" spans="1:7" s="112" customFormat="1">
      <c r="A225" s="120" t="s">
        <v>281</v>
      </c>
      <c r="B225" s="120" t="s">
        <v>2546</v>
      </c>
      <c r="C225" s="120"/>
      <c r="D225" s="120"/>
      <c r="E225" s="120"/>
      <c r="F225" s="120">
        <v>1930</v>
      </c>
      <c r="G225" s="132"/>
    </row>
    <row r="226" spans="1:7" s="112" customFormat="1">
      <c r="A226" s="120" t="s">
        <v>281</v>
      </c>
      <c r="B226" s="120" t="s">
        <v>2551</v>
      </c>
      <c r="C226" s="120"/>
      <c r="D226" s="120"/>
      <c r="E226" s="120"/>
      <c r="F226" s="120">
        <v>1700</v>
      </c>
      <c r="G226" s="132"/>
    </row>
    <row r="227" spans="1:7" s="112" customFormat="1">
      <c r="A227" s="120" t="s">
        <v>281</v>
      </c>
      <c r="B227" s="120" t="s">
        <v>2556</v>
      </c>
      <c r="C227" s="120"/>
      <c r="D227" s="120"/>
      <c r="E227" s="120"/>
      <c r="F227" s="120">
        <v>1520</v>
      </c>
      <c r="G227" s="132"/>
    </row>
    <row r="228" spans="1:7" s="112" customFormat="1">
      <c r="A228" s="120" t="s">
        <v>281</v>
      </c>
      <c r="B228" s="120" t="s">
        <v>2561</v>
      </c>
      <c r="C228" s="120"/>
      <c r="D228" s="120"/>
      <c r="E228" s="120"/>
      <c r="F228" s="120">
        <v>1520</v>
      </c>
      <c r="G228" s="132"/>
    </row>
    <row r="229" spans="1:7" s="112" customFormat="1">
      <c r="A229" s="120" t="s">
        <v>281</v>
      </c>
      <c r="B229" s="120" t="s">
        <v>2566</v>
      </c>
      <c r="C229" s="120"/>
      <c r="D229" s="120"/>
      <c r="E229" s="120"/>
      <c r="F229" s="120">
        <v>1520</v>
      </c>
      <c r="G229" s="132"/>
    </row>
    <row r="230" spans="1:7" s="112" customFormat="1">
      <c r="A230" s="120" t="s">
        <v>281</v>
      </c>
      <c r="B230" s="120" t="s">
        <v>2570</v>
      </c>
      <c r="C230" s="120"/>
      <c r="D230" s="120"/>
      <c r="E230" s="120"/>
      <c r="F230" s="120">
        <v>1820</v>
      </c>
      <c r="G230" s="132"/>
    </row>
    <row r="231" spans="1:7" s="112" customFormat="1">
      <c r="A231" s="120" t="s">
        <v>281</v>
      </c>
      <c r="B231" s="120" t="s">
        <v>2574</v>
      </c>
      <c r="C231" s="120"/>
      <c r="D231" s="120"/>
      <c r="E231" s="120"/>
      <c r="F231" s="120">
        <v>1760</v>
      </c>
      <c r="G231" s="132"/>
    </row>
    <row r="232" spans="1:7" s="112" customFormat="1">
      <c r="A232" s="120" t="s">
        <v>281</v>
      </c>
      <c r="B232" s="120" t="s">
        <v>2578</v>
      </c>
      <c r="C232" s="120"/>
      <c r="D232" s="120"/>
      <c r="E232" s="120"/>
      <c r="F232" s="120">
        <v>1840</v>
      </c>
      <c r="G232" s="132"/>
    </row>
    <row r="233" spans="1:7" s="112" customFormat="1">
      <c r="A233" s="127" t="s">
        <v>281</v>
      </c>
      <c r="B233" s="124" t="s">
        <v>2582</v>
      </c>
      <c r="C233" s="124"/>
      <c r="D233" s="124"/>
      <c r="E233" s="124"/>
      <c r="F233" s="124">
        <v>1770</v>
      </c>
      <c r="G233" s="133"/>
    </row>
    <row r="234" spans="1:7" s="112" customFormat="1">
      <c r="A234" s="118" t="s">
        <v>287</v>
      </c>
      <c r="B234" s="119" t="s">
        <v>2235</v>
      </c>
      <c r="C234" s="120">
        <v>6980</v>
      </c>
      <c r="D234" s="120">
        <v>6970</v>
      </c>
      <c r="E234" s="120">
        <v>8720</v>
      </c>
      <c r="F234" s="120">
        <v>1350</v>
      </c>
      <c r="G234" s="120">
        <v>4280</v>
      </c>
    </row>
    <row r="235" spans="1:7" s="112" customFormat="1">
      <c r="A235" s="120" t="s">
        <v>287</v>
      </c>
      <c r="B235" s="120" t="s">
        <v>2248</v>
      </c>
      <c r="C235" s="120">
        <v>7620</v>
      </c>
      <c r="D235" s="120">
        <v>7580</v>
      </c>
      <c r="E235" s="120">
        <v>9360</v>
      </c>
      <c r="F235" s="120">
        <v>1490</v>
      </c>
      <c r="G235" s="120">
        <v>4650</v>
      </c>
    </row>
    <row r="236" spans="1:7" s="112" customFormat="1">
      <c r="A236" s="120" t="s">
        <v>287</v>
      </c>
      <c r="B236" s="120" t="s">
        <v>2262</v>
      </c>
      <c r="C236" s="120">
        <v>6650</v>
      </c>
      <c r="D236" s="120">
        <v>6630</v>
      </c>
      <c r="E236" s="120">
        <v>8330</v>
      </c>
      <c r="F236" s="120">
        <v>1250</v>
      </c>
      <c r="G236" s="120">
        <v>4070</v>
      </c>
    </row>
    <row r="237" spans="1:7" s="112" customFormat="1">
      <c r="A237" s="120" t="s">
        <v>287</v>
      </c>
      <c r="B237" s="120" t="s">
        <v>2274</v>
      </c>
      <c r="C237" s="120">
        <v>5850</v>
      </c>
      <c r="D237" s="120">
        <v>5820</v>
      </c>
      <c r="E237" s="120">
        <v>7260</v>
      </c>
      <c r="F237" s="120">
        <v>1140</v>
      </c>
      <c r="G237" s="120">
        <v>3570</v>
      </c>
    </row>
    <row r="238" spans="1:7" s="112" customFormat="1">
      <c r="A238" s="120" t="s">
        <v>287</v>
      </c>
      <c r="B238" s="120" t="s">
        <v>2286</v>
      </c>
      <c r="C238" s="120">
        <v>6920</v>
      </c>
      <c r="D238" s="120">
        <v>6890</v>
      </c>
      <c r="E238" s="120">
        <v>8640</v>
      </c>
      <c r="F238" s="120">
        <v>1310</v>
      </c>
      <c r="G238" s="120">
        <v>4230</v>
      </c>
    </row>
    <row r="239" spans="1:7" s="112" customFormat="1">
      <c r="A239" s="120" t="s">
        <v>287</v>
      </c>
      <c r="B239" s="120" t="s">
        <v>2297</v>
      </c>
      <c r="C239" s="120">
        <v>6780</v>
      </c>
      <c r="D239" s="120">
        <v>6750</v>
      </c>
      <c r="E239" s="120">
        <v>8440</v>
      </c>
      <c r="F239" s="120">
        <v>1160</v>
      </c>
      <c r="G239" s="120">
        <v>4140</v>
      </c>
    </row>
    <row r="240" spans="1:7" s="112" customFormat="1">
      <c r="A240" s="120" t="s">
        <v>287</v>
      </c>
      <c r="B240" s="120" t="s">
        <v>2308</v>
      </c>
      <c r="C240" s="120">
        <v>5420</v>
      </c>
      <c r="D240" s="120">
        <v>5380</v>
      </c>
      <c r="E240" s="120">
        <v>6640</v>
      </c>
      <c r="F240" s="120">
        <v>1020</v>
      </c>
      <c r="G240" s="120">
        <v>3300</v>
      </c>
    </row>
    <row r="241" spans="1:7" s="112" customFormat="1">
      <c r="A241" s="120" t="s">
        <v>287</v>
      </c>
      <c r="B241" s="120" t="s">
        <v>2319</v>
      </c>
      <c r="C241" s="120">
        <v>6660</v>
      </c>
      <c r="D241" s="120">
        <v>6640</v>
      </c>
      <c r="E241" s="120">
        <v>8340</v>
      </c>
      <c r="F241" s="120">
        <v>1130</v>
      </c>
      <c r="G241" s="120">
        <v>4080</v>
      </c>
    </row>
    <row r="242" spans="1:7" s="112" customFormat="1">
      <c r="A242" s="120" t="s">
        <v>287</v>
      </c>
      <c r="B242" s="120" t="s">
        <v>2329</v>
      </c>
      <c r="C242" s="120">
        <v>6580</v>
      </c>
      <c r="D242" s="120">
        <v>6550</v>
      </c>
      <c r="E242" s="120">
        <v>8090</v>
      </c>
      <c r="F242" s="120">
        <v>1240</v>
      </c>
      <c r="G242" s="120">
        <v>4020</v>
      </c>
    </row>
    <row r="243" spans="1:7" s="112" customFormat="1">
      <c r="A243" s="120" t="s">
        <v>287</v>
      </c>
      <c r="B243" s="120" t="s">
        <v>2339</v>
      </c>
      <c r="C243" s="120">
        <v>6000</v>
      </c>
      <c r="D243" s="120">
        <v>5970</v>
      </c>
      <c r="E243" s="120">
        <v>7370</v>
      </c>
      <c r="F243" s="120">
        <v>1070</v>
      </c>
      <c r="G243" s="120">
        <v>3670</v>
      </c>
    </row>
    <row r="244" spans="1:7" s="112" customFormat="1">
      <c r="A244" s="120" t="s">
        <v>287</v>
      </c>
      <c r="B244" s="120" t="s">
        <v>2349</v>
      </c>
      <c r="C244" s="120">
        <v>5840</v>
      </c>
      <c r="D244" s="120">
        <v>5810</v>
      </c>
      <c r="E244" s="120">
        <v>7240</v>
      </c>
      <c r="F244" s="120">
        <v>1100</v>
      </c>
      <c r="G244" s="120">
        <v>3560</v>
      </c>
    </row>
    <row r="245" spans="1:7" s="112" customFormat="1">
      <c r="A245" s="120" t="s">
        <v>287</v>
      </c>
      <c r="B245" s="120" t="s">
        <v>2359</v>
      </c>
      <c r="C245" s="120">
        <v>6040</v>
      </c>
      <c r="D245" s="120">
        <v>6000</v>
      </c>
      <c r="E245" s="120">
        <v>7420</v>
      </c>
      <c r="F245" s="120">
        <v>1140</v>
      </c>
      <c r="G245" s="120">
        <v>3690</v>
      </c>
    </row>
    <row r="246" spans="1:7" s="112" customFormat="1">
      <c r="A246" s="120" t="s">
        <v>287</v>
      </c>
      <c r="B246" s="120" t="s">
        <v>2369</v>
      </c>
      <c r="C246" s="120">
        <v>5890</v>
      </c>
      <c r="D246" s="120">
        <v>5860</v>
      </c>
      <c r="E246" s="120">
        <v>7300</v>
      </c>
      <c r="F246" s="120">
        <v>1110</v>
      </c>
      <c r="G246" s="120">
        <v>3590</v>
      </c>
    </row>
    <row r="247" spans="1:7" s="112" customFormat="1">
      <c r="A247" s="120" t="s">
        <v>287</v>
      </c>
      <c r="B247" s="120" t="s">
        <v>2379</v>
      </c>
      <c r="C247" s="120">
        <v>6480</v>
      </c>
      <c r="D247" s="120">
        <v>6450</v>
      </c>
      <c r="E247" s="120">
        <v>8010</v>
      </c>
      <c r="F247" s="120">
        <v>1170</v>
      </c>
      <c r="G247" s="120">
        <v>3960</v>
      </c>
    </row>
    <row r="248" spans="1:7" s="112" customFormat="1">
      <c r="A248" s="120" t="s">
        <v>287</v>
      </c>
      <c r="B248" s="120" t="s">
        <v>2389</v>
      </c>
      <c r="C248" s="120">
        <v>6860</v>
      </c>
      <c r="D248" s="120">
        <v>6840</v>
      </c>
      <c r="E248" s="120">
        <v>8520</v>
      </c>
      <c r="F248" s="120">
        <v>1240</v>
      </c>
      <c r="G248" s="120">
        <v>4200</v>
      </c>
    </row>
    <row r="249" spans="1:7" s="112" customFormat="1">
      <c r="A249" s="120" t="s">
        <v>287</v>
      </c>
      <c r="B249" s="120" t="s">
        <v>2399</v>
      </c>
      <c r="C249" s="120">
        <v>7180</v>
      </c>
      <c r="D249" s="120">
        <v>7140</v>
      </c>
      <c r="E249" s="120">
        <v>8900</v>
      </c>
      <c r="F249" s="120">
        <v>1350</v>
      </c>
      <c r="G249" s="120">
        <v>4380</v>
      </c>
    </row>
    <row r="250" spans="1:7" s="112" customFormat="1">
      <c r="A250" s="120" t="s">
        <v>287</v>
      </c>
      <c r="B250" s="120" t="s">
        <v>2409</v>
      </c>
      <c r="C250" s="120">
        <v>6880</v>
      </c>
      <c r="D250" s="120">
        <v>6860</v>
      </c>
      <c r="E250" s="120">
        <v>8550</v>
      </c>
      <c r="F250" s="120">
        <v>1220</v>
      </c>
      <c r="G250" s="120">
        <v>4210</v>
      </c>
    </row>
    <row r="251" spans="1:7" s="112" customFormat="1">
      <c r="A251" s="120" t="s">
        <v>287</v>
      </c>
      <c r="B251" s="120" t="s">
        <v>2419</v>
      </c>
      <c r="C251" s="120"/>
      <c r="D251" s="120"/>
      <c r="E251" s="120"/>
      <c r="F251" s="120">
        <v>1100</v>
      </c>
      <c r="G251" s="120"/>
    </row>
    <row r="252" spans="1:7" s="112" customFormat="1">
      <c r="A252" s="120" t="s">
        <v>287</v>
      </c>
      <c r="B252" s="120" t="s">
        <v>409</v>
      </c>
      <c r="C252" s="120">
        <v>7240</v>
      </c>
      <c r="D252" s="120">
        <v>7200</v>
      </c>
      <c r="E252" s="120">
        <v>9040</v>
      </c>
      <c r="F252" s="120">
        <v>1380</v>
      </c>
      <c r="G252" s="120">
        <v>4420</v>
      </c>
    </row>
    <row r="253" spans="1:7" s="112" customFormat="1">
      <c r="A253" s="120" t="s">
        <v>287</v>
      </c>
      <c r="B253" s="120" t="s">
        <v>2438</v>
      </c>
      <c r="C253" s="120">
        <v>6670</v>
      </c>
      <c r="D253" s="120">
        <v>6650</v>
      </c>
      <c r="E253" s="120">
        <v>8350</v>
      </c>
      <c r="F253" s="120">
        <v>1260</v>
      </c>
      <c r="G253" s="120">
        <v>4080</v>
      </c>
    </row>
    <row r="254" spans="1:7" s="112" customFormat="1">
      <c r="A254" s="120" t="s">
        <v>287</v>
      </c>
      <c r="B254" s="120" t="s">
        <v>2447</v>
      </c>
      <c r="C254" s="120">
        <v>7630</v>
      </c>
      <c r="D254" s="120">
        <v>7590</v>
      </c>
      <c r="E254" s="120">
        <v>9380</v>
      </c>
      <c r="F254" s="120">
        <v>1320</v>
      </c>
      <c r="G254" s="120">
        <v>4660</v>
      </c>
    </row>
    <row r="255" spans="1:7" s="112" customFormat="1">
      <c r="A255" s="120" t="s">
        <v>287</v>
      </c>
      <c r="B255" s="120" t="s">
        <v>2455</v>
      </c>
      <c r="C255" s="120">
        <v>6940</v>
      </c>
      <c r="D255" s="120">
        <v>6890</v>
      </c>
      <c r="E255" s="120">
        <v>8650</v>
      </c>
      <c r="F255" s="120">
        <v>1210</v>
      </c>
      <c r="G255" s="120">
        <v>4230</v>
      </c>
    </row>
    <row r="256" spans="1:7" s="112" customFormat="1">
      <c r="A256" s="120" t="s">
        <v>287</v>
      </c>
      <c r="B256" s="120" t="s">
        <v>2463</v>
      </c>
      <c r="C256" s="120">
        <v>7520</v>
      </c>
      <c r="D256" s="120">
        <v>7490</v>
      </c>
      <c r="E256" s="120">
        <v>9240</v>
      </c>
      <c r="F256" s="120">
        <v>1270</v>
      </c>
      <c r="G256" s="120">
        <v>4590</v>
      </c>
    </row>
    <row r="257" spans="1:7" s="112" customFormat="1">
      <c r="A257" s="120" t="s">
        <v>287</v>
      </c>
      <c r="B257" s="120" t="s">
        <v>2471</v>
      </c>
      <c r="C257" s="120">
        <v>6280</v>
      </c>
      <c r="D257" s="120">
        <v>6230</v>
      </c>
      <c r="E257" s="120">
        <v>7740</v>
      </c>
      <c r="F257" s="120">
        <v>1080</v>
      </c>
      <c r="G257" s="120">
        <v>3830</v>
      </c>
    </row>
    <row r="258" spans="1:7" s="112" customFormat="1">
      <c r="A258" s="120" t="s">
        <v>287</v>
      </c>
      <c r="B258" s="120" t="s">
        <v>2478</v>
      </c>
      <c r="C258" s="120">
        <v>6190</v>
      </c>
      <c r="D258" s="120">
        <v>6160</v>
      </c>
      <c r="E258" s="120">
        <v>7680</v>
      </c>
      <c r="F258" s="120">
        <v>1170</v>
      </c>
      <c r="G258" s="120">
        <v>3780</v>
      </c>
    </row>
    <row r="259" spans="1:7" s="112" customFormat="1">
      <c r="A259" s="120" t="s">
        <v>287</v>
      </c>
      <c r="B259" s="120" t="s">
        <v>2485</v>
      </c>
      <c r="C259" s="120">
        <v>7610</v>
      </c>
      <c r="D259" s="120">
        <v>7570</v>
      </c>
      <c r="E259" s="120">
        <v>9350</v>
      </c>
      <c r="F259" s="120">
        <v>1350</v>
      </c>
      <c r="G259" s="120">
        <v>4650</v>
      </c>
    </row>
    <row r="260" spans="1:7" s="112" customFormat="1">
      <c r="A260" s="120" t="s">
        <v>287</v>
      </c>
      <c r="B260" s="120" t="s">
        <v>2492</v>
      </c>
      <c r="C260" s="120">
        <v>6920</v>
      </c>
      <c r="D260" s="120">
        <v>6880</v>
      </c>
      <c r="E260" s="120">
        <v>8380</v>
      </c>
      <c r="F260" s="120">
        <v>1160</v>
      </c>
      <c r="G260" s="120">
        <v>4220</v>
      </c>
    </row>
    <row r="261" spans="1:7" s="112" customFormat="1">
      <c r="A261" s="120" t="s">
        <v>287</v>
      </c>
      <c r="B261" s="120" t="s">
        <v>2499</v>
      </c>
      <c r="C261" s="120">
        <v>6850</v>
      </c>
      <c r="D261" s="120">
        <v>6810</v>
      </c>
      <c r="E261" s="120">
        <v>8290</v>
      </c>
      <c r="F261" s="120">
        <v>1130</v>
      </c>
      <c r="G261" s="120">
        <v>4180</v>
      </c>
    </row>
    <row r="262" spans="1:7" s="112" customFormat="1">
      <c r="A262" s="120" t="s">
        <v>287</v>
      </c>
      <c r="B262" s="120" t="s">
        <v>2506</v>
      </c>
      <c r="C262" s="120">
        <v>5860</v>
      </c>
      <c r="D262" s="120">
        <v>5820</v>
      </c>
      <c r="E262" s="120">
        <v>7640</v>
      </c>
      <c r="F262" s="120">
        <v>1070</v>
      </c>
      <c r="G262" s="120">
        <v>3570</v>
      </c>
    </row>
    <row r="263" spans="1:7" s="112" customFormat="1">
      <c r="A263" s="120" t="s">
        <v>287</v>
      </c>
      <c r="B263" s="120" t="s">
        <v>2513</v>
      </c>
      <c r="C263" s="120">
        <v>5870</v>
      </c>
      <c r="D263" s="120">
        <v>5840</v>
      </c>
      <c r="E263" s="120">
        <v>7270</v>
      </c>
      <c r="F263" s="120">
        <v>1190</v>
      </c>
      <c r="G263" s="120">
        <v>3580</v>
      </c>
    </row>
    <row r="264" spans="1:7" s="112" customFormat="1">
      <c r="A264" s="120" t="s">
        <v>287</v>
      </c>
      <c r="B264" s="120" t="s">
        <v>2520</v>
      </c>
      <c r="C264" s="120">
        <v>6190</v>
      </c>
      <c r="D264" s="120">
        <v>6150</v>
      </c>
      <c r="E264" s="120">
        <v>7660</v>
      </c>
      <c r="F264" s="120">
        <v>1160</v>
      </c>
      <c r="G264" s="120">
        <v>3770</v>
      </c>
    </row>
    <row r="265" spans="1:7" s="112" customFormat="1">
      <c r="A265" s="120" t="s">
        <v>287</v>
      </c>
      <c r="B265" s="120" t="s">
        <v>2527</v>
      </c>
      <c r="C265" s="120"/>
      <c r="D265" s="120"/>
      <c r="E265" s="120"/>
      <c r="F265" s="120">
        <v>1500</v>
      </c>
      <c r="G265" s="120"/>
    </row>
    <row r="266" spans="1:7" s="112" customFormat="1">
      <c r="A266" s="120" t="s">
        <v>287</v>
      </c>
      <c r="B266" s="120" t="s">
        <v>2532</v>
      </c>
      <c r="C266" s="120"/>
      <c r="D266" s="120"/>
      <c r="E266" s="120"/>
      <c r="F266" s="120">
        <v>1500</v>
      </c>
      <c r="G266" s="120"/>
    </row>
    <row r="267" spans="1:7" s="112" customFormat="1">
      <c r="A267" s="120" t="s">
        <v>287</v>
      </c>
      <c r="B267" s="120" t="s">
        <v>2537</v>
      </c>
      <c r="C267" s="120"/>
      <c r="D267" s="120"/>
      <c r="E267" s="120"/>
      <c r="F267" s="120">
        <v>1500</v>
      </c>
      <c r="G267" s="120"/>
    </row>
    <row r="268" spans="1:7" s="112" customFormat="1">
      <c r="A268" s="120" t="s">
        <v>287</v>
      </c>
      <c r="B268" s="120" t="s">
        <v>2542</v>
      </c>
      <c r="C268" s="120"/>
      <c r="D268" s="120"/>
      <c r="E268" s="120"/>
      <c r="F268" s="120">
        <v>1290</v>
      </c>
      <c r="G268" s="120"/>
    </row>
    <row r="269" spans="1:7" s="112" customFormat="1">
      <c r="A269" s="120" t="s">
        <v>287</v>
      </c>
      <c r="B269" s="120" t="s">
        <v>2547</v>
      </c>
      <c r="C269" s="120"/>
      <c r="D269" s="120"/>
      <c r="E269" s="120"/>
      <c r="F269" s="120">
        <v>1150</v>
      </c>
      <c r="G269" s="120"/>
    </row>
    <row r="270" spans="1:7" s="112" customFormat="1">
      <c r="A270" s="120" t="s">
        <v>287</v>
      </c>
      <c r="B270" s="120" t="s">
        <v>2552</v>
      </c>
      <c r="C270" s="120"/>
      <c r="D270" s="120"/>
      <c r="E270" s="120"/>
      <c r="F270" s="120">
        <v>1380</v>
      </c>
      <c r="G270" s="120"/>
    </row>
    <row r="271" spans="1:7" s="112" customFormat="1">
      <c r="A271" s="120" t="s">
        <v>287</v>
      </c>
      <c r="B271" s="120" t="s">
        <v>2557</v>
      </c>
      <c r="C271" s="120"/>
      <c r="D271" s="120"/>
      <c r="E271" s="120"/>
      <c r="F271" s="120">
        <v>1460</v>
      </c>
      <c r="G271" s="120"/>
    </row>
    <row r="272" spans="1:7" s="112" customFormat="1">
      <c r="A272" s="120" t="s">
        <v>287</v>
      </c>
      <c r="B272" s="120" t="s">
        <v>2562</v>
      </c>
      <c r="C272" s="120"/>
      <c r="D272" s="120"/>
      <c r="E272" s="120"/>
      <c r="F272" s="120">
        <v>1460</v>
      </c>
      <c r="G272" s="120"/>
    </row>
    <row r="273" spans="1:7" s="112" customFormat="1">
      <c r="A273" s="120" t="s">
        <v>287</v>
      </c>
      <c r="B273" s="120" t="s">
        <v>2567</v>
      </c>
      <c r="C273" s="120"/>
      <c r="D273" s="120"/>
      <c r="E273" s="120"/>
      <c r="F273" s="120">
        <v>1490</v>
      </c>
      <c r="G273" s="120"/>
    </row>
    <row r="274" spans="1:7" s="112" customFormat="1">
      <c r="A274" s="120" t="s">
        <v>287</v>
      </c>
      <c r="B274" s="120" t="s">
        <v>2571</v>
      </c>
      <c r="C274" s="120"/>
      <c r="D274" s="120"/>
      <c r="E274" s="120"/>
      <c r="F274" s="120">
        <v>1490</v>
      </c>
      <c r="G274" s="120"/>
    </row>
    <row r="275" spans="1:7" s="112" customFormat="1">
      <c r="A275" s="120" t="s">
        <v>287</v>
      </c>
      <c r="B275" s="120" t="s">
        <v>2575</v>
      </c>
      <c r="C275" s="120"/>
      <c r="D275" s="120"/>
      <c r="E275" s="120"/>
      <c r="F275" s="120">
        <v>1220</v>
      </c>
      <c r="G275" s="120"/>
    </row>
    <row r="276" spans="1:7" s="112" customFormat="1">
      <c r="A276" s="122" t="s">
        <v>287</v>
      </c>
      <c r="B276" s="125" t="s">
        <v>2579</v>
      </c>
      <c r="C276" s="126"/>
      <c r="D276" s="126"/>
      <c r="E276" s="126"/>
      <c r="F276" s="126">
        <v>1380</v>
      </c>
      <c r="G276" s="126"/>
    </row>
    <row r="277" spans="1:7" s="112" customFormat="1">
      <c r="A277" s="118" t="s">
        <v>291</v>
      </c>
      <c r="B277" s="119" t="s">
        <v>2236</v>
      </c>
      <c r="C277" s="119">
        <v>5790</v>
      </c>
      <c r="D277" s="119">
        <v>5740</v>
      </c>
      <c r="E277" s="119">
        <v>6730</v>
      </c>
      <c r="F277" s="119">
        <v>1110</v>
      </c>
      <c r="G277" s="131">
        <v>3460</v>
      </c>
    </row>
    <row r="278" spans="1:7" s="112" customFormat="1">
      <c r="A278" s="120" t="s">
        <v>291</v>
      </c>
      <c r="B278" s="120" t="s">
        <v>2249</v>
      </c>
      <c r="C278" s="120">
        <v>5740</v>
      </c>
      <c r="D278" s="120">
        <v>5670</v>
      </c>
      <c r="E278" s="120">
        <v>6680</v>
      </c>
      <c r="F278" s="120">
        <v>1070</v>
      </c>
      <c r="G278" s="132">
        <v>3420</v>
      </c>
    </row>
    <row r="279" spans="1:7" s="112" customFormat="1">
      <c r="A279" s="120" t="s">
        <v>291</v>
      </c>
      <c r="B279" s="120" t="s">
        <v>2263</v>
      </c>
      <c r="C279" s="120">
        <v>4760</v>
      </c>
      <c r="D279" s="120">
        <v>4720</v>
      </c>
      <c r="E279" s="120">
        <v>5540</v>
      </c>
      <c r="F279" s="120">
        <v>810</v>
      </c>
      <c r="G279" s="132">
        <v>2850</v>
      </c>
    </row>
    <row r="280" spans="1:7" s="112" customFormat="1">
      <c r="A280" s="120" t="s">
        <v>291</v>
      </c>
      <c r="B280" s="120" t="s">
        <v>2275</v>
      </c>
      <c r="C280" s="120">
        <v>4010</v>
      </c>
      <c r="D280" s="120">
        <v>3950</v>
      </c>
      <c r="E280" s="120">
        <v>4710</v>
      </c>
      <c r="F280" s="120">
        <v>800</v>
      </c>
      <c r="G280" s="132">
        <v>2390</v>
      </c>
    </row>
    <row r="281" spans="1:7" s="112" customFormat="1">
      <c r="A281" s="120" t="s">
        <v>291</v>
      </c>
      <c r="B281" s="120" t="s">
        <v>2287</v>
      </c>
      <c r="C281" s="120">
        <v>4480</v>
      </c>
      <c r="D281" s="120">
        <v>4420</v>
      </c>
      <c r="E281" s="120">
        <v>5230</v>
      </c>
      <c r="F281" s="120">
        <v>870</v>
      </c>
      <c r="G281" s="132">
        <v>2660</v>
      </c>
    </row>
    <row r="282" spans="1:7" s="112" customFormat="1">
      <c r="A282" s="120" t="s">
        <v>291</v>
      </c>
      <c r="B282" s="120" t="s">
        <v>2298</v>
      </c>
      <c r="C282" s="120">
        <v>5360</v>
      </c>
      <c r="D282" s="120">
        <v>5300</v>
      </c>
      <c r="E282" s="120">
        <v>6190</v>
      </c>
      <c r="F282" s="120">
        <v>950</v>
      </c>
      <c r="G282" s="132">
        <v>3190</v>
      </c>
    </row>
    <row r="283" spans="1:7" s="112" customFormat="1">
      <c r="A283" s="120" t="s">
        <v>291</v>
      </c>
      <c r="B283" s="120" t="s">
        <v>2309</v>
      </c>
      <c r="C283" s="120">
        <v>4950</v>
      </c>
      <c r="D283" s="120">
        <v>4900</v>
      </c>
      <c r="E283" s="120">
        <v>5720</v>
      </c>
      <c r="F283" s="120">
        <v>920</v>
      </c>
      <c r="G283" s="132">
        <v>2950</v>
      </c>
    </row>
    <row r="284" spans="1:7" s="112" customFormat="1">
      <c r="A284" s="120" t="s">
        <v>291</v>
      </c>
      <c r="B284" s="120" t="s">
        <v>2320</v>
      </c>
      <c r="C284" s="120">
        <v>5610</v>
      </c>
      <c r="D284" s="120">
        <v>5560</v>
      </c>
      <c r="E284" s="120">
        <v>6520</v>
      </c>
      <c r="F284" s="120">
        <v>1030</v>
      </c>
      <c r="G284" s="132">
        <v>3360</v>
      </c>
    </row>
    <row r="285" spans="1:7" s="112" customFormat="1">
      <c r="A285" s="120" t="s">
        <v>291</v>
      </c>
      <c r="B285" s="120" t="s">
        <v>2330</v>
      </c>
      <c r="C285" s="120">
        <v>5340</v>
      </c>
      <c r="D285" s="120">
        <v>5290</v>
      </c>
      <c r="E285" s="120">
        <v>6170</v>
      </c>
      <c r="F285" s="120">
        <v>1080</v>
      </c>
      <c r="G285" s="132">
        <v>3180</v>
      </c>
    </row>
    <row r="286" spans="1:7" s="112" customFormat="1">
      <c r="A286" s="120" t="s">
        <v>291</v>
      </c>
      <c r="B286" s="120" t="s">
        <v>2340</v>
      </c>
      <c r="C286" s="120">
        <v>4890</v>
      </c>
      <c r="D286" s="120">
        <v>4840</v>
      </c>
      <c r="E286" s="120">
        <v>5640</v>
      </c>
      <c r="F286" s="120">
        <v>960</v>
      </c>
      <c r="G286" s="132">
        <v>2910</v>
      </c>
    </row>
    <row r="287" spans="1:7" s="112" customFormat="1">
      <c r="A287" s="120" t="s">
        <v>291</v>
      </c>
      <c r="B287" s="120" t="s">
        <v>2350</v>
      </c>
      <c r="C287" s="120">
        <v>4960</v>
      </c>
      <c r="D287" s="120">
        <v>4920</v>
      </c>
      <c r="E287" s="120">
        <v>5730</v>
      </c>
      <c r="F287" s="120">
        <v>930</v>
      </c>
      <c r="G287" s="132">
        <v>2960</v>
      </c>
    </row>
    <row r="288" spans="1:7" s="112" customFormat="1">
      <c r="A288" s="120" t="s">
        <v>291</v>
      </c>
      <c r="B288" s="120" t="s">
        <v>2360</v>
      </c>
      <c r="C288" s="120">
        <v>4350</v>
      </c>
      <c r="D288" s="120">
        <v>4300</v>
      </c>
      <c r="E288" s="120">
        <v>4900</v>
      </c>
      <c r="F288" s="120">
        <v>820</v>
      </c>
      <c r="G288" s="132">
        <v>2590</v>
      </c>
    </row>
    <row r="289" spans="1:7" s="112" customFormat="1">
      <c r="A289" s="120" t="s">
        <v>291</v>
      </c>
      <c r="B289" s="120" t="s">
        <v>2370</v>
      </c>
      <c r="C289" s="120">
        <v>5230</v>
      </c>
      <c r="D289" s="120">
        <v>5170</v>
      </c>
      <c r="E289" s="120">
        <v>6060</v>
      </c>
      <c r="F289" s="120">
        <v>900</v>
      </c>
      <c r="G289" s="132">
        <v>3120</v>
      </c>
    </row>
    <row r="290" spans="1:7" s="112" customFormat="1">
      <c r="A290" s="120" t="s">
        <v>291</v>
      </c>
      <c r="B290" s="120" t="s">
        <v>2380</v>
      </c>
      <c r="C290" s="120">
        <v>5550</v>
      </c>
      <c r="D290" s="120">
        <v>5500</v>
      </c>
      <c r="E290" s="120">
        <v>6440</v>
      </c>
      <c r="F290" s="120">
        <v>960</v>
      </c>
      <c r="G290" s="132">
        <v>3320</v>
      </c>
    </row>
    <row r="291" spans="1:7" s="112" customFormat="1">
      <c r="A291" s="120" t="s">
        <v>291</v>
      </c>
      <c r="B291" s="120" t="s">
        <v>2390</v>
      </c>
      <c r="C291" s="120">
        <v>5440</v>
      </c>
      <c r="D291" s="120">
        <v>5400</v>
      </c>
      <c r="E291" s="120">
        <v>6320</v>
      </c>
      <c r="F291" s="120">
        <v>930</v>
      </c>
      <c r="G291" s="132">
        <v>3250</v>
      </c>
    </row>
    <row r="292" spans="1:7" s="112" customFormat="1">
      <c r="A292" s="120" t="s">
        <v>291</v>
      </c>
      <c r="B292" s="120" t="s">
        <v>2400</v>
      </c>
      <c r="C292" s="120">
        <v>5400</v>
      </c>
      <c r="D292" s="120">
        <v>5360</v>
      </c>
      <c r="E292" s="120">
        <v>6270</v>
      </c>
      <c r="F292" s="120">
        <v>1040</v>
      </c>
      <c r="G292" s="132">
        <v>3230</v>
      </c>
    </row>
    <row r="293" spans="1:7" s="112" customFormat="1">
      <c r="A293" s="120" t="s">
        <v>291</v>
      </c>
      <c r="B293" s="120" t="s">
        <v>2410</v>
      </c>
      <c r="C293" s="120">
        <v>5320</v>
      </c>
      <c r="D293" s="120">
        <v>5270</v>
      </c>
      <c r="E293" s="120">
        <v>6160</v>
      </c>
      <c r="F293" s="120">
        <v>990</v>
      </c>
      <c r="G293" s="132">
        <v>3170</v>
      </c>
    </row>
    <row r="294" spans="1:7" s="112" customFormat="1">
      <c r="A294" s="120" t="s">
        <v>291</v>
      </c>
      <c r="B294" s="120" t="s">
        <v>2420</v>
      </c>
      <c r="C294" s="120">
        <v>5260</v>
      </c>
      <c r="D294" s="120">
        <v>5210</v>
      </c>
      <c r="E294" s="120">
        <v>6100</v>
      </c>
      <c r="F294" s="120">
        <v>950</v>
      </c>
      <c r="G294" s="132">
        <v>3150</v>
      </c>
    </row>
    <row r="295" spans="1:7" s="112" customFormat="1">
      <c r="A295" s="120" t="s">
        <v>291</v>
      </c>
      <c r="B295" s="120" t="s">
        <v>2429</v>
      </c>
      <c r="C295" s="120">
        <v>5610</v>
      </c>
      <c r="D295" s="120">
        <v>5570</v>
      </c>
      <c r="E295" s="120">
        <v>6530</v>
      </c>
      <c r="F295" s="120">
        <v>960</v>
      </c>
      <c r="G295" s="132">
        <v>3360</v>
      </c>
    </row>
    <row r="296" spans="1:7" s="112" customFormat="1">
      <c r="A296" s="120" t="s">
        <v>291</v>
      </c>
      <c r="B296" s="120" t="s">
        <v>2439</v>
      </c>
      <c r="C296" s="120">
        <v>5540</v>
      </c>
      <c r="D296" s="120">
        <v>5490</v>
      </c>
      <c r="E296" s="120">
        <v>6430</v>
      </c>
      <c r="F296" s="120">
        <v>980</v>
      </c>
      <c r="G296" s="132">
        <v>3310</v>
      </c>
    </row>
    <row r="297" spans="1:7" s="112" customFormat="1">
      <c r="A297" s="120" t="s">
        <v>291</v>
      </c>
      <c r="B297" s="120" t="s">
        <v>2448</v>
      </c>
      <c r="C297" s="120">
        <v>5480</v>
      </c>
      <c r="D297" s="120">
        <v>5420</v>
      </c>
      <c r="E297" s="120">
        <v>6370</v>
      </c>
      <c r="F297" s="120">
        <v>990</v>
      </c>
      <c r="G297" s="132">
        <v>3270</v>
      </c>
    </row>
    <row r="298" spans="1:7" s="112" customFormat="1">
      <c r="A298" s="120" t="s">
        <v>291</v>
      </c>
      <c r="B298" s="120" t="s">
        <v>2456</v>
      </c>
      <c r="C298" s="120">
        <v>5090</v>
      </c>
      <c r="D298" s="120">
        <v>5050</v>
      </c>
      <c r="E298" s="120">
        <v>5910</v>
      </c>
      <c r="F298" s="120">
        <v>900</v>
      </c>
      <c r="G298" s="132">
        <v>3040</v>
      </c>
    </row>
    <row r="299" spans="1:7" s="112" customFormat="1">
      <c r="A299" s="120" t="s">
        <v>291</v>
      </c>
      <c r="B299" s="137" t="s">
        <v>2464</v>
      </c>
      <c r="C299" s="120">
        <v>5430</v>
      </c>
      <c r="D299" s="120">
        <v>5380</v>
      </c>
      <c r="E299" s="120">
        <v>6280</v>
      </c>
      <c r="F299" s="120">
        <v>1000</v>
      </c>
      <c r="G299" s="132">
        <v>3240</v>
      </c>
    </row>
    <row r="300" spans="1:7" s="112" customFormat="1">
      <c r="A300" s="120" t="s">
        <v>291</v>
      </c>
      <c r="B300" s="137" t="s">
        <v>2472</v>
      </c>
      <c r="C300" s="120">
        <v>4740</v>
      </c>
      <c r="D300" s="120">
        <v>4680</v>
      </c>
      <c r="E300" s="120">
        <v>5450</v>
      </c>
      <c r="F300" s="120">
        <v>900</v>
      </c>
      <c r="G300" s="132">
        <v>2830</v>
      </c>
    </row>
    <row r="301" spans="1:7" s="112" customFormat="1">
      <c r="A301" s="120" t="s">
        <v>291</v>
      </c>
      <c r="B301" s="137" t="s">
        <v>2479</v>
      </c>
      <c r="C301" s="120">
        <v>4870</v>
      </c>
      <c r="D301" s="120">
        <v>4810</v>
      </c>
      <c r="E301" s="120">
        <v>5560</v>
      </c>
      <c r="F301" s="120">
        <v>990</v>
      </c>
      <c r="G301" s="132">
        <v>2910</v>
      </c>
    </row>
    <row r="302" spans="1:7" s="112" customFormat="1">
      <c r="A302" s="120" t="s">
        <v>291</v>
      </c>
      <c r="B302" s="120" t="s">
        <v>2486</v>
      </c>
      <c r="C302" s="120">
        <v>5520</v>
      </c>
      <c r="D302" s="120">
        <v>5470</v>
      </c>
      <c r="E302" s="120">
        <v>6410</v>
      </c>
      <c r="F302" s="120">
        <v>950</v>
      </c>
      <c r="G302" s="132">
        <v>3300</v>
      </c>
    </row>
    <row r="303" spans="1:7" s="112" customFormat="1">
      <c r="A303" s="120" t="s">
        <v>291</v>
      </c>
      <c r="B303" s="120" t="s">
        <v>2493</v>
      </c>
      <c r="C303" s="120">
        <v>5630</v>
      </c>
      <c r="D303" s="120">
        <v>5590</v>
      </c>
      <c r="E303" s="120">
        <v>6550</v>
      </c>
      <c r="F303" s="120">
        <v>1010</v>
      </c>
      <c r="G303" s="132">
        <v>3370</v>
      </c>
    </row>
    <row r="304" spans="1:7" s="112" customFormat="1">
      <c r="A304" s="120" t="s">
        <v>291</v>
      </c>
      <c r="B304" s="120" t="s">
        <v>2500</v>
      </c>
      <c r="C304" s="120">
        <v>5680</v>
      </c>
      <c r="D304" s="120">
        <v>5620</v>
      </c>
      <c r="E304" s="120">
        <v>6620</v>
      </c>
      <c r="F304" s="120">
        <v>1050</v>
      </c>
      <c r="G304" s="132">
        <v>3390</v>
      </c>
    </row>
    <row r="305" spans="1:7" s="112" customFormat="1">
      <c r="A305" s="120" t="s">
        <v>291</v>
      </c>
      <c r="B305" s="120" t="s">
        <v>2507</v>
      </c>
      <c r="C305" s="120">
        <v>5590</v>
      </c>
      <c r="D305" s="120">
        <v>5530</v>
      </c>
      <c r="E305" s="120">
        <v>6460</v>
      </c>
      <c r="F305" s="120">
        <v>900</v>
      </c>
      <c r="G305" s="132">
        <v>3340</v>
      </c>
    </row>
    <row r="306" spans="1:7" s="112" customFormat="1">
      <c r="A306" s="120" t="s">
        <v>291</v>
      </c>
      <c r="B306" s="120" t="s">
        <v>2514</v>
      </c>
      <c r="C306" s="120">
        <v>5560</v>
      </c>
      <c r="D306" s="120">
        <v>5510</v>
      </c>
      <c r="E306" s="120">
        <v>6440</v>
      </c>
      <c r="F306" s="120">
        <v>900</v>
      </c>
      <c r="G306" s="132">
        <v>3320</v>
      </c>
    </row>
    <row r="307" spans="1:7" s="112" customFormat="1">
      <c r="A307" s="120" t="s">
        <v>291</v>
      </c>
      <c r="B307" s="120" t="s">
        <v>2521</v>
      </c>
      <c r="C307" s="120">
        <v>5650</v>
      </c>
      <c r="D307" s="120">
        <v>5600</v>
      </c>
      <c r="E307" s="120">
        <v>6590</v>
      </c>
      <c r="F307" s="120">
        <v>930</v>
      </c>
      <c r="G307" s="132">
        <v>3380</v>
      </c>
    </row>
    <row r="308" spans="1:7" s="112" customFormat="1">
      <c r="A308" s="120" t="s">
        <v>291</v>
      </c>
      <c r="B308" s="120" t="s">
        <v>2528</v>
      </c>
      <c r="C308" s="120">
        <v>5620</v>
      </c>
      <c r="D308" s="120">
        <v>5580</v>
      </c>
      <c r="E308" s="120">
        <v>6540</v>
      </c>
      <c r="F308" s="120">
        <v>910</v>
      </c>
      <c r="G308" s="132">
        <v>3370</v>
      </c>
    </row>
    <row r="309" spans="1:7" s="112" customFormat="1">
      <c r="A309" s="120" t="s">
        <v>291</v>
      </c>
      <c r="B309" s="120" t="s">
        <v>2533</v>
      </c>
      <c r="C309" s="120">
        <v>5060</v>
      </c>
      <c r="D309" s="120">
        <v>5020</v>
      </c>
      <c r="E309" s="120">
        <v>6370</v>
      </c>
      <c r="F309" s="120">
        <v>800</v>
      </c>
      <c r="G309" s="132">
        <v>3020</v>
      </c>
    </row>
    <row r="310" spans="1:7" s="112" customFormat="1">
      <c r="A310" s="120" t="s">
        <v>291</v>
      </c>
      <c r="B310" s="120" t="s">
        <v>2538</v>
      </c>
      <c r="C310" s="120">
        <v>5150</v>
      </c>
      <c r="D310" s="120">
        <v>5110</v>
      </c>
      <c r="E310" s="120">
        <v>6500</v>
      </c>
      <c r="F310" s="120">
        <v>880</v>
      </c>
      <c r="G310" s="132">
        <v>3080</v>
      </c>
    </row>
    <row r="311" spans="1:7" s="112" customFormat="1">
      <c r="A311" s="120" t="s">
        <v>291</v>
      </c>
      <c r="B311" s="120" t="s">
        <v>2543</v>
      </c>
      <c r="C311" s="120">
        <v>4750</v>
      </c>
      <c r="D311" s="120">
        <v>4710</v>
      </c>
      <c r="E311" s="120">
        <v>5510</v>
      </c>
      <c r="F311" s="120">
        <v>880</v>
      </c>
      <c r="G311" s="132">
        <v>2840</v>
      </c>
    </row>
    <row r="312" spans="1:7" s="112" customFormat="1">
      <c r="A312" s="120" t="s">
        <v>291</v>
      </c>
      <c r="B312" s="120" t="s">
        <v>2548</v>
      </c>
      <c r="C312" s="120">
        <v>4690</v>
      </c>
      <c r="D312" s="120">
        <v>4640</v>
      </c>
      <c r="E312" s="120">
        <v>5420</v>
      </c>
      <c r="F312" s="120">
        <v>800</v>
      </c>
      <c r="G312" s="132">
        <v>2800</v>
      </c>
    </row>
    <row r="313" spans="1:7" s="112" customFormat="1">
      <c r="A313" s="120" t="s">
        <v>291</v>
      </c>
      <c r="B313" s="120" t="s">
        <v>2553</v>
      </c>
      <c r="C313" s="120">
        <v>4810</v>
      </c>
      <c r="D313" s="120">
        <v>4760</v>
      </c>
      <c r="E313" s="120">
        <v>5550</v>
      </c>
      <c r="F313" s="120">
        <v>920</v>
      </c>
      <c r="G313" s="132">
        <v>2870</v>
      </c>
    </row>
    <row r="314" spans="1:7" s="112" customFormat="1">
      <c r="A314" s="120" t="s">
        <v>291</v>
      </c>
      <c r="B314" s="120" t="s">
        <v>2558</v>
      </c>
      <c r="C314" s="120"/>
      <c r="D314" s="120"/>
      <c r="E314" s="120"/>
      <c r="F314" s="120">
        <v>1020</v>
      </c>
      <c r="G314" s="132"/>
    </row>
    <row r="315" spans="1:7" s="112" customFormat="1">
      <c r="A315" s="120" t="s">
        <v>291</v>
      </c>
      <c r="B315" s="120" t="s">
        <v>2563</v>
      </c>
      <c r="C315" s="120"/>
      <c r="D315" s="120"/>
      <c r="E315" s="120"/>
      <c r="F315" s="120">
        <v>1050</v>
      </c>
      <c r="G315" s="132"/>
    </row>
    <row r="316" spans="1:7" s="112" customFormat="1">
      <c r="A316" s="120" t="s">
        <v>291</v>
      </c>
      <c r="B316" s="120" t="s">
        <v>2568</v>
      </c>
      <c r="C316" s="120"/>
      <c r="D316" s="120"/>
      <c r="E316" s="120"/>
      <c r="F316" s="120">
        <v>900</v>
      </c>
      <c r="G316" s="132"/>
    </row>
    <row r="317" spans="1:7" s="112" customFormat="1">
      <c r="A317" s="120" t="s">
        <v>291</v>
      </c>
      <c r="B317" s="120" t="s">
        <v>2572</v>
      </c>
      <c r="C317" s="120"/>
      <c r="D317" s="120"/>
      <c r="E317" s="120"/>
      <c r="F317" s="120">
        <v>920</v>
      </c>
      <c r="G317" s="132"/>
    </row>
    <row r="318" spans="1:7" s="112" customFormat="1">
      <c r="A318" s="120" t="s">
        <v>291</v>
      </c>
      <c r="B318" s="120" t="s">
        <v>2576</v>
      </c>
      <c r="C318" s="120"/>
      <c r="D318" s="120"/>
      <c r="E318" s="120"/>
      <c r="F318" s="120">
        <v>1080</v>
      </c>
      <c r="G318" s="132"/>
    </row>
    <row r="319" spans="1:7" s="112" customFormat="1">
      <c r="A319" s="120" t="s">
        <v>291</v>
      </c>
      <c r="B319" s="120" t="s">
        <v>2580</v>
      </c>
      <c r="C319" s="120"/>
      <c r="D319" s="120"/>
      <c r="E319" s="120"/>
      <c r="F319" s="120">
        <v>1020</v>
      </c>
      <c r="G319" s="132"/>
    </row>
    <row r="320" spans="1:7" s="112" customFormat="1">
      <c r="A320" s="120" t="s">
        <v>291</v>
      </c>
      <c r="B320" s="120" t="s">
        <v>2583</v>
      </c>
      <c r="C320" s="120"/>
      <c r="D320" s="120"/>
      <c r="E320" s="120"/>
      <c r="F320" s="120">
        <v>1050</v>
      </c>
      <c r="G320" s="132"/>
    </row>
    <row r="321" spans="1:7" s="112" customFormat="1">
      <c r="A321" s="120" t="s">
        <v>291</v>
      </c>
      <c r="B321" s="120" t="s">
        <v>2585</v>
      </c>
      <c r="C321" s="120"/>
      <c r="D321" s="120"/>
      <c r="E321" s="120"/>
      <c r="F321" s="120">
        <v>960</v>
      </c>
      <c r="G321" s="132"/>
    </row>
    <row r="322" spans="1:7" s="112" customFormat="1">
      <c r="A322" s="120" t="s">
        <v>291</v>
      </c>
      <c r="B322" s="120" t="s">
        <v>2587</v>
      </c>
      <c r="C322" s="120"/>
      <c r="D322" s="120"/>
      <c r="E322" s="120"/>
      <c r="F322" s="120">
        <v>960</v>
      </c>
      <c r="G322" s="132"/>
    </row>
    <row r="323" spans="1:7" s="112" customFormat="1">
      <c r="A323" s="120" t="s">
        <v>291</v>
      </c>
      <c r="B323" s="120" t="s">
        <v>2589</v>
      </c>
      <c r="C323" s="120"/>
      <c r="D323" s="120"/>
      <c r="E323" s="120"/>
      <c r="F323" s="120">
        <v>880</v>
      </c>
      <c r="G323" s="132"/>
    </row>
    <row r="324" spans="1:7" s="112" customFormat="1">
      <c r="A324" s="120" t="s">
        <v>291</v>
      </c>
      <c r="B324" s="120" t="s">
        <v>2591</v>
      </c>
      <c r="C324" s="120"/>
      <c r="D324" s="120"/>
      <c r="E324" s="120"/>
      <c r="F324" s="120">
        <v>930</v>
      </c>
      <c r="G324" s="132"/>
    </row>
    <row r="325" spans="1:7" s="112" customFormat="1">
      <c r="A325" s="120" t="s">
        <v>291</v>
      </c>
      <c r="B325" s="121" t="s">
        <v>2593</v>
      </c>
      <c r="C325" s="120"/>
      <c r="D325" s="120"/>
      <c r="E325" s="120"/>
      <c r="F325" s="120">
        <v>900</v>
      </c>
      <c r="G325" s="132"/>
    </row>
    <row r="326" spans="1:7" s="112" customFormat="1">
      <c r="A326" s="127" t="s">
        <v>291</v>
      </c>
      <c r="B326" s="124" t="s">
        <v>2595</v>
      </c>
      <c r="C326" s="124"/>
      <c r="D326" s="124"/>
      <c r="E326" s="124"/>
      <c r="F326" s="124">
        <v>790</v>
      </c>
      <c r="G326" s="133"/>
    </row>
    <row r="327" spans="1:7" s="112" customFormat="1">
      <c r="A327" s="118" t="s">
        <v>294</v>
      </c>
      <c r="B327" s="119" t="s">
        <v>2237</v>
      </c>
      <c r="C327" s="120">
        <v>3750</v>
      </c>
      <c r="D327" s="120">
        <v>3710</v>
      </c>
      <c r="E327" s="120">
        <v>4080</v>
      </c>
      <c r="F327" s="120">
        <v>860</v>
      </c>
      <c r="G327" s="120">
        <v>2210</v>
      </c>
    </row>
    <row r="328" spans="1:7" s="112" customFormat="1">
      <c r="A328" s="120" t="s">
        <v>294</v>
      </c>
      <c r="B328" s="120" t="s">
        <v>2250</v>
      </c>
      <c r="C328" s="120">
        <v>3330</v>
      </c>
      <c r="D328" s="120">
        <v>3290</v>
      </c>
      <c r="E328" s="120">
        <v>3610</v>
      </c>
      <c r="F328" s="120">
        <v>850</v>
      </c>
      <c r="G328" s="120">
        <v>1960</v>
      </c>
    </row>
    <row r="329" spans="1:7" s="112" customFormat="1">
      <c r="A329" s="120" t="s">
        <v>294</v>
      </c>
      <c r="B329" s="120" t="s">
        <v>2264</v>
      </c>
      <c r="C329" s="120">
        <v>2730</v>
      </c>
      <c r="D329" s="120">
        <v>2690</v>
      </c>
      <c r="E329" s="120">
        <v>3100</v>
      </c>
      <c r="F329" s="120">
        <v>660</v>
      </c>
      <c r="G329" s="120">
        <v>1610</v>
      </c>
    </row>
    <row r="330" spans="1:7" s="112" customFormat="1">
      <c r="A330" s="120" t="s">
        <v>294</v>
      </c>
      <c r="B330" s="120" t="s">
        <v>2276</v>
      </c>
      <c r="C330" s="120">
        <v>3270</v>
      </c>
      <c r="D330" s="120">
        <v>3240</v>
      </c>
      <c r="E330" s="120">
        <v>3560</v>
      </c>
      <c r="F330" s="120">
        <v>680</v>
      </c>
      <c r="G330" s="120">
        <v>1940</v>
      </c>
    </row>
    <row r="331" spans="1:7" s="112" customFormat="1">
      <c r="A331" s="120" t="s">
        <v>294</v>
      </c>
      <c r="B331" s="120" t="s">
        <v>2288</v>
      </c>
      <c r="C331" s="120">
        <v>3770</v>
      </c>
      <c r="D331" s="120">
        <v>3740</v>
      </c>
      <c r="E331" s="120">
        <v>4110</v>
      </c>
      <c r="F331" s="120">
        <v>730</v>
      </c>
      <c r="G331" s="120">
        <v>2230</v>
      </c>
    </row>
    <row r="332" spans="1:7" s="112" customFormat="1">
      <c r="A332" s="120" t="s">
        <v>294</v>
      </c>
      <c r="B332" s="120" t="s">
        <v>2299</v>
      </c>
      <c r="C332" s="120">
        <v>3520</v>
      </c>
      <c r="D332" s="120">
        <v>3480</v>
      </c>
      <c r="E332" s="120">
        <v>3830</v>
      </c>
      <c r="F332" s="120">
        <v>720</v>
      </c>
      <c r="G332" s="120">
        <v>2090</v>
      </c>
    </row>
    <row r="333" spans="1:7" s="112" customFormat="1">
      <c r="A333" s="120" t="s">
        <v>294</v>
      </c>
      <c r="B333" s="120" t="s">
        <v>2310</v>
      </c>
      <c r="C333" s="120">
        <v>3840</v>
      </c>
      <c r="D333" s="120">
        <v>3800</v>
      </c>
      <c r="E333" s="120">
        <v>4200</v>
      </c>
      <c r="F333" s="120">
        <v>760</v>
      </c>
      <c r="G333" s="120">
        <v>2270</v>
      </c>
    </row>
    <row r="334" spans="1:7" s="112" customFormat="1">
      <c r="A334" s="120" t="s">
        <v>294</v>
      </c>
      <c r="B334" s="120" t="s">
        <v>2321</v>
      </c>
      <c r="C334" s="120">
        <v>3960</v>
      </c>
      <c r="D334" s="120">
        <v>3910</v>
      </c>
      <c r="E334" s="120">
        <v>4340</v>
      </c>
      <c r="F334" s="120">
        <v>780</v>
      </c>
      <c r="G334" s="120">
        <v>2340</v>
      </c>
    </row>
    <row r="335" spans="1:7" s="112" customFormat="1">
      <c r="A335" s="120" t="s">
        <v>294</v>
      </c>
      <c r="B335" s="120" t="s">
        <v>2331</v>
      </c>
      <c r="C335" s="120">
        <v>3710</v>
      </c>
      <c r="D335" s="120">
        <v>3670</v>
      </c>
      <c r="E335" s="120">
        <v>4030</v>
      </c>
      <c r="F335" s="120">
        <v>750</v>
      </c>
      <c r="G335" s="120">
        <v>2200</v>
      </c>
    </row>
    <row r="336" spans="1:7" s="112" customFormat="1">
      <c r="A336" s="120" t="s">
        <v>294</v>
      </c>
      <c r="B336" s="120" t="s">
        <v>2341</v>
      </c>
      <c r="C336" s="120">
        <v>3570</v>
      </c>
      <c r="D336" s="120">
        <v>3530</v>
      </c>
      <c r="E336" s="120">
        <v>3880</v>
      </c>
      <c r="F336" s="120">
        <v>770</v>
      </c>
      <c r="G336" s="120">
        <v>2110</v>
      </c>
    </row>
    <row r="337" spans="1:10" s="112" customFormat="1">
      <c r="A337" s="120" t="s">
        <v>294</v>
      </c>
      <c r="B337" s="120" t="s">
        <v>2351</v>
      </c>
      <c r="C337" s="120">
        <v>3780</v>
      </c>
      <c r="D337" s="120">
        <v>3750</v>
      </c>
      <c r="E337" s="120">
        <v>4130</v>
      </c>
      <c r="F337" s="120">
        <v>750</v>
      </c>
      <c r="G337" s="120">
        <v>2240</v>
      </c>
    </row>
    <row r="338" spans="1:10" s="112" customFormat="1">
      <c r="A338" s="120" t="s">
        <v>294</v>
      </c>
      <c r="B338" s="120" t="s">
        <v>2361</v>
      </c>
      <c r="C338" s="120">
        <v>3600</v>
      </c>
      <c r="D338" s="120">
        <v>3570</v>
      </c>
      <c r="E338" s="120">
        <v>3920</v>
      </c>
      <c r="F338" s="120">
        <v>790</v>
      </c>
      <c r="G338" s="120">
        <v>2140</v>
      </c>
    </row>
    <row r="339" spans="1:10" s="112" customFormat="1">
      <c r="A339" s="120" t="s">
        <v>294</v>
      </c>
      <c r="B339" s="120" t="s">
        <v>2371</v>
      </c>
      <c r="C339" s="120">
        <v>3540</v>
      </c>
      <c r="D339" s="120">
        <v>3500</v>
      </c>
      <c r="E339" s="120">
        <v>3850</v>
      </c>
      <c r="F339" s="120">
        <v>780</v>
      </c>
      <c r="G339" s="120">
        <v>2100</v>
      </c>
    </row>
    <row r="340" spans="1:10" s="112" customFormat="1">
      <c r="A340" s="120" t="s">
        <v>294</v>
      </c>
      <c r="B340" s="120" t="s">
        <v>2381</v>
      </c>
      <c r="C340" s="120">
        <v>3850</v>
      </c>
      <c r="D340" s="120">
        <v>3810</v>
      </c>
      <c r="E340" s="120">
        <v>4210</v>
      </c>
      <c r="F340" s="120">
        <v>750</v>
      </c>
      <c r="G340" s="120">
        <v>2280</v>
      </c>
    </row>
    <row r="341" spans="1:10" s="112" customFormat="1">
      <c r="A341" s="120" t="s">
        <v>294</v>
      </c>
      <c r="B341" s="120" t="s">
        <v>2391</v>
      </c>
      <c r="C341" s="120">
        <v>3780</v>
      </c>
      <c r="D341" s="120">
        <v>3750</v>
      </c>
      <c r="E341" s="120">
        <v>4140</v>
      </c>
      <c r="F341" s="120">
        <v>720</v>
      </c>
      <c r="G341" s="120">
        <v>2240</v>
      </c>
    </row>
    <row r="342" spans="1:10" s="112" customFormat="1">
      <c r="A342" s="120" t="s">
        <v>294</v>
      </c>
      <c r="B342" s="120" t="s">
        <v>2401</v>
      </c>
      <c r="C342" s="120">
        <v>3670</v>
      </c>
      <c r="D342" s="120">
        <v>3620</v>
      </c>
      <c r="E342" s="120">
        <v>3990</v>
      </c>
      <c r="F342" s="120">
        <v>760</v>
      </c>
      <c r="G342" s="120">
        <v>2170</v>
      </c>
    </row>
    <row r="343" spans="1:10" s="112" customFormat="1">
      <c r="A343" s="120" t="s">
        <v>294</v>
      </c>
      <c r="B343" s="120" t="s">
        <v>2411</v>
      </c>
      <c r="C343" s="120">
        <v>3760</v>
      </c>
      <c r="D343" s="120">
        <v>3720</v>
      </c>
      <c r="E343" s="120">
        <v>4090</v>
      </c>
      <c r="F343" s="120">
        <v>780</v>
      </c>
      <c r="G343" s="120">
        <v>2220</v>
      </c>
    </row>
    <row r="344" spans="1:10" s="112" customFormat="1">
      <c r="A344" s="120" t="s">
        <v>294</v>
      </c>
      <c r="B344" s="120" t="s">
        <v>2421</v>
      </c>
      <c r="C344" s="120">
        <v>3680</v>
      </c>
      <c r="D344" s="120">
        <v>3640</v>
      </c>
      <c r="E344" s="120">
        <v>4010</v>
      </c>
      <c r="F344" s="120">
        <v>750</v>
      </c>
      <c r="G344" s="120">
        <v>2180</v>
      </c>
    </row>
    <row r="345" spans="1:10">
      <c r="A345" s="120" t="s">
        <v>294</v>
      </c>
      <c r="B345" s="120" t="s">
        <v>2430</v>
      </c>
      <c r="C345" s="120">
        <v>3190</v>
      </c>
      <c r="D345" s="120">
        <v>3140</v>
      </c>
      <c r="E345" s="120">
        <v>3450</v>
      </c>
      <c r="F345" s="120">
        <v>720</v>
      </c>
      <c r="G345" s="120">
        <v>1880</v>
      </c>
      <c r="J345" s="112"/>
    </row>
    <row r="346" spans="1:10">
      <c r="A346" s="120" t="s">
        <v>294</v>
      </c>
      <c r="B346" s="120" t="s">
        <v>2440</v>
      </c>
      <c r="C346" s="120">
        <v>3630</v>
      </c>
      <c r="D346" s="120">
        <v>3590</v>
      </c>
      <c r="E346" s="120">
        <v>3940</v>
      </c>
      <c r="F346" s="120">
        <v>730</v>
      </c>
      <c r="G346" s="120">
        <v>2150</v>
      </c>
      <c r="J346" s="112"/>
    </row>
    <row r="347" spans="1:10">
      <c r="A347" s="120" t="s">
        <v>294</v>
      </c>
      <c r="B347" s="120" t="s">
        <v>2449</v>
      </c>
      <c r="C347" s="120">
        <v>3860</v>
      </c>
      <c r="D347" s="120">
        <v>3820</v>
      </c>
      <c r="E347" s="120">
        <v>4220</v>
      </c>
      <c r="F347" s="120">
        <v>750</v>
      </c>
      <c r="G347" s="120">
        <v>2280</v>
      </c>
      <c r="J347" s="112"/>
    </row>
    <row r="348" spans="1:10">
      <c r="A348" s="120" t="s">
        <v>294</v>
      </c>
      <c r="B348" s="120" t="s">
        <v>2457</v>
      </c>
      <c r="C348" s="120">
        <v>4000</v>
      </c>
      <c r="D348" s="120">
        <v>3950</v>
      </c>
      <c r="E348" s="120">
        <v>4430</v>
      </c>
      <c r="F348" s="120">
        <v>760</v>
      </c>
      <c r="G348" s="120">
        <v>2360</v>
      </c>
      <c r="J348" s="112"/>
    </row>
    <row r="349" spans="1:10">
      <c r="A349" s="120" t="s">
        <v>294</v>
      </c>
      <c r="B349" s="120" t="s">
        <v>2465</v>
      </c>
      <c r="C349" s="120">
        <v>3820</v>
      </c>
      <c r="D349" s="120">
        <v>3780</v>
      </c>
      <c r="E349" s="120">
        <v>4170</v>
      </c>
      <c r="F349" s="120">
        <v>710</v>
      </c>
      <c r="G349" s="120">
        <v>2260</v>
      </c>
      <c r="J349" s="112"/>
    </row>
    <row r="350" spans="1:10">
      <c r="A350" s="120" t="s">
        <v>294</v>
      </c>
      <c r="B350" s="120" t="s">
        <v>2473</v>
      </c>
      <c r="C350" s="120">
        <v>3760</v>
      </c>
      <c r="D350" s="120">
        <v>3730</v>
      </c>
      <c r="E350" s="120">
        <v>4100</v>
      </c>
      <c r="F350" s="120">
        <v>800</v>
      </c>
      <c r="G350" s="120">
        <v>2230</v>
      </c>
      <c r="J350" s="112"/>
    </row>
    <row r="351" spans="1:10">
      <c r="A351" s="120" t="s">
        <v>294</v>
      </c>
      <c r="B351" s="120" t="s">
        <v>2480</v>
      </c>
      <c r="C351" s="120">
        <v>3610</v>
      </c>
      <c r="D351" s="120">
        <v>3580</v>
      </c>
      <c r="E351" s="120">
        <v>3930</v>
      </c>
      <c r="F351" s="120">
        <v>700</v>
      </c>
      <c r="G351" s="120">
        <v>2140</v>
      </c>
      <c r="J351" s="112"/>
    </row>
    <row r="352" spans="1:10">
      <c r="A352" s="120" t="s">
        <v>294</v>
      </c>
      <c r="B352" s="120" t="s">
        <v>2487</v>
      </c>
      <c r="C352" s="120">
        <v>3670</v>
      </c>
      <c r="D352" s="120">
        <v>3630</v>
      </c>
      <c r="E352" s="120">
        <v>4000</v>
      </c>
      <c r="F352" s="120">
        <v>750</v>
      </c>
      <c r="G352" s="120">
        <v>2180</v>
      </c>
    </row>
    <row r="353" spans="1:7">
      <c r="A353" s="120" t="s">
        <v>294</v>
      </c>
      <c r="B353" s="120" t="s">
        <v>2494</v>
      </c>
      <c r="C353" s="120">
        <v>3190</v>
      </c>
      <c r="D353" s="120">
        <v>3150</v>
      </c>
      <c r="E353" s="120">
        <v>3640</v>
      </c>
      <c r="F353" s="120">
        <v>630</v>
      </c>
      <c r="G353" s="120">
        <v>1890</v>
      </c>
    </row>
    <row r="354" spans="1:7">
      <c r="A354" s="120" t="s">
        <v>294</v>
      </c>
      <c r="B354" s="120" t="s">
        <v>2501</v>
      </c>
      <c r="C354" s="120">
        <v>3450</v>
      </c>
      <c r="D354" s="120">
        <v>3420</v>
      </c>
      <c r="E354" s="120">
        <v>3960</v>
      </c>
      <c r="F354" s="120">
        <v>660</v>
      </c>
      <c r="G354" s="120">
        <v>2050</v>
      </c>
    </row>
    <row r="355" spans="1:7">
      <c r="A355" s="120" t="s">
        <v>294</v>
      </c>
      <c r="B355" s="120" t="s">
        <v>2508</v>
      </c>
      <c r="C355" s="120">
        <v>3650</v>
      </c>
      <c r="D355" s="120">
        <v>3610</v>
      </c>
      <c r="E355" s="120">
        <v>4200</v>
      </c>
      <c r="F355" s="120">
        <v>640</v>
      </c>
      <c r="G355" s="120">
        <v>2160</v>
      </c>
    </row>
    <row r="356" spans="1:7">
      <c r="A356" s="120" t="s">
        <v>294</v>
      </c>
      <c r="B356" s="120" t="s">
        <v>2515</v>
      </c>
      <c r="C356" s="120">
        <v>3260</v>
      </c>
      <c r="D356" s="120">
        <v>3230</v>
      </c>
      <c r="E356" s="120">
        <v>3740</v>
      </c>
      <c r="F356" s="120">
        <v>600</v>
      </c>
      <c r="G356" s="120">
        <v>1930</v>
      </c>
    </row>
    <row r="357" spans="1:7">
      <c r="A357" s="122" t="s">
        <v>294</v>
      </c>
      <c r="B357" s="126" t="s">
        <v>2522</v>
      </c>
      <c r="C357" s="126">
        <v>3690</v>
      </c>
      <c r="D357" s="126">
        <v>3650</v>
      </c>
      <c r="E357" s="126">
        <v>4020</v>
      </c>
      <c r="F357" s="126">
        <v>700</v>
      </c>
      <c r="G357" s="126">
        <v>2190</v>
      </c>
    </row>
    <row r="358" spans="1:7">
      <c r="A358" s="118" t="s">
        <v>297</v>
      </c>
      <c r="B358" s="119" t="s">
        <v>2238</v>
      </c>
      <c r="C358" s="119">
        <v>2080</v>
      </c>
      <c r="D358" s="119">
        <v>2040</v>
      </c>
      <c r="E358" s="119">
        <v>2010</v>
      </c>
      <c r="F358" s="119">
        <v>530</v>
      </c>
      <c r="G358" s="131">
        <v>1230</v>
      </c>
    </row>
    <row r="359" spans="1:7">
      <c r="A359" s="120" t="s">
        <v>297</v>
      </c>
      <c r="B359" s="120" t="s">
        <v>2251</v>
      </c>
      <c r="C359" s="120">
        <v>1850</v>
      </c>
      <c r="D359" s="120">
        <v>1820</v>
      </c>
      <c r="E359" s="120">
        <v>1780</v>
      </c>
      <c r="F359" s="120">
        <v>520</v>
      </c>
      <c r="G359" s="132">
        <v>1100</v>
      </c>
    </row>
    <row r="360" spans="1:7">
      <c r="A360" s="120" t="s">
        <v>297</v>
      </c>
      <c r="B360" s="120" t="s">
        <v>2265</v>
      </c>
      <c r="C360" s="120">
        <v>2020</v>
      </c>
      <c r="D360" s="120">
        <v>1990</v>
      </c>
      <c r="E360" s="120">
        <v>1950</v>
      </c>
      <c r="F360" s="120">
        <v>500</v>
      </c>
      <c r="G360" s="132">
        <v>1200</v>
      </c>
    </row>
    <row r="361" spans="1:7">
      <c r="A361" s="120" t="s">
        <v>297</v>
      </c>
      <c r="B361" s="120" t="s">
        <v>2277</v>
      </c>
      <c r="C361" s="120">
        <v>2260</v>
      </c>
      <c r="D361" s="120">
        <v>2220</v>
      </c>
      <c r="E361" s="120">
        <v>2180</v>
      </c>
      <c r="F361" s="120">
        <v>580</v>
      </c>
      <c r="G361" s="132">
        <v>1340</v>
      </c>
    </row>
    <row r="362" spans="1:7">
      <c r="A362" s="120" t="s">
        <v>297</v>
      </c>
      <c r="B362" s="120" t="s">
        <v>2289</v>
      </c>
      <c r="C362" s="120">
        <v>2650</v>
      </c>
      <c r="D362" s="120">
        <v>2610</v>
      </c>
      <c r="E362" s="120">
        <v>2570</v>
      </c>
      <c r="F362" s="120">
        <v>630</v>
      </c>
      <c r="G362" s="132">
        <v>1570</v>
      </c>
    </row>
    <row r="363" spans="1:7">
      <c r="A363" s="120" t="s">
        <v>297</v>
      </c>
      <c r="B363" s="120" t="s">
        <v>2300</v>
      </c>
      <c r="C363" s="120">
        <v>2390</v>
      </c>
      <c r="D363" s="120">
        <v>2360</v>
      </c>
      <c r="E363" s="120">
        <v>2320</v>
      </c>
      <c r="F363" s="120">
        <v>600</v>
      </c>
      <c r="G363" s="132">
        <v>1420</v>
      </c>
    </row>
    <row r="364" spans="1:7">
      <c r="A364" s="120" t="s">
        <v>297</v>
      </c>
      <c r="B364" s="120" t="s">
        <v>2311</v>
      </c>
      <c r="C364" s="120">
        <v>2050</v>
      </c>
      <c r="D364" s="120">
        <v>2030</v>
      </c>
      <c r="E364" s="120">
        <v>1990</v>
      </c>
      <c r="F364" s="120">
        <v>550</v>
      </c>
      <c r="G364" s="132">
        <v>1220</v>
      </c>
    </row>
    <row r="365" spans="1:7">
      <c r="A365" s="120" t="s">
        <v>297</v>
      </c>
      <c r="B365" s="120" t="s">
        <v>2322</v>
      </c>
      <c r="C365" s="120">
        <v>2140</v>
      </c>
      <c r="D365" s="120">
        <v>2100</v>
      </c>
      <c r="E365" s="120">
        <v>2060</v>
      </c>
      <c r="F365" s="120">
        <v>540</v>
      </c>
      <c r="G365" s="132">
        <v>1270</v>
      </c>
    </row>
    <row r="366" spans="1:7">
      <c r="A366" s="120" t="s">
        <v>297</v>
      </c>
      <c r="B366" s="120" t="s">
        <v>2332</v>
      </c>
      <c r="C366" s="120">
        <v>2410</v>
      </c>
      <c r="D366" s="120">
        <v>2370</v>
      </c>
      <c r="E366" s="120">
        <v>2330</v>
      </c>
      <c r="F366" s="120">
        <v>570</v>
      </c>
      <c r="G366" s="132">
        <v>1440</v>
      </c>
    </row>
    <row r="367" spans="1:7">
      <c r="A367" s="120" t="s">
        <v>297</v>
      </c>
      <c r="B367" s="120" t="s">
        <v>2342</v>
      </c>
      <c r="C367" s="120">
        <v>2300</v>
      </c>
      <c r="D367" s="120">
        <v>2260</v>
      </c>
      <c r="E367" s="120">
        <v>2220</v>
      </c>
      <c r="F367" s="120">
        <v>560</v>
      </c>
      <c r="G367" s="132">
        <v>1370</v>
      </c>
    </row>
    <row r="368" spans="1:7">
      <c r="A368" s="120" t="s">
        <v>297</v>
      </c>
      <c r="B368" s="120" t="s">
        <v>2352</v>
      </c>
      <c r="C368" s="120">
        <v>2430</v>
      </c>
      <c r="D368" s="120">
        <v>2390</v>
      </c>
      <c r="E368" s="120">
        <v>2350</v>
      </c>
      <c r="F368" s="120">
        <v>570</v>
      </c>
      <c r="G368" s="132">
        <v>1450</v>
      </c>
    </row>
    <row r="369" spans="1:7">
      <c r="A369" s="120" t="s">
        <v>297</v>
      </c>
      <c r="B369" s="120" t="s">
        <v>2362</v>
      </c>
      <c r="C369" s="120">
        <v>2320</v>
      </c>
      <c r="D369" s="120">
        <v>2290</v>
      </c>
      <c r="E369" s="120">
        <v>2250</v>
      </c>
      <c r="F369" s="120">
        <v>550</v>
      </c>
      <c r="G369" s="132">
        <v>1380</v>
      </c>
    </row>
    <row r="370" spans="1:7">
      <c r="A370" s="120" t="s">
        <v>297</v>
      </c>
      <c r="B370" s="120" t="s">
        <v>2372</v>
      </c>
      <c r="C370" s="120">
        <v>2190</v>
      </c>
      <c r="D370" s="120">
        <v>2170</v>
      </c>
      <c r="E370" s="120">
        <v>2130</v>
      </c>
      <c r="F370" s="120">
        <v>530</v>
      </c>
      <c r="G370" s="132">
        <v>1310</v>
      </c>
    </row>
    <row r="371" spans="1:7">
      <c r="A371" s="120" t="s">
        <v>297</v>
      </c>
      <c r="B371" s="120" t="s">
        <v>2382</v>
      </c>
      <c r="C371" s="120">
        <v>2460</v>
      </c>
      <c r="D371" s="120">
        <v>2420</v>
      </c>
      <c r="E371" s="120">
        <v>2370</v>
      </c>
      <c r="F371" s="120">
        <v>560</v>
      </c>
      <c r="G371" s="132">
        <v>1470</v>
      </c>
    </row>
    <row r="372" spans="1:7">
      <c r="A372" s="120" t="s">
        <v>297</v>
      </c>
      <c r="B372" s="120" t="s">
        <v>2392</v>
      </c>
      <c r="C372" s="120">
        <v>2250</v>
      </c>
      <c r="D372" s="120">
        <v>2210</v>
      </c>
      <c r="E372" s="120">
        <v>2180</v>
      </c>
      <c r="F372" s="120">
        <v>550</v>
      </c>
      <c r="G372" s="132">
        <v>1340</v>
      </c>
    </row>
    <row r="373" spans="1:7">
      <c r="A373" s="120" t="s">
        <v>297</v>
      </c>
      <c r="B373" s="120" t="s">
        <v>2402</v>
      </c>
      <c r="C373" s="120">
        <v>2210</v>
      </c>
      <c r="D373" s="120">
        <v>2190</v>
      </c>
      <c r="E373" s="120">
        <v>2150</v>
      </c>
      <c r="F373" s="120">
        <v>530</v>
      </c>
      <c r="G373" s="132">
        <v>1320</v>
      </c>
    </row>
    <row r="374" spans="1:7">
      <c r="A374" s="120" t="s">
        <v>297</v>
      </c>
      <c r="B374" s="120" t="s">
        <v>2412</v>
      </c>
      <c r="C374" s="120">
        <v>2320</v>
      </c>
      <c r="D374" s="120">
        <v>2280</v>
      </c>
      <c r="E374" s="120">
        <v>2230</v>
      </c>
      <c r="F374" s="120">
        <v>580</v>
      </c>
      <c r="G374" s="132">
        <v>1380</v>
      </c>
    </row>
    <row r="375" spans="1:7">
      <c r="A375" s="120" t="s">
        <v>297</v>
      </c>
      <c r="B375" s="120" t="s">
        <v>2422</v>
      </c>
      <c r="C375" s="120">
        <v>2090</v>
      </c>
      <c r="D375" s="120">
        <v>2050</v>
      </c>
      <c r="E375" s="120">
        <v>2020</v>
      </c>
      <c r="F375" s="120">
        <v>520</v>
      </c>
      <c r="G375" s="132">
        <v>1240</v>
      </c>
    </row>
    <row r="376" spans="1:7">
      <c r="A376" s="120" t="s">
        <v>297</v>
      </c>
      <c r="B376" s="120" t="s">
        <v>2431</v>
      </c>
      <c r="C376" s="120">
        <v>2010</v>
      </c>
      <c r="D376" s="120">
        <v>1980</v>
      </c>
      <c r="E376" s="120">
        <v>1940</v>
      </c>
      <c r="F376" s="120">
        <v>540</v>
      </c>
      <c r="G376" s="132">
        <v>1190</v>
      </c>
    </row>
    <row r="377" spans="1:7">
      <c r="A377" s="122" t="s">
        <v>297</v>
      </c>
      <c r="B377" s="126" t="s">
        <v>2441</v>
      </c>
      <c r="C377" s="126">
        <v>1930</v>
      </c>
      <c r="D377" s="126">
        <v>1890</v>
      </c>
      <c r="E377" s="126">
        <v>1860</v>
      </c>
      <c r="F377" s="126">
        <v>530</v>
      </c>
      <c r="G377" s="141">
        <v>1150</v>
      </c>
    </row>
    <row r="378" spans="1:7">
      <c r="A378" s="138" t="s">
        <v>300</v>
      </c>
      <c r="B378" s="119" t="s">
        <v>2239</v>
      </c>
      <c r="C378" s="119">
        <v>1520</v>
      </c>
      <c r="D378" s="119">
        <v>1490</v>
      </c>
      <c r="E378" s="119">
        <v>1460</v>
      </c>
      <c r="F378" s="119">
        <v>460</v>
      </c>
      <c r="G378" s="131">
        <v>940</v>
      </c>
    </row>
    <row r="379" spans="1:7">
      <c r="A379" s="139" t="s">
        <v>300</v>
      </c>
      <c r="B379" s="120" t="s">
        <v>2252</v>
      </c>
      <c r="C379" s="120">
        <v>1500</v>
      </c>
      <c r="D379" s="120">
        <v>1470</v>
      </c>
      <c r="E379" s="120">
        <v>1430</v>
      </c>
      <c r="F379" s="120">
        <v>460</v>
      </c>
      <c r="G379" s="132">
        <v>920</v>
      </c>
    </row>
    <row r="380" spans="1:7">
      <c r="A380" s="139" t="s">
        <v>300</v>
      </c>
      <c r="B380" s="120" t="s">
        <v>2266</v>
      </c>
      <c r="C380" s="120">
        <v>1620</v>
      </c>
      <c r="D380" s="120">
        <v>1590</v>
      </c>
      <c r="E380" s="120">
        <v>1560</v>
      </c>
      <c r="F380" s="120">
        <v>480</v>
      </c>
      <c r="G380" s="132">
        <v>1000</v>
      </c>
    </row>
    <row r="381" spans="1:7">
      <c r="A381" s="139" t="s">
        <v>300</v>
      </c>
      <c r="B381" s="120" t="s">
        <v>2278</v>
      </c>
      <c r="C381" s="120">
        <v>1460</v>
      </c>
      <c r="D381" s="120">
        <v>1430</v>
      </c>
      <c r="E381" s="120">
        <v>1390</v>
      </c>
      <c r="F381" s="120">
        <v>450</v>
      </c>
      <c r="G381" s="132">
        <v>900</v>
      </c>
    </row>
    <row r="382" spans="1:7">
      <c r="A382" s="139" t="s">
        <v>300</v>
      </c>
      <c r="B382" s="120" t="s">
        <v>2290</v>
      </c>
      <c r="C382" s="120">
        <v>1310</v>
      </c>
      <c r="D382" s="120">
        <v>1280</v>
      </c>
      <c r="E382" s="120">
        <v>1250</v>
      </c>
      <c r="F382" s="120">
        <v>440</v>
      </c>
      <c r="G382" s="132">
        <v>800</v>
      </c>
    </row>
    <row r="383" spans="1:7">
      <c r="A383" s="139" t="s">
        <v>300</v>
      </c>
      <c r="B383" s="120" t="s">
        <v>2301</v>
      </c>
      <c r="C383" s="120">
        <v>1260</v>
      </c>
      <c r="D383" s="120">
        <v>1230</v>
      </c>
      <c r="E383" s="120">
        <v>1200</v>
      </c>
      <c r="F383" s="120">
        <v>420</v>
      </c>
      <c r="G383" s="132">
        <v>770</v>
      </c>
    </row>
    <row r="384" spans="1:7">
      <c r="A384" s="140" t="s">
        <v>300</v>
      </c>
      <c r="B384" s="124" t="s">
        <v>2312</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1" t="s">
        <v>2609</v>
      </c>
      <c r="B1" s="3151"/>
    </row>
    <row r="2" spans="1:7">
      <c r="A2" s="77"/>
      <c r="B2" s="77"/>
    </row>
    <row r="3" spans="1:7">
      <c r="A3" s="77"/>
      <c r="B3" s="77"/>
      <c r="C3" s="78" t="s">
        <v>1564</v>
      </c>
      <c r="D3" s="78" t="s">
        <v>1770</v>
      </c>
      <c r="E3" s="78" t="s">
        <v>1771</v>
      </c>
      <c r="F3" s="78" t="s">
        <v>1772</v>
      </c>
      <c r="G3" s="78" t="s">
        <v>288</v>
      </c>
    </row>
    <row r="4" spans="1:7">
      <c r="A4" s="79" t="s">
        <v>2240</v>
      </c>
      <c r="B4" s="80" t="s">
        <v>2253</v>
      </c>
      <c r="C4" s="78"/>
      <c r="D4" s="78"/>
      <c r="E4" s="78"/>
      <c r="F4" s="78"/>
      <c r="G4" s="78"/>
    </row>
    <row r="5" spans="1:7">
      <c r="A5" s="81" t="s">
        <v>232</v>
      </c>
      <c r="B5" s="82" t="s">
        <v>2228</v>
      </c>
      <c r="C5" s="83">
        <v>9.8000000000000004E-2</v>
      </c>
      <c r="D5" s="83">
        <v>8.6999999999999994E-2</v>
      </c>
      <c r="E5" s="83">
        <v>8.6999999999999994E-2</v>
      </c>
      <c r="F5" s="83">
        <v>9.8000000000000004E-2</v>
      </c>
      <c r="G5" s="97">
        <v>9.5000000000000001E-2</v>
      </c>
    </row>
    <row r="6" spans="1:7">
      <c r="A6" s="84" t="s">
        <v>232</v>
      </c>
      <c r="B6" s="85" t="s">
        <v>2241</v>
      </c>
      <c r="C6" s="86">
        <v>9.8000000000000004E-2</v>
      </c>
      <c r="D6" s="86">
        <v>9.8000000000000004E-2</v>
      </c>
      <c r="E6" s="86">
        <v>9.8000000000000004E-2</v>
      </c>
      <c r="F6" s="86">
        <v>0.1</v>
      </c>
      <c r="G6" s="98">
        <v>9.9000000000000005E-2</v>
      </c>
    </row>
    <row r="7" spans="1:7">
      <c r="A7" s="84" t="s">
        <v>232</v>
      </c>
      <c r="B7" s="85" t="s">
        <v>2255</v>
      </c>
      <c r="C7" s="86">
        <v>9.7000000000000003E-2</v>
      </c>
      <c r="D7" s="86">
        <v>9.7000000000000003E-2</v>
      </c>
      <c r="E7" s="86">
        <v>9.6000000000000002E-2</v>
      </c>
      <c r="F7" s="86">
        <v>0.1</v>
      </c>
      <c r="G7" s="98">
        <v>9.8000000000000004E-2</v>
      </c>
    </row>
    <row r="8" spans="1:7">
      <c r="A8" s="84" t="s">
        <v>232</v>
      </c>
      <c r="B8" s="85" t="s">
        <v>2267</v>
      </c>
      <c r="C8" s="86">
        <v>8.1000000000000003E-2</v>
      </c>
      <c r="D8" s="86">
        <v>8.2000000000000003E-2</v>
      </c>
      <c r="E8" s="86">
        <v>7.0000000000000007E-2</v>
      </c>
      <c r="F8" s="86">
        <v>9.6000000000000002E-2</v>
      </c>
      <c r="G8" s="98">
        <v>8.8999999999999996E-2</v>
      </c>
    </row>
    <row r="9" spans="1:7">
      <c r="A9" s="87" t="s">
        <v>232</v>
      </c>
      <c r="B9" s="88" t="s">
        <v>2279</v>
      </c>
      <c r="C9" s="89">
        <v>0.1</v>
      </c>
      <c r="D9" s="89">
        <v>0.1</v>
      </c>
      <c r="E9" s="89">
        <v>0.1</v>
      </c>
      <c r="F9" s="96"/>
      <c r="G9" s="99">
        <v>0.1</v>
      </c>
    </row>
    <row r="10" spans="1:7">
      <c r="A10" s="81" t="s">
        <v>243</v>
      </c>
      <c r="B10" s="82" t="s">
        <v>2229</v>
      </c>
      <c r="C10" s="83">
        <v>6.7000000000000004E-2</v>
      </c>
      <c r="D10" s="83">
        <v>7.9000000000000001E-2</v>
      </c>
      <c r="E10" s="83">
        <v>7.9000000000000001E-2</v>
      </c>
      <c r="F10" s="83">
        <v>0.1</v>
      </c>
      <c r="G10" s="97">
        <v>9.0999999999999998E-2</v>
      </c>
    </row>
    <row r="11" spans="1:7">
      <c r="A11" s="84" t="s">
        <v>243</v>
      </c>
      <c r="B11" s="85" t="s">
        <v>2242</v>
      </c>
      <c r="C11" s="86">
        <v>0.05</v>
      </c>
      <c r="D11" s="86">
        <v>5.2999999999999999E-2</v>
      </c>
      <c r="E11" s="86">
        <v>6.3E-2</v>
      </c>
      <c r="F11" s="86">
        <v>0.1</v>
      </c>
      <c r="G11" s="98">
        <v>7.1999999999999995E-2</v>
      </c>
    </row>
    <row r="12" spans="1:7">
      <c r="A12" s="84" t="s">
        <v>243</v>
      </c>
      <c r="B12" s="85" t="s">
        <v>2256</v>
      </c>
      <c r="C12" s="86">
        <v>5.2999999999999999E-2</v>
      </c>
      <c r="D12" s="86">
        <v>0.09</v>
      </c>
      <c r="E12" s="86">
        <v>7.1999999999999995E-2</v>
      </c>
      <c r="F12" s="86">
        <v>0.1</v>
      </c>
      <c r="G12" s="98">
        <v>9.7000000000000003E-2</v>
      </c>
    </row>
    <row r="13" spans="1:7">
      <c r="A13" s="84" t="s">
        <v>243</v>
      </c>
      <c r="B13" s="85" t="s">
        <v>2268</v>
      </c>
      <c r="C13" s="86">
        <v>9.7000000000000003E-2</v>
      </c>
      <c r="D13" s="86">
        <v>9.1999999999999998E-2</v>
      </c>
      <c r="E13" s="86">
        <v>9.5000000000000001E-2</v>
      </c>
      <c r="F13" s="86">
        <v>0.1</v>
      </c>
      <c r="G13" s="98">
        <v>9.7000000000000003E-2</v>
      </c>
    </row>
    <row r="14" spans="1:7">
      <c r="A14" s="84" t="s">
        <v>243</v>
      </c>
      <c r="B14" s="85" t="s">
        <v>2280</v>
      </c>
      <c r="C14" s="86">
        <v>9.7000000000000003E-2</v>
      </c>
      <c r="D14" s="86">
        <v>9.7000000000000003E-2</v>
      </c>
      <c r="E14" s="86">
        <v>9.7000000000000003E-2</v>
      </c>
      <c r="F14" s="86">
        <v>0.1</v>
      </c>
      <c r="G14" s="98">
        <v>9.8000000000000004E-2</v>
      </c>
    </row>
    <row r="15" spans="1:7">
      <c r="A15" s="84" t="s">
        <v>243</v>
      </c>
      <c r="B15" s="85" t="s">
        <v>2291</v>
      </c>
      <c r="C15" s="86">
        <v>9.8000000000000004E-2</v>
      </c>
      <c r="D15" s="86">
        <v>9.0999999999999998E-2</v>
      </c>
      <c r="E15" s="86">
        <v>0.06</v>
      </c>
      <c r="F15" s="86">
        <v>0.1</v>
      </c>
      <c r="G15" s="98">
        <v>9.7000000000000003E-2</v>
      </c>
    </row>
    <row r="16" spans="1:7">
      <c r="A16" s="84" t="s">
        <v>243</v>
      </c>
      <c r="B16" s="85" t="s">
        <v>2302</v>
      </c>
      <c r="C16" s="86">
        <v>9.8000000000000004E-2</v>
      </c>
      <c r="D16" s="86">
        <v>9.7000000000000003E-2</v>
      </c>
      <c r="E16" s="86">
        <v>9.5000000000000001E-2</v>
      </c>
      <c r="F16" s="86">
        <v>0.1</v>
      </c>
      <c r="G16" s="98">
        <v>9.9000000000000005E-2</v>
      </c>
    </row>
    <row r="17" spans="1:7">
      <c r="A17" s="84" t="s">
        <v>243</v>
      </c>
      <c r="B17" s="85" t="s">
        <v>2313</v>
      </c>
      <c r="C17" s="86">
        <v>8.8999999999999996E-2</v>
      </c>
      <c r="D17" s="86">
        <v>9.1999999999999998E-2</v>
      </c>
      <c r="E17" s="86">
        <v>6.0999999999999999E-2</v>
      </c>
      <c r="F17" s="86">
        <v>0.1</v>
      </c>
      <c r="G17" s="98">
        <v>9.7000000000000003E-2</v>
      </c>
    </row>
    <row r="18" spans="1:7">
      <c r="A18" s="84" t="s">
        <v>243</v>
      </c>
      <c r="B18" s="85" t="s">
        <v>2323</v>
      </c>
      <c r="C18" s="86">
        <v>9.8000000000000004E-2</v>
      </c>
      <c r="D18" s="86">
        <v>9.8000000000000004E-2</v>
      </c>
      <c r="E18" s="86">
        <v>9.8000000000000004E-2</v>
      </c>
      <c r="F18" s="90"/>
      <c r="G18" s="98">
        <v>9.9000000000000005E-2</v>
      </c>
    </row>
    <row r="19" spans="1:7">
      <c r="A19" s="84" t="s">
        <v>243</v>
      </c>
      <c r="B19" s="85" t="s">
        <v>2333</v>
      </c>
      <c r="C19" s="86">
        <v>9.9000000000000005E-2</v>
      </c>
      <c r="D19" s="86">
        <v>7.3999999999999996E-2</v>
      </c>
      <c r="E19" s="86">
        <v>8.1000000000000003E-2</v>
      </c>
      <c r="F19" s="90"/>
      <c r="G19" s="98">
        <v>9.2999999999999999E-2</v>
      </c>
    </row>
    <row r="20" spans="1:7">
      <c r="A20" s="84" t="s">
        <v>243</v>
      </c>
      <c r="B20" s="85" t="s">
        <v>2343</v>
      </c>
      <c r="C20" s="86">
        <v>0.1</v>
      </c>
      <c r="D20" s="86">
        <v>8.8999999999999996E-2</v>
      </c>
      <c r="E20" s="86">
        <v>8.8999999999999996E-2</v>
      </c>
      <c r="F20" s="90"/>
      <c r="G20" s="98">
        <v>9.5000000000000001E-2</v>
      </c>
    </row>
    <row r="21" spans="1:7">
      <c r="A21" s="84" t="s">
        <v>243</v>
      </c>
      <c r="B21" s="85" t="s">
        <v>2353</v>
      </c>
      <c r="C21" s="86">
        <v>0.1</v>
      </c>
      <c r="D21" s="86">
        <v>9.0999999999999998E-2</v>
      </c>
      <c r="E21" s="86">
        <v>8.2000000000000003E-2</v>
      </c>
      <c r="F21" s="90"/>
      <c r="G21" s="98">
        <v>9.7000000000000003E-2</v>
      </c>
    </row>
    <row r="22" spans="1:7">
      <c r="A22" s="84" t="s">
        <v>243</v>
      </c>
      <c r="B22" s="85" t="s">
        <v>2363</v>
      </c>
      <c r="C22" s="86">
        <v>9.5000000000000001E-2</v>
      </c>
      <c r="D22" s="86">
        <v>9.9000000000000005E-2</v>
      </c>
      <c r="E22" s="86">
        <v>9.8000000000000004E-2</v>
      </c>
      <c r="F22" s="90"/>
      <c r="G22" s="98">
        <v>0.1</v>
      </c>
    </row>
    <row r="23" spans="1:7">
      <c r="A23" s="84" t="s">
        <v>243</v>
      </c>
      <c r="B23" s="85" t="s">
        <v>2373</v>
      </c>
      <c r="C23" s="86">
        <v>9.9000000000000005E-2</v>
      </c>
      <c r="D23" s="86">
        <v>0.1</v>
      </c>
      <c r="E23" s="86">
        <v>0.1</v>
      </c>
      <c r="F23" s="90"/>
      <c r="G23" s="98">
        <v>0.1</v>
      </c>
    </row>
    <row r="24" spans="1:7">
      <c r="A24" s="84" t="s">
        <v>243</v>
      </c>
      <c r="B24" s="85" t="s">
        <v>2383</v>
      </c>
      <c r="C24" s="86">
        <v>9.5000000000000001E-2</v>
      </c>
      <c r="D24" s="86">
        <v>0.1</v>
      </c>
      <c r="E24" s="86">
        <v>9.8000000000000004E-2</v>
      </c>
      <c r="F24" s="90"/>
      <c r="G24" s="98">
        <v>0.1</v>
      </c>
    </row>
    <row r="25" spans="1:7">
      <c r="A25" s="84" t="s">
        <v>243</v>
      </c>
      <c r="B25" s="85" t="s">
        <v>2393</v>
      </c>
      <c r="C25" s="86">
        <v>0.05</v>
      </c>
      <c r="D25" s="86">
        <v>9.6000000000000002E-2</v>
      </c>
      <c r="E25" s="86">
        <v>9.6000000000000002E-2</v>
      </c>
      <c r="F25" s="90"/>
      <c r="G25" s="98">
        <v>9.6000000000000002E-2</v>
      </c>
    </row>
    <row r="26" spans="1:7">
      <c r="A26" s="84" t="s">
        <v>243</v>
      </c>
      <c r="B26" s="85" t="s">
        <v>2403</v>
      </c>
      <c r="C26" s="86">
        <v>6.3E-2</v>
      </c>
      <c r="D26" s="86">
        <v>9.9000000000000005E-2</v>
      </c>
      <c r="E26" s="86">
        <v>9.8000000000000004E-2</v>
      </c>
      <c r="F26" s="90"/>
      <c r="G26" s="98">
        <v>0.1</v>
      </c>
    </row>
    <row r="27" spans="1:7">
      <c r="A27" s="84" t="s">
        <v>243</v>
      </c>
      <c r="B27" s="85" t="s">
        <v>2413</v>
      </c>
      <c r="C27" s="86">
        <v>5.1999999999999998E-2</v>
      </c>
      <c r="D27" s="86">
        <v>9.5000000000000001E-2</v>
      </c>
      <c r="E27" s="86">
        <v>6.4000000000000001E-2</v>
      </c>
      <c r="F27" s="90"/>
      <c r="G27" s="98">
        <v>9.7000000000000003E-2</v>
      </c>
    </row>
    <row r="28" spans="1:7">
      <c r="A28" s="84" t="s">
        <v>243</v>
      </c>
      <c r="B28" s="85" t="s">
        <v>2423</v>
      </c>
      <c r="C28" s="90"/>
      <c r="D28" s="86">
        <v>6.3E-2</v>
      </c>
      <c r="E28" s="86">
        <v>5.1999999999999998E-2</v>
      </c>
      <c r="F28" s="90"/>
      <c r="G28" s="98">
        <v>6.3E-2</v>
      </c>
    </row>
    <row r="29" spans="1:7">
      <c r="A29" s="87" t="s">
        <v>243</v>
      </c>
      <c r="B29" s="88" t="s">
        <v>2432</v>
      </c>
      <c r="C29" s="91"/>
      <c r="D29" s="89">
        <v>5.1999999999999998E-2</v>
      </c>
      <c r="E29" s="89">
        <v>7.0000000000000007E-2</v>
      </c>
      <c r="F29" s="91"/>
      <c r="G29" s="99">
        <v>7.0999999999999994E-2</v>
      </c>
    </row>
    <row r="30" spans="1:7">
      <c r="A30" s="92" t="s">
        <v>253</v>
      </c>
      <c r="B30" s="82" t="s">
        <v>2230</v>
      </c>
      <c r="C30" s="83">
        <v>6.6000000000000003E-2</v>
      </c>
      <c r="D30" s="83">
        <v>6.6000000000000003E-2</v>
      </c>
      <c r="E30" s="83">
        <v>5.7000000000000002E-2</v>
      </c>
      <c r="F30" s="83">
        <v>0.1</v>
      </c>
      <c r="G30" s="97">
        <v>6.8000000000000005E-2</v>
      </c>
    </row>
    <row r="31" spans="1:7">
      <c r="A31" s="93" t="s">
        <v>253</v>
      </c>
      <c r="B31" s="85" t="s">
        <v>2243</v>
      </c>
      <c r="C31" s="86">
        <v>5.5E-2</v>
      </c>
      <c r="D31" s="86">
        <v>8.2000000000000003E-2</v>
      </c>
      <c r="E31" s="86">
        <v>6.4000000000000001E-2</v>
      </c>
      <c r="F31" s="86">
        <v>0.1</v>
      </c>
      <c r="G31" s="98">
        <v>9.5000000000000001E-2</v>
      </c>
    </row>
    <row r="32" spans="1:7">
      <c r="A32" s="93" t="s">
        <v>253</v>
      </c>
      <c r="B32" s="85" t="s">
        <v>2257</v>
      </c>
      <c r="C32" s="86">
        <v>8.2000000000000003E-2</v>
      </c>
      <c r="D32" s="86">
        <v>8.6999999999999994E-2</v>
      </c>
      <c r="E32" s="86">
        <v>9.5000000000000001E-2</v>
      </c>
      <c r="F32" s="86">
        <v>0.1</v>
      </c>
      <c r="G32" s="98">
        <v>9.6000000000000002E-2</v>
      </c>
    </row>
    <row r="33" spans="1:7">
      <c r="A33" s="93" t="s">
        <v>253</v>
      </c>
      <c r="B33" s="85" t="s">
        <v>2269</v>
      </c>
      <c r="C33" s="86">
        <v>9.9000000000000005E-2</v>
      </c>
      <c r="D33" s="86">
        <v>9.1999999999999998E-2</v>
      </c>
      <c r="E33" s="86">
        <v>8.6999999999999994E-2</v>
      </c>
      <c r="F33" s="86">
        <v>0.1</v>
      </c>
      <c r="G33" s="98">
        <v>9.7000000000000003E-2</v>
      </c>
    </row>
    <row r="34" spans="1:7">
      <c r="A34" s="93" t="s">
        <v>253</v>
      </c>
      <c r="B34" s="85" t="s">
        <v>2281</v>
      </c>
      <c r="C34" s="86">
        <v>8.4000000000000005E-2</v>
      </c>
      <c r="D34" s="86">
        <v>9.7000000000000003E-2</v>
      </c>
      <c r="E34" s="86">
        <v>7.0999999999999994E-2</v>
      </c>
      <c r="F34" s="86">
        <v>0.1</v>
      </c>
      <c r="G34" s="98">
        <v>9.8000000000000004E-2</v>
      </c>
    </row>
    <row r="35" spans="1:7">
      <c r="A35" s="93" t="s">
        <v>253</v>
      </c>
      <c r="B35" s="85" t="s">
        <v>2292</v>
      </c>
      <c r="C35" s="86">
        <v>8.3000000000000004E-2</v>
      </c>
      <c r="D35" s="86">
        <v>9.7000000000000003E-2</v>
      </c>
      <c r="E35" s="86">
        <v>6.0999999999999999E-2</v>
      </c>
      <c r="F35" s="86">
        <v>0.1</v>
      </c>
      <c r="G35" s="98">
        <v>9.9000000000000005E-2</v>
      </c>
    </row>
    <row r="36" spans="1:7">
      <c r="A36" s="93" t="s">
        <v>253</v>
      </c>
      <c r="B36" s="85" t="s">
        <v>2303</v>
      </c>
      <c r="C36" s="86">
        <v>9.7000000000000003E-2</v>
      </c>
      <c r="D36" s="86">
        <v>9.7000000000000003E-2</v>
      </c>
      <c r="E36" s="86">
        <v>7.8E-2</v>
      </c>
      <c r="F36" s="86">
        <v>0.1</v>
      </c>
      <c r="G36" s="98">
        <v>9.9000000000000005E-2</v>
      </c>
    </row>
    <row r="37" spans="1:7">
      <c r="A37" s="93" t="s">
        <v>253</v>
      </c>
      <c r="B37" s="85" t="s">
        <v>2314</v>
      </c>
      <c r="C37" s="86">
        <v>9.7000000000000003E-2</v>
      </c>
      <c r="D37" s="86">
        <v>9.5000000000000001E-2</v>
      </c>
      <c r="E37" s="86">
        <v>7.8E-2</v>
      </c>
      <c r="F37" s="86">
        <v>0.1</v>
      </c>
      <c r="G37" s="98">
        <v>9.7000000000000003E-2</v>
      </c>
    </row>
    <row r="38" spans="1:7">
      <c r="A38" s="93" t="s">
        <v>253</v>
      </c>
      <c r="B38" s="85" t="s">
        <v>2324</v>
      </c>
      <c r="C38" s="86">
        <v>9.7000000000000003E-2</v>
      </c>
      <c r="D38" s="86">
        <v>7.6999999999999999E-2</v>
      </c>
      <c r="E38" s="86">
        <v>7.0000000000000007E-2</v>
      </c>
      <c r="F38" s="86">
        <v>0.1</v>
      </c>
      <c r="G38" s="98">
        <v>7.6999999999999999E-2</v>
      </c>
    </row>
    <row r="39" spans="1:7">
      <c r="A39" s="93" t="s">
        <v>253</v>
      </c>
      <c r="B39" s="85" t="s">
        <v>2334</v>
      </c>
      <c r="C39" s="86">
        <v>9.5000000000000001E-2</v>
      </c>
      <c r="D39" s="86">
        <v>7.6999999999999999E-2</v>
      </c>
      <c r="E39" s="86">
        <v>6.6000000000000003E-2</v>
      </c>
      <c r="F39" s="86">
        <v>0.1</v>
      </c>
      <c r="G39" s="98">
        <v>8.5999999999999993E-2</v>
      </c>
    </row>
    <row r="40" spans="1:7">
      <c r="A40" s="93" t="s">
        <v>253</v>
      </c>
      <c r="B40" s="85" t="s">
        <v>2344</v>
      </c>
      <c r="C40" s="86">
        <v>7.6999999999999999E-2</v>
      </c>
      <c r="D40" s="86">
        <v>7.8E-2</v>
      </c>
      <c r="E40" s="86">
        <v>8.2000000000000003E-2</v>
      </c>
      <c r="F40" s="94"/>
      <c r="G40" s="98">
        <v>7.8E-2</v>
      </c>
    </row>
    <row r="41" spans="1:7">
      <c r="A41" s="93" t="s">
        <v>253</v>
      </c>
      <c r="B41" s="85" t="s">
        <v>2354</v>
      </c>
      <c r="C41" s="86">
        <v>7.8E-2</v>
      </c>
      <c r="D41" s="86">
        <v>7.8E-2</v>
      </c>
      <c r="E41" s="86">
        <v>8.2000000000000003E-2</v>
      </c>
      <c r="F41" s="94"/>
      <c r="G41" s="98">
        <v>8.5999999999999993E-2</v>
      </c>
    </row>
    <row r="42" spans="1:7">
      <c r="A42" s="93" t="s">
        <v>253</v>
      </c>
      <c r="B42" s="85" t="s">
        <v>2364</v>
      </c>
      <c r="C42" s="86">
        <v>7.8E-2</v>
      </c>
      <c r="D42" s="86">
        <v>9.6000000000000002E-2</v>
      </c>
      <c r="E42" s="86">
        <v>7.1999999999999995E-2</v>
      </c>
      <c r="F42" s="94"/>
      <c r="G42" s="98">
        <v>9.8000000000000004E-2</v>
      </c>
    </row>
    <row r="43" spans="1:7">
      <c r="A43" s="93" t="s">
        <v>253</v>
      </c>
      <c r="B43" s="85" t="s">
        <v>2374</v>
      </c>
      <c r="C43" s="86">
        <v>7.8E-2</v>
      </c>
      <c r="D43" s="86">
        <v>9.9000000000000005E-2</v>
      </c>
      <c r="E43" s="86">
        <v>9.6000000000000002E-2</v>
      </c>
      <c r="F43" s="94"/>
      <c r="G43" s="98">
        <v>0.1</v>
      </c>
    </row>
    <row r="44" spans="1:7">
      <c r="A44" s="93" t="s">
        <v>253</v>
      </c>
      <c r="B44" s="85" t="s">
        <v>2384</v>
      </c>
      <c r="C44" s="86">
        <v>9.6000000000000002E-2</v>
      </c>
      <c r="D44" s="86">
        <v>0.1</v>
      </c>
      <c r="E44" s="86">
        <v>9.8000000000000004E-2</v>
      </c>
      <c r="F44" s="94"/>
      <c r="G44" s="98">
        <v>0.1</v>
      </c>
    </row>
    <row r="45" spans="1:7">
      <c r="A45" s="93" t="s">
        <v>253</v>
      </c>
      <c r="B45" s="85" t="s">
        <v>2394</v>
      </c>
      <c r="C45" s="86">
        <v>9.9000000000000005E-2</v>
      </c>
      <c r="D45" s="86">
        <v>9.8000000000000004E-2</v>
      </c>
      <c r="E45" s="86">
        <v>9.5000000000000001E-2</v>
      </c>
      <c r="F45" s="94"/>
      <c r="G45" s="98">
        <v>9.8000000000000004E-2</v>
      </c>
    </row>
    <row r="46" spans="1:7">
      <c r="A46" s="93" t="s">
        <v>253</v>
      </c>
      <c r="B46" s="85" t="s">
        <v>2404</v>
      </c>
      <c r="C46" s="86">
        <v>0.1</v>
      </c>
      <c r="D46" s="86">
        <v>9.9000000000000005E-2</v>
      </c>
      <c r="E46" s="86">
        <v>9.6000000000000002E-2</v>
      </c>
      <c r="F46" s="94"/>
      <c r="G46" s="98">
        <v>0.1</v>
      </c>
    </row>
    <row r="47" spans="1:7">
      <c r="A47" s="93" t="s">
        <v>253</v>
      </c>
      <c r="B47" s="85" t="s">
        <v>2414</v>
      </c>
      <c r="C47" s="86">
        <v>9.8000000000000004E-2</v>
      </c>
      <c r="D47" s="86">
        <v>8.6999999999999994E-2</v>
      </c>
      <c r="E47" s="86">
        <v>5.8999999999999997E-2</v>
      </c>
      <c r="F47" s="94"/>
      <c r="G47" s="98">
        <v>9.6000000000000002E-2</v>
      </c>
    </row>
    <row r="48" spans="1:7">
      <c r="A48" s="93" t="s">
        <v>253</v>
      </c>
      <c r="B48" s="85" t="s">
        <v>2424</v>
      </c>
      <c r="C48" s="86">
        <v>9.9000000000000005E-2</v>
      </c>
      <c r="D48" s="86">
        <v>9.8000000000000004E-2</v>
      </c>
      <c r="E48" s="86">
        <v>9.5000000000000001E-2</v>
      </c>
      <c r="F48" s="94"/>
      <c r="G48" s="98">
        <v>9.8000000000000004E-2</v>
      </c>
    </row>
    <row r="49" spans="1:7">
      <c r="A49" s="93" t="s">
        <v>253</v>
      </c>
      <c r="B49" s="85" t="s">
        <v>2433</v>
      </c>
      <c r="C49" s="86">
        <v>8.7999999999999995E-2</v>
      </c>
      <c r="D49" s="86">
        <v>9.9000000000000005E-2</v>
      </c>
      <c r="E49" s="86">
        <v>7.0000000000000007E-2</v>
      </c>
      <c r="F49" s="94"/>
      <c r="G49" s="98">
        <v>0.1</v>
      </c>
    </row>
    <row r="50" spans="1:7">
      <c r="A50" s="93" t="s">
        <v>253</v>
      </c>
      <c r="B50" s="85" t="s">
        <v>2442</v>
      </c>
      <c r="C50" s="86">
        <v>9.8000000000000004E-2</v>
      </c>
      <c r="D50" s="86">
        <v>7.2999999999999995E-2</v>
      </c>
      <c r="E50" s="86">
        <v>7.0999999999999994E-2</v>
      </c>
      <c r="F50" s="94"/>
      <c r="G50" s="98">
        <v>7.2999999999999995E-2</v>
      </c>
    </row>
    <row r="51" spans="1:7">
      <c r="A51" s="93" t="s">
        <v>253</v>
      </c>
      <c r="B51" s="85" t="s">
        <v>2450</v>
      </c>
      <c r="C51" s="86">
        <v>9.9000000000000005E-2</v>
      </c>
      <c r="D51" s="86">
        <v>8.5000000000000006E-2</v>
      </c>
      <c r="E51" s="86">
        <v>6.3E-2</v>
      </c>
      <c r="F51" s="94"/>
      <c r="G51" s="98">
        <v>9.6000000000000002E-2</v>
      </c>
    </row>
    <row r="52" spans="1:7">
      <c r="A52" s="93" t="s">
        <v>253</v>
      </c>
      <c r="B52" s="85" t="s">
        <v>2458</v>
      </c>
      <c r="C52" s="86">
        <v>7.3999999999999996E-2</v>
      </c>
      <c r="D52" s="86">
        <v>9.6000000000000002E-2</v>
      </c>
      <c r="E52" s="86">
        <v>0.05</v>
      </c>
      <c r="F52" s="94"/>
      <c r="G52" s="98">
        <v>9.8000000000000004E-2</v>
      </c>
    </row>
    <row r="53" spans="1:7">
      <c r="A53" s="93" t="s">
        <v>253</v>
      </c>
      <c r="B53" s="85" t="s">
        <v>2466</v>
      </c>
      <c r="C53" s="86">
        <v>8.5999999999999993E-2</v>
      </c>
      <c r="D53" s="94"/>
      <c r="E53" s="86">
        <v>9.1999999999999998E-2</v>
      </c>
      <c r="F53" s="94"/>
      <c r="G53" s="100"/>
    </row>
    <row r="54" spans="1:7">
      <c r="A54" s="95" t="s">
        <v>253</v>
      </c>
      <c r="B54" s="88" t="s">
        <v>408</v>
      </c>
      <c r="C54" s="89">
        <v>9.6000000000000002E-2</v>
      </c>
      <c r="D54" s="96"/>
      <c r="E54" s="101"/>
      <c r="F54" s="96"/>
      <c r="G54" s="102"/>
    </row>
    <row r="55" spans="1:7">
      <c r="A55" s="92" t="s">
        <v>261</v>
      </c>
      <c r="B55" s="82" t="s">
        <v>2231</v>
      </c>
      <c r="C55" s="83">
        <v>9.6000000000000002E-2</v>
      </c>
      <c r="D55" s="83">
        <v>8.4000000000000005E-2</v>
      </c>
      <c r="E55" s="83">
        <v>9.1999999999999998E-2</v>
      </c>
      <c r="F55" s="83">
        <v>0.1</v>
      </c>
      <c r="G55" s="97">
        <v>9.5000000000000001E-2</v>
      </c>
    </row>
    <row r="56" spans="1:7">
      <c r="A56" s="93" t="s">
        <v>261</v>
      </c>
      <c r="B56" s="85" t="s">
        <v>2244</v>
      </c>
      <c r="C56" s="86">
        <v>8.4000000000000005E-2</v>
      </c>
      <c r="D56" s="86">
        <v>9.1999999999999998E-2</v>
      </c>
      <c r="E56" s="86">
        <v>9.5000000000000001E-2</v>
      </c>
      <c r="F56" s="86">
        <v>9.1999999999999998E-2</v>
      </c>
      <c r="G56" s="98">
        <v>9.6000000000000002E-2</v>
      </c>
    </row>
    <row r="57" spans="1:7">
      <c r="A57" s="93" t="s">
        <v>261</v>
      </c>
      <c r="B57" s="85" t="s">
        <v>2258</v>
      </c>
      <c r="C57" s="86">
        <v>9.9000000000000005E-2</v>
      </c>
      <c r="D57" s="86">
        <v>9.6000000000000002E-2</v>
      </c>
      <c r="E57" s="86">
        <v>9.1999999999999998E-2</v>
      </c>
      <c r="F57" s="86">
        <v>0.1</v>
      </c>
      <c r="G57" s="98">
        <v>9.8000000000000004E-2</v>
      </c>
    </row>
    <row r="58" spans="1:7">
      <c r="A58" s="93" t="s">
        <v>261</v>
      </c>
      <c r="B58" s="85" t="s">
        <v>2270</v>
      </c>
      <c r="C58" s="86">
        <v>9.8000000000000004E-2</v>
      </c>
      <c r="D58" s="86">
        <v>9.5000000000000001E-2</v>
      </c>
      <c r="E58" s="86">
        <v>5.7000000000000002E-2</v>
      </c>
      <c r="F58" s="86">
        <v>0.1</v>
      </c>
      <c r="G58" s="98">
        <v>9.6000000000000002E-2</v>
      </c>
    </row>
    <row r="59" spans="1:7">
      <c r="A59" s="93" t="s">
        <v>261</v>
      </c>
      <c r="B59" s="85" t="s">
        <v>2282</v>
      </c>
      <c r="C59" s="86">
        <v>9.5000000000000001E-2</v>
      </c>
      <c r="D59" s="86">
        <v>0.1</v>
      </c>
      <c r="E59" s="86">
        <v>7.4999999999999997E-2</v>
      </c>
      <c r="F59" s="86">
        <v>0.1</v>
      </c>
      <c r="G59" s="98">
        <v>0.1</v>
      </c>
    </row>
    <row r="60" spans="1:7">
      <c r="A60" s="93" t="s">
        <v>261</v>
      </c>
      <c r="B60" s="85" t="s">
        <v>2293</v>
      </c>
      <c r="C60" s="86">
        <v>0.1</v>
      </c>
      <c r="D60" s="86">
        <v>9.7000000000000003E-2</v>
      </c>
      <c r="E60" s="86">
        <v>0.1</v>
      </c>
      <c r="F60" s="86">
        <v>0.1</v>
      </c>
      <c r="G60" s="98">
        <v>9.7000000000000003E-2</v>
      </c>
    </row>
    <row r="61" spans="1:7">
      <c r="A61" s="93" t="s">
        <v>261</v>
      </c>
      <c r="B61" s="85" t="s">
        <v>2304</v>
      </c>
      <c r="C61" s="86">
        <v>9.7000000000000003E-2</v>
      </c>
      <c r="D61" s="86">
        <v>0.1</v>
      </c>
      <c r="E61" s="86">
        <v>9.2999999999999999E-2</v>
      </c>
      <c r="F61" s="86">
        <v>0.1</v>
      </c>
      <c r="G61" s="98">
        <v>0.1</v>
      </c>
    </row>
    <row r="62" spans="1:7">
      <c r="A62" s="93" t="s">
        <v>261</v>
      </c>
      <c r="B62" s="85" t="s">
        <v>2315</v>
      </c>
      <c r="C62" s="86">
        <v>0.1</v>
      </c>
      <c r="D62" s="86">
        <v>9.7000000000000003E-2</v>
      </c>
      <c r="E62" s="86">
        <v>8.8999999999999996E-2</v>
      </c>
      <c r="F62" s="86">
        <v>0.1</v>
      </c>
      <c r="G62" s="98">
        <v>9.8000000000000004E-2</v>
      </c>
    </row>
    <row r="63" spans="1:7">
      <c r="A63" s="93" t="s">
        <v>261</v>
      </c>
      <c r="B63" s="85" t="s">
        <v>2325</v>
      </c>
      <c r="C63" s="86">
        <v>9.7000000000000003E-2</v>
      </c>
      <c r="D63" s="86">
        <v>9.7000000000000003E-2</v>
      </c>
      <c r="E63" s="86">
        <v>9.9000000000000005E-2</v>
      </c>
      <c r="F63" s="86">
        <v>0.1</v>
      </c>
      <c r="G63" s="98">
        <v>9.7000000000000003E-2</v>
      </c>
    </row>
    <row r="64" spans="1:7">
      <c r="A64" s="93" t="s">
        <v>261</v>
      </c>
      <c r="B64" s="85" t="s">
        <v>2335</v>
      </c>
      <c r="C64" s="86">
        <v>9.7000000000000003E-2</v>
      </c>
      <c r="D64" s="86">
        <v>7.3999999999999996E-2</v>
      </c>
      <c r="E64" s="86">
        <v>7.8E-2</v>
      </c>
      <c r="F64" s="86">
        <v>0.1</v>
      </c>
      <c r="G64" s="98">
        <v>8.8999999999999996E-2</v>
      </c>
    </row>
    <row r="65" spans="1:7">
      <c r="A65" s="93" t="s">
        <v>261</v>
      </c>
      <c r="B65" s="85" t="s">
        <v>2345</v>
      </c>
      <c r="C65" s="86">
        <v>7.2999999999999995E-2</v>
      </c>
      <c r="D65" s="86">
        <v>9.8000000000000004E-2</v>
      </c>
      <c r="E65" s="86">
        <v>9.5000000000000001E-2</v>
      </c>
      <c r="F65" s="86">
        <v>0.1</v>
      </c>
      <c r="G65" s="98">
        <v>9.9000000000000005E-2</v>
      </c>
    </row>
    <row r="66" spans="1:7">
      <c r="A66" s="93" t="s">
        <v>261</v>
      </c>
      <c r="B66" s="85" t="s">
        <v>2355</v>
      </c>
      <c r="C66" s="86">
        <v>9.8000000000000004E-2</v>
      </c>
      <c r="D66" s="86">
        <v>9.5000000000000001E-2</v>
      </c>
      <c r="E66" s="86">
        <v>0.05</v>
      </c>
      <c r="F66" s="86">
        <v>0.1</v>
      </c>
      <c r="G66" s="98">
        <v>9.7000000000000003E-2</v>
      </c>
    </row>
    <row r="67" spans="1:7">
      <c r="A67" s="93" t="s">
        <v>261</v>
      </c>
      <c r="B67" s="85" t="s">
        <v>2365</v>
      </c>
      <c r="C67" s="86">
        <v>9.5000000000000001E-2</v>
      </c>
      <c r="D67" s="86">
        <v>9.7000000000000003E-2</v>
      </c>
      <c r="E67" s="86">
        <v>9.7000000000000003E-2</v>
      </c>
      <c r="F67" s="86">
        <v>0.1</v>
      </c>
      <c r="G67" s="98">
        <v>9.9000000000000005E-2</v>
      </c>
    </row>
    <row r="68" spans="1:7">
      <c r="A68" s="93" t="s">
        <v>261</v>
      </c>
      <c r="B68" s="85" t="s">
        <v>2375</v>
      </c>
      <c r="C68" s="86">
        <v>9.7000000000000003E-2</v>
      </c>
      <c r="D68" s="86">
        <v>6.8000000000000005E-2</v>
      </c>
      <c r="E68" s="86">
        <v>6.6000000000000003E-2</v>
      </c>
      <c r="F68" s="86">
        <v>0.1</v>
      </c>
      <c r="G68" s="98">
        <v>8.4000000000000005E-2</v>
      </c>
    </row>
    <row r="69" spans="1:7">
      <c r="A69" s="93" t="s">
        <v>261</v>
      </c>
      <c r="B69" s="85" t="s">
        <v>2385</v>
      </c>
      <c r="C69" s="86">
        <v>6.8000000000000005E-2</v>
      </c>
      <c r="D69" s="86">
        <v>9.8000000000000004E-2</v>
      </c>
      <c r="E69" s="86">
        <v>9.5000000000000001E-2</v>
      </c>
      <c r="F69" s="86">
        <v>0.1</v>
      </c>
      <c r="G69" s="98">
        <v>0.1</v>
      </c>
    </row>
    <row r="70" spans="1:7">
      <c r="A70" s="93" t="s">
        <v>261</v>
      </c>
      <c r="B70" s="85" t="s">
        <v>2395</v>
      </c>
      <c r="C70" s="86">
        <v>9.8000000000000004E-2</v>
      </c>
      <c r="D70" s="86">
        <v>8.8999999999999996E-2</v>
      </c>
      <c r="E70" s="86">
        <v>5.8999999999999997E-2</v>
      </c>
      <c r="F70" s="86">
        <v>0.1</v>
      </c>
      <c r="G70" s="98">
        <v>9.6000000000000002E-2</v>
      </c>
    </row>
    <row r="71" spans="1:7">
      <c r="A71" s="93" t="s">
        <v>261</v>
      </c>
      <c r="B71" s="85" t="s">
        <v>2405</v>
      </c>
      <c r="C71" s="86">
        <v>8.8999999999999996E-2</v>
      </c>
      <c r="D71" s="86">
        <v>9.9000000000000005E-2</v>
      </c>
      <c r="E71" s="86">
        <v>9.6000000000000002E-2</v>
      </c>
      <c r="F71" s="86">
        <v>0.1</v>
      </c>
      <c r="G71" s="98">
        <v>0.1</v>
      </c>
    </row>
    <row r="72" spans="1:7">
      <c r="A72" s="93" t="s">
        <v>261</v>
      </c>
      <c r="B72" s="85" t="s">
        <v>2415</v>
      </c>
      <c r="C72" s="86">
        <v>9.9000000000000005E-2</v>
      </c>
      <c r="D72" s="86">
        <v>0.1</v>
      </c>
      <c r="E72" s="86">
        <v>7.0000000000000007E-2</v>
      </c>
      <c r="F72" s="94"/>
      <c r="G72" s="98">
        <v>0.1</v>
      </c>
    </row>
    <row r="73" spans="1:7">
      <c r="A73" s="93" t="s">
        <v>261</v>
      </c>
      <c r="B73" s="85" t="s">
        <v>2425</v>
      </c>
      <c r="C73" s="86">
        <v>0.1</v>
      </c>
      <c r="D73" s="86">
        <v>0.1</v>
      </c>
      <c r="E73" s="86">
        <v>9.6000000000000002E-2</v>
      </c>
      <c r="F73" s="94"/>
      <c r="G73" s="98">
        <v>0.1</v>
      </c>
    </row>
    <row r="74" spans="1:7">
      <c r="A74" s="93" t="s">
        <v>261</v>
      </c>
      <c r="B74" s="85" t="s">
        <v>2434</v>
      </c>
      <c r="C74" s="86">
        <v>0.1</v>
      </c>
      <c r="D74" s="86">
        <v>0.1</v>
      </c>
      <c r="E74" s="86">
        <v>9.8000000000000004E-2</v>
      </c>
      <c r="F74" s="94"/>
      <c r="G74" s="98">
        <v>0.1</v>
      </c>
    </row>
    <row r="75" spans="1:7">
      <c r="A75" s="93" t="s">
        <v>261</v>
      </c>
      <c r="B75" s="85" t="s">
        <v>2443</v>
      </c>
      <c r="C75" s="86">
        <v>0.1</v>
      </c>
      <c r="D75" s="86">
        <v>9.9000000000000005E-2</v>
      </c>
      <c r="E75" s="86">
        <v>9.8000000000000004E-2</v>
      </c>
      <c r="F75" s="94"/>
      <c r="G75" s="98">
        <v>0.1</v>
      </c>
    </row>
    <row r="76" spans="1:7">
      <c r="A76" s="93" t="s">
        <v>261</v>
      </c>
      <c r="B76" s="85" t="s">
        <v>2451</v>
      </c>
      <c r="C76" s="86">
        <v>9.9000000000000005E-2</v>
      </c>
      <c r="D76" s="86">
        <v>0.1</v>
      </c>
      <c r="E76" s="86">
        <v>9.7000000000000003E-2</v>
      </c>
      <c r="F76" s="94"/>
      <c r="G76" s="98">
        <v>0.1</v>
      </c>
    </row>
    <row r="77" spans="1:7">
      <c r="A77" s="93" t="s">
        <v>261</v>
      </c>
      <c r="B77" s="85" t="s">
        <v>2459</v>
      </c>
      <c r="C77" s="86">
        <v>0.1</v>
      </c>
      <c r="D77" s="86">
        <v>0.1</v>
      </c>
      <c r="E77" s="86">
        <v>9.6000000000000002E-2</v>
      </c>
      <c r="F77" s="94"/>
      <c r="G77" s="98">
        <v>0.1</v>
      </c>
    </row>
    <row r="78" spans="1:7">
      <c r="A78" s="93" t="s">
        <v>261</v>
      </c>
      <c r="B78" s="85" t="s">
        <v>2467</v>
      </c>
      <c r="C78" s="86">
        <v>0.1</v>
      </c>
      <c r="D78" s="86">
        <v>8.5000000000000006E-2</v>
      </c>
      <c r="E78" s="86">
        <v>9.6000000000000002E-2</v>
      </c>
      <c r="F78" s="94"/>
      <c r="G78" s="98">
        <v>9.6000000000000002E-2</v>
      </c>
    </row>
    <row r="79" spans="1:7">
      <c r="A79" s="93" t="s">
        <v>261</v>
      </c>
      <c r="B79" s="85" t="s">
        <v>2474</v>
      </c>
      <c r="C79" s="86">
        <v>0.05</v>
      </c>
      <c r="D79" s="86">
        <v>9.6000000000000002E-2</v>
      </c>
      <c r="E79" s="86">
        <v>9.5000000000000001E-2</v>
      </c>
      <c r="F79" s="94"/>
      <c r="G79" s="98">
        <v>9.8000000000000004E-2</v>
      </c>
    </row>
    <row r="80" spans="1:7">
      <c r="A80" s="93" t="s">
        <v>261</v>
      </c>
      <c r="B80" s="85" t="s">
        <v>2481</v>
      </c>
      <c r="C80" s="86">
        <v>8.5999999999999993E-2</v>
      </c>
      <c r="D80" s="103"/>
      <c r="E80" s="86">
        <v>0.1</v>
      </c>
      <c r="F80" s="94"/>
      <c r="G80" s="100"/>
    </row>
    <row r="81" spans="1:7">
      <c r="A81" s="93" t="s">
        <v>261</v>
      </c>
      <c r="B81" s="85" t="s">
        <v>2488</v>
      </c>
      <c r="C81" s="86">
        <v>9.6000000000000002E-2</v>
      </c>
      <c r="D81" s="94"/>
      <c r="E81" s="86">
        <v>9.8000000000000004E-2</v>
      </c>
      <c r="F81" s="94"/>
      <c r="G81" s="100"/>
    </row>
    <row r="82" spans="1:7">
      <c r="A82" s="93" t="s">
        <v>261</v>
      </c>
      <c r="B82" s="85" t="s">
        <v>2495</v>
      </c>
      <c r="C82" s="103"/>
      <c r="D82" s="94"/>
      <c r="E82" s="86">
        <v>7.6999999999999999E-2</v>
      </c>
      <c r="F82" s="94"/>
      <c r="G82" s="100"/>
    </row>
    <row r="83" spans="1:7">
      <c r="A83" s="93" t="s">
        <v>261</v>
      </c>
      <c r="B83" s="85" t="s">
        <v>2502</v>
      </c>
      <c r="C83" s="94"/>
      <c r="D83" s="94"/>
      <c r="E83" s="94"/>
      <c r="F83" s="86">
        <v>0.1</v>
      </c>
      <c r="G83" s="104"/>
    </row>
    <row r="84" spans="1:7">
      <c r="A84" s="93" t="s">
        <v>261</v>
      </c>
      <c r="B84" s="85" t="s">
        <v>2509</v>
      </c>
      <c r="C84" s="94"/>
      <c r="D84" s="94"/>
      <c r="E84" s="94"/>
      <c r="F84" s="86">
        <v>0.1</v>
      </c>
      <c r="G84" s="104"/>
    </row>
    <row r="85" spans="1:7">
      <c r="A85" s="93" t="s">
        <v>261</v>
      </c>
      <c r="B85" s="85" t="s">
        <v>2516</v>
      </c>
      <c r="C85" s="94"/>
      <c r="D85" s="94"/>
      <c r="E85" s="94"/>
      <c r="F85" s="86">
        <v>0.1</v>
      </c>
      <c r="G85" s="104"/>
    </row>
    <row r="86" spans="1:7">
      <c r="A86" s="95" t="s">
        <v>261</v>
      </c>
      <c r="B86" s="88" t="s">
        <v>2523</v>
      </c>
      <c r="C86" s="89">
        <v>9.8000000000000004E-2</v>
      </c>
      <c r="D86" s="89">
        <v>9.8000000000000004E-2</v>
      </c>
      <c r="E86" s="89">
        <v>9.6000000000000002E-2</v>
      </c>
      <c r="F86" s="101"/>
      <c r="G86" s="99">
        <v>0.1</v>
      </c>
    </row>
    <row r="87" spans="1:7">
      <c r="A87" s="92" t="s">
        <v>269</v>
      </c>
      <c r="B87" s="82" t="s">
        <v>2232</v>
      </c>
      <c r="C87" s="83">
        <v>0.1</v>
      </c>
      <c r="D87" s="83">
        <v>0.1</v>
      </c>
      <c r="E87" s="83">
        <v>9.8000000000000004E-2</v>
      </c>
      <c r="F87" s="83">
        <v>0.1</v>
      </c>
      <c r="G87" s="97">
        <v>0.1</v>
      </c>
    </row>
    <row r="88" spans="1:7">
      <c r="A88" s="93" t="s">
        <v>269</v>
      </c>
      <c r="B88" s="85" t="s">
        <v>2245</v>
      </c>
      <c r="C88" s="86">
        <v>9.0999999999999998E-2</v>
      </c>
      <c r="D88" s="86">
        <v>9.1999999999999998E-2</v>
      </c>
      <c r="E88" s="86">
        <v>0.1</v>
      </c>
      <c r="F88" s="86">
        <v>0.1</v>
      </c>
      <c r="G88" s="98">
        <v>9.6000000000000002E-2</v>
      </c>
    </row>
    <row r="89" spans="1:7">
      <c r="A89" s="93" t="s">
        <v>269</v>
      </c>
      <c r="B89" s="85" t="s">
        <v>2259</v>
      </c>
      <c r="C89" s="86">
        <v>0.1</v>
      </c>
      <c r="D89" s="86">
        <v>0.1</v>
      </c>
      <c r="E89" s="86">
        <v>6.7000000000000004E-2</v>
      </c>
      <c r="F89" s="86">
        <v>9.2999999999999999E-2</v>
      </c>
      <c r="G89" s="98">
        <v>0.1</v>
      </c>
    </row>
    <row r="90" spans="1:7">
      <c r="A90" s="93" t="s">
        <v>269</v>
      </c>
      <c r="B90" s="85" t="s">
        <v>2271</v>
      </c>
      <c r="C90" s="86">
        <v>9.6000000000000002E-2</v>
      </c>
      <c r="D90" s="86">
        <v>9.6000000000000002E-2</v>
      </c>
      <c r="E90" s="86">
        <v>0.1</v>
      </c>
      <c r="F90" s="86">
        <v>0.1</v>
      </c>
      <c r="G90" s="98">
        <v>9.8000000000000004E-2</v>
      </c>
    </row>
    <row r="91" spans="1:7">
      <c r="A91" s="93" t="s">
        <v>269</v>
      </c>
      <c r="B91" s="85" t="s">
        <v>2283</v>
      </c>
      <c r="C91" s="86">
        <v>7.6999999999999999E-2</v>
      </c>
      <c r="D91" s="86">
        <v>7.6999999999999999E-2</v>
      </c>
      <c r="E91" s="86">
        <v>9.6000000000000002E-2</v>
      </c>
      <c r="F91" s="86">
        <v>0.1</v>
      </c>
      <c r="G91" s="98">
        <v>7.6999999999999999E-2</v>
      </c>
    </row>
    <row r="92" spans="1:7">
      <c r="A92" s="93" t="s">
        <v>269</v>
      </c>
      <c r="B92" s="85" t="s">
        <v>2294</v>
      </c>
      <c r="C92" s="86">
        <v>0.1</v>
      </c>
      <c r="D92" s="86">
        <v>0.1</v>
      </c>
      <c r="E92" s="86">
        <v>9.1999999999999998E-2</v>
      </c>
      <c r="F92" s="86">
        <v>0.1</v>
      </c>
      <c r="G92" s="98">
        <v>0.1</v>
      </c>
    </row>
    <row r="93" spans="1:7">
      <c r="A93" s="93" t="s">
        <v>269</v>
      </c>
      <c r="B93" s="85" t="s">
        <v>2305</v>
      </c>
      <c r="C93" s="86">
        <v>9.8000000000000004E-2</v>
      </c>
      <c r="D93" s="86">
        <v>9.8000000000000004E-2</v>
      </c>
      <c r="E93" s="86">
        <v>9.6000000000000002E-2</v>
      </c>
      <c r="F93" s="86">
        <v>0.1</v>
      </c>
      <c r="G93" s="98">
        <v>9.9000000000000005E-2</v>
      </c>
    </row>
    <row r="94" spans="1:7">
      <c r="A94" s="93" t="s">
        <v>269</v>
      </c>
      <c r="B94" s="85" t="s">
        <v>2316</v>
      </c>
      <c r="C94" s="86">
        <v>8.7999999999999995E-2</v>
      </c>
      <c r="D94" s="86">
        <v>8.7999999999999995E-2</v>
      </c>
      <c r="E94" s="86">
        <v>9.6000000000000002E-2</v>
      </c>
      <c r="F94" s="86">
        <v>0.1</v>
      </c>
      <c r="G94" s="98">
        <v>8.7999999999999995E-2</v>
      </c>
    </row>
    <row r="95" spans="1:7">
      <c r="A95" s="93" t="s">
        <v>269</v>
      </c>
      <c r="B95" s="85" t="s">
        <v>2326</v>
      </c>
      <c r="C95" s="86">
        <v>9.6000000000000002E-2</v>
      </c>
      <c r="D95" s="86">
        <v>9.6000000000000002E-2</v>
      </c>
      <c r="E95" s="86">
        <v>0.1</v>
      </c>
      <c r="F95" s="86">
        <v>0.1</v>
      </c>
      <c r="G95" s="98">
        <v>9.8000000000000004E-2</v>
      </c>
    </row>
    <row r="96" spans="1:7">
      <c r="A96" s="93" t="s">
        <v>269</v>
      </c>
      <c r="B96" s="85" t="s">
        <v>2336</v>
      </c>
      <c r="C96" s="86">
        <v>9.7000000000000003E-2</v>
      </c>
      <c r="D96" s="86">
        <v>9.7000000000000003E-2</v>
      </c>
      <c r="E96" s="86">
        <v>0.1</v>
      </c>
      <c r="F96" s="86">
        <v>0.1</v>
      </c>
      <c r="G96" s="98">
        <v>9.8000000000000004E-2</v>
      </c>
    </row>
    <row r="97" spans="1:7">
      <c r="A97" s="93" t="s">
        <v>269</v>
      </c>
      <c r="B97" s="85" t="s">
        <v>2346</v>
      </c>
      <c r="C97" s="86">
        <v>9.6000000000000002E-2</v>
      </c>
      <c r="D97" s="86">
        <v>9.6000000000000002E-2</v>
      </c>
      <c r="E97" s="86">
        <v>9.9000000000000005E-2</v>
      </c>
      <c r="F97" s="86">
        <v>0.1</v>
      </c>
      <c r="G97" s="98">
        <v>9.8000000000000004E-2</v>
      </c>
    </row>
    <row r="98" spans="1:7">
      <c r="A98" s="93" t="s">
        <v>269</v>
      </c>
      <c r="B98" s="85" t="s">
        <v>2356</v>
      </c>
      <c r="C98" s="86">
        <v>9.8000000000000004E-2</v>
      </c>
      <c r="D98" s="86">
        <v>9.8000000000000004E-2</v>
      </c>
      <c r="E98" s="86">
        <v>0.1</v>
      </c>
      <c r="F98" s="86">
        <v>0.1</v>
      </c>
      <c r="G98" s="98">
        <v>9.9000000000000005E-2</v>
      </c>
    </row>
    <row r="99" spans="1:7">
      <c r="A99" s="93" t="s">
        <v>269</v>
      </c>
      <c r="B99" s="85" t="s">
        <v>2366</v>
      </c>
      <c r="C99" s="86">
        <v>9.6000000000000002E-2</v>
      </c>
      <c r="D99" s="86">
        <v>9.6000000000000002E-2</v>
      </c>
      <c r="E99" s="86">
        <v>0.1</v>
      </c>
      <c r="F99" s="86">
        <v>0.1</v>
      </c>
      <c r="G99" s="98">
        <v>9.7000000000000003E-2</v>
      </c>
    </row>
    <row r="100" spans="1:7">
      <c r="A100" s="93" t="s">
        <v>269</v>
      </c>
      <c r="B100" s="85" t="s">
        <v>2376</v>
      </c>
      <c r="C100" s="86">
        <v>0.1</v>
      </c>
      <c r="D100" s="86">
        <v>0.1</v>
      </c>
      <c r="E100" s="86">
        <v>9.7000000000000003E-2</v>
      </c>
      <c r="F100" s="86">
        <v>9.8000000000000004E-2</v>
      </c>
      <c r="G100" s="98">
        <v>0.1</v>
      </c>
    </row>
    <row r="101" spans="1:7">
      <c r="A101" s="93" t="s">
        <v>269</v>
      </c>
      <c r="B101" s="85" t="s">
        <v>2386</v>
      </c>
      <c r="C101" s="86">
        <v>0.1</v>
      </c>
      <c r="D101" s="86">
        <v>0.1</v>
      </c>
      <c r="E101" s="86">
        <v>9.5000000000000001E-2</v>
      </c>
      <c r="F101" s="86">
        <v>0.1</v>
      </c>
      <c r="G101" s="98">
        <v>0.1</v>
      </c>
    </row>
    <row r="102" spans="1:7">
      <c r="A102" s="93" t="s">
        <v>269</v>
      </c>
      <c r="B102" s="85" t="s">
        <v>2396</v>
      </c>
      <c r="C102" s="86">
        <v>0.1</v>
      </c>
      <c r="D102" s="86">
        <v>0.1</v>
      </c>
      <c r="E102" s="86">
        <v>9.9000000000000005E-2</v>
      </c>
      <c r="F102" s="86">
        <v>9.7000000000000003E-2</v>
      </c>
      <c r="G102" s="98">
        <v>0.1</v>
      </c>
    </row>
    <row r="103" spans="1:7">
      <c r="A103" s="93" t="s">
        <v>269</v>
      </c>
      <c r="B103" s="85" t="s">
        <v>2406</v>
      </c>
      <c r="C103" s="86">
        <v>0.1</v>
      </c>
      <c r="D103" s="86">
        <v>0.1</v>
      </c>
      <c r="E103" s="86">
        <v>9.8000000000000004E-2</v>
      </c>
      <c r="F103" s="86">
        <v>0.1</v>
      </c>
      <c r="G103" s="98">
        <v>0.1</v>
      </c>
    </row>
    <row r="104" spans="1:7">
      <c r="A104" s="93" t="s">
        <v>269</v>
      </c>
      <c r="B104" s="85" t="s">
        <v>2416</v>
      </c>
      <c r="C104" s="86">
        <v>0.1</v>
      </c>
      <c r="D104" s="86">
        <v>0.1</v>
      </c>
      <c r="E104" s="86">
        <v>9.8000000000000004E-2</v>
      </c>
      <c r="F104" s="86">
        <v>0.1</v>
      </c>
      <c r="G104" s="98">
        <v>0.1</v>
      </c>
    </row>
    <row r="105" spans="1:7">
      <c r="A105" s="93" t="s">
        <v>269</v>
      </c>
      <c r="B105" s="85" t="s">
        <v>2426</v>
      </c>
      <c r="C105" s="86">
        <v>9.8000000000000004E-2</v>
      </c>
      <c r="D105" s="86">
        <v>9.8000000000000004E-2</v>
      </c>
      <c r="E105" s="86">
        <v>9.8000000000000004E-2</v>
      </c>
      <c r="F105" s="86">
        <v>0.1</v>
      </c>
      <c r="G105" s="98">
        <v>9.9000000000000005E-2</v>
      </c>
    </row>
    <row r="106" spans="1:7">
      <c r="A106" s="93" t="s">
        <v>269</v>
      </c>
      <c r="B106" s="85" t="s">
        <v>2435</v>
      </c>
      <c r="C106" s="86">
        <v>9.7000000000000003E-2</v>
      </c>
      <c r="D106" s="86">
        <v>9.7000000000000003E-2</v>
      </c>
      <c r="E106" s="86">
        <v>9.7000000000000003E-2</v>
      </c>
      <c r="F106" s="86">
        <v>0.1</v>
      </c>
      <c r="G106" s="98">
        <v>9.9000000000000005E-2</v>
      </c>
    </row>
    <row r="107" spans="1:7">
      <c r="A107" s="93" t="s">
        <v>269</v>
      </c>
      <c r="B107" s="85" t="s">
        <v>2444</v>
      </c>
      <c r="C107" s="86">
        <v>0.1</v>
      </c>
      <c r="D107" s="86">
        <v>0.1</v>
      </c>
      <c r="E107" s="86">
        <v>8.5999999999999993E-2</v>
      </c>
      <c r="F107" s="86">
        <v>0.09</v>
      </c>
      <c r="G107" s="98">
        <v>0.1</v>
      </c>
    </row>
    <row r="108" spans="1:7">
      <c r="A108" s="93" t="s">
        <v>269</v>
      </c>
      <c r="B108" s="85" t="s">
        <v>2452</v>
      </c>
      <c r="C108" s="86">
        <v>0.1</v>
      </c>
      <c r="D108" s="86">
        <v>0.1</v>
      </c>
      <c r="E108" s="86">
        <v>9.6000000000000002E-2</v>
      </c>
      <c r="F108" s="94"/>
      <c r="G108" s="98">
        <v>0.1</v>
      </c>
    </row>
    <row r="109" spans="1:7">
      <c r="A109" s="93" t="s">
        <v>269</v>
      </c>
      <c r="B109" s="85" t="s">
        <v>2460</v>
      </c>
      <c r="C109" s="86">
        <v>0.1</v>
      </c>
      <c r="D109" s="86">
        <v>0.1</v>
      </c>
      <c r="E109" s="86">
        <v>0.1</v>
      </c>
      <c r="F109" s="94"/>
      <c r="G109" s="98">
        <v>0.1</v>
      </c>
    </row>
    <row r="110" spans="1:7">
      <c r="A110" s="93" t="s">
        <v>269</v>
      </c>
      <c r="B110" s="85" t="s">
        <v>2468</v>
      </c>
      <c r="C110" s="86">
        <v>0.1</v>
      </c>
      <c r="D110" s="86">
        <v>0.1</v>
      </c>
      <c r="E110" s="86">
        <v>0.1</v>
      </c>
      <c r="F110" s="94"/>
      <c r="G110" s="98">
        <v>0.1</v>
      </c>
    </row>
    <row r="111" spans="1:7">
      <c r="A111" s="93" t="s">
        <v>269</v>
      </c>
      <c r="B111" s="85" t="s">
        <v>2475</v>
      </c>
      <c r="C111" s="86">
        <v>0.1</v>
      </c>
      <c r="D111" s="86">
        <v>0.1</v>
      </c>
      <c r="E111" s="86">
        <v>9.5000000000000001E-2</v>
      </c>
      <c r="F111" s="94"/>
      <c r="G111" s="98">
        <v>0.1</v>
      </c>
    </row>
    <row r="112" spans="1:7">
      <c r="A112" s="93" t="s">
        <v>269</v>
      </c>
      <c r="B112" s="85" t="s">
        <v>2482</v>
      </c>
      <c r="C112" s="86">
        <v>9.7000000000000003E-2</v>
      </c>
      <c r="D112" s="86">
        <v>9.7000000000000003E-2</v>
      </c>
      <c r="E112" s="86">
        <v>0.05</v>
      </c>
      <c r="F112" s="94"/>
      <c r="G112" s="98">
        <v>9.8000000000000004E-2</v>
      </c>
    </row>
    <row r="113" spans="1:7">
      <c r="A113" s="93" t="s">
        <v>269</v>
      </c>
      <c r="B113" s="85" t="s">
        <v>2489</v>
      </c>
      <c r="C113" s="86">
        <v>0.1</v>
      </c>
      <c r="D113" s="86">
        <v>0.1</v>
      </c>
      <c r="E113" s="94"/>
      <c r="F113" s="94"/>
      <c r="G113" s="98">
        <v>0.1</v>
      </c>
    </row>
    <row r="114" spans="1:7">
      <c r="A114" s="93" t="s">
        <v>269</v>
      </c>
      <c r="B114" s="85" t="s">
        <v>2496</v>
      </c>
      <c r="C114" s="86">
        <v>9.7000000000000003E-2</v>
      </c>
      <c r="D114" s="86">
        <v>9.7000000000000003E-2</v>
      </c>
      <c r="E114" s="94"/>
      <c r="F114" s="94"/>
      <c r="G114" s="98">
        <v>9.9000000000000005E-2</v>
      </c>
    </row>
    <row r="115" spans="1:7">
      <c r="A115" s="93" t="s">
        <v>269</v>
      </c>
      <c r="B115" s="85" t="s">
        <v>2503</v>
      </c>
      <c r="C115" s="86">
        <v>0.1</v>
      </c>
      <c r="D115" s="86">
        <v>0.1</v>
      </c>
      <c r="E115" s="94"/>
      <c r="F115" s="94"/>
      <c r="G115" s="98">
        <v>0.1</v>
      </c>
    </row>
    <row r="116" spans="1:7">
      <c r="A116" s="93" t="s">
        <v>269</v>
      </c>
      <c r="B116" s="85" t="s">
        <v>2510</v>
      </c>
      <c r="C116" s="86">
        <v>0.1</v>
      </c>
      <c r="D116" s="86">
        <v>0.1</v>
      </c>
      <c r="E116" s="94"/>
      <c r="F116" s="94"/>
      <c r="G116" s="98">
        <v>0.1</v>
      </c>
    </row>
    <row r="117" spans="1:7">
      <c r="A117" s="93" t="s">
        <v>269</v>
      </c>
      <c r="B117" s="85" t="s">
        <v>2517</v>
      </c>
      <c r="C117" s="86">
        <v>9.7000000000000003E-2</v>
      </c>
      <c r="D117" s="86">
        <v>9.7000000000000003E-2</v>
      </c>
      <c r="E117" s="94"/>
      <c r="F117" s="94"/>
      <c r="G117" s="98">
        <v>9.7000000000000003E-2</v>
      </c>
    </row>
    <row r="118" spans="1:7">
      <c r="A118" s="93" t="s">
        <v>269</v>
      </c>
      <c r="B118" s="85" t="s">
        <v>2524</v>
      </c>
      <c r="C118" s="86">
        <v>0.1</v>
      </c>
      <c r="D118" s="86">
        <v>0.1</v>
      </c>
      <c r="E118" s="94"/>
      <c r="F118" s="94"/>
      <c r="G118" s="98">
        <v>0.1</v>
      </c>
    </row>
    <row r="119" spans="1:7">
      <c r="A119" s="93" t="s">
        <v>269</v>
      </c>
      <c r="B119" s="85" t="s">
        <v>2529</v>
      </c>
      <c r="C119" s="86">
        <v>5.0999999999999997E-2</v>
      </c>
      <c r="D119" s="86">
        <v>5.1999999999999998E-2</v>
      </c>
      <c r="E119" s="94"/>
      <c r="F119" s="103"/>
      <c r="G119" s="98">
        <v>0.06</v>
      </c>
    </row>
    <row r="120" spans="1:7">
      <c r="A120" s="93" t="s">
        <v>269</v>
      </c>
      <c r="B120" s="85" t="s">
        <v>2534</v>
      </c>
      <c r="C120" s="94"/>
      <c r="D120" s="94"/>
      <c r="E120" s="94"/>
      <c r="F120" s="86">
        <v>0.1</v>
      </c>
      <c r="G120" s="104"/>
    </row>
    <row r="121" spans="1:7">
      <c r="A121" s="93" t="s">
        <v>269</v>
      </c>
      <c r="B121" s="85" t="s">
        <v>2539</v>
      </c>
      <c r="C121" s="94"/>
      <c r="D121" s="94"/>
      <c r="E121" s="94"/>
      <c r="F121" s="86">
        <v>0.1</v>
      </c>
      <c r="G121" s="104"/>
    </row>
    <row r="122" spans="1:7">
      <c r="A122" s="93" t="s">
        <v>269</v>
      </c>
      <c r="B122" s="85" t="s">
        <v>2544</v>
      </c>
      <c r="C122" s="86">
        <v>0.1</v>
      </c>
      <c r="D122" s="86">
        <v>0.1</v>
      </c>
      <c r="E122" s="86">
        <v>9.8000000000000004E-2</v>
      </c>
      <c r="F122" s="86">
        <v>0.1</v>
      </c>
      <c r="G122" s="98">
        <v>0.1</v>
      </c>
    </row>
    <row r="123" spans="1:7">
      <c r="A123" s="93" t="s">
        <v>269</v>
      </c>
      <c r="B123" s="85" t="s">
        <v>2549</v>
      </c>
      <c r="C123" s="86">
        <v>0.1</v>
      </c>
      <c r="D123" s="86">
        <v>0.1</v>
      </c>
      <c r="E123" s="86">
        <v>9.8000000000000004E-2</v>
      </c>
      <c r="F123" s="86">
        <v>0.1</v>
      </c>
      <c r="G123" s="98">
        <v>0.1</v>
      </c>
    </row>
    <row r="124" spans="1:7">
      <c r="A124" s="93" t="s">
        <v>269</v>
      </c>
      <c r="B124" s="85" t="s">
        <v>2554</v>
      </c>
      <c r="C124" s="86">
        <v>0.1</v>
      </c>
      <c r="D124" s="86">
        <v>0.1</v>
      </c>
      <c r="E124" s="86">
        <v>9.8000000000000004E-2</v>
      </c>
      <c r="F124" s="103"/>
      <c r="G124" s="98">
        <v>0.1</v>
      </c>
    </row>
    <row r="125" spans="1:7">
      <c r="A125" s="93" t="s">
        <v>269</v>
      </c>
      <c r="B125" s="85" t="s">
        <v>2559</v>
      </c>
      <c r="C125" s="86">
        <v>9.8000000000000004E-2</v>
      </c>
      <c r="D125" s="86">
        <v>9.8000000000000004E-2</v>
      </c>
      <c r="E125" s="86">
        <v>9.6000000000000002E-2</v>
      </c>
      <c r="F125" s="103"/>
      <c r="G125" s="98">
        <v>0.1</v>
      </c>
    </row>
    <row r="126" spans="1:7">
      <c r="A126" s="95" t="s">
        <v>269</v>
      </c>
      <c r="B126" s="88" t="s">
        <v>2564</v>
      </c>
      <c r="C126" s="89">
        <v>0.1</v>
      </c>
      <c r="D126" s="89">
        <v>0.1</v>
      </c>
      <c r="E126" s="89">
        <v>9.8000000000000004E-2</v>
      </c>
      <c r="F126" s="89">
        <v>0.1</v>
      </c>
      <c r="G126" s="99">
        <v>0.1</v>
      </c>
    </row>
    <row r="127" spans="1:7">
      <c r="A127" s="92" t="s">
        <v>275</v>
      </c>
      <c r="B127" s="82" t="s">
        <v>2233</v>
      </c>
      <c r="C127" s="83">
        <v>0.121</v>
      </c>
      <c r="D127" s="83">
        <v>0.121</v>
      </c>
      <c r="E127" s="83">
        <v>0.107</v>
      </c>
      <c r="F127" s="83">
        <v>0.13</v>
      </c>
      <c r="G127" s="97">
        <v>0.122</v>
      </c>
    </row>
    <row r="128" spans="1:7">
      <c r="A128" s="93" t="s">
        <v>275</v>
      </c>
      <c r="B128" s="85" t="s">
        <v>2246</v>
      </c>
      <c r="C128" s="86">
        <v>0.11600000000000001</v>
      </c>
      <c r="D128" s="86">
        <v>0.11700000000000001</v>
      </c>
      <c r="E128" s="86">
        <v>0.104</v>
      </c>
      <c r="F128" s="86">
        <v>0.13</v>
      </c>
      <c r="G128" s="98">
        <v>0.11700000000000001</v>
      </c>
    </row>
    <row r="129" spans="1:7">
      <c r="A129" s="93" t="s">
        <v>275</v>
      </c>
      <c r="B129" s="85" t="s">
        <v>2260</v>
      </c>
      <c r="C129" s="86">
        <v>0.107</v>
      </c>
      <c r="D129" s="86">
        <v>0.108</v>
      </c>
      <c r="E129" s="86">
        <v>0.1</v>
      </c>
      <c r="F129" s="86">
        <v>0.13</v>
      </c>
      <c r="G129" s="98">
        <v>0.11700000000000001</v>
      </c>
    </row>
    <row r="130" spans="1:7">
      <c r="A130" s="93" t="s">
        <v>275</v>
      </c>
      <c r="B130" s="85" t="s">
        <v>2272</v>
      </c>
      <c r="C130" s="86">
        <v>0.13</v>
      </c>
      <c r="D130" s="86">
        <v>0.13</v>
      </c>
      <c r="E130" s="86">
        <v>0.126</v>
      </c>
      <c r="F130" s="86">
        <v>0.13</v>
      </c>
      <c r="G130" s="98">
        <v>0.13</v>
      </c>
    </row>
    <row r="131" spans="1:7">
      <c r="A131" s="93" t="s">
        <v>275</v>
      </c>
      <c r="B131" s="85" t="s">
        <v>2284</v>
      </c>
      <c r="C131" s="86">
        <v>0.13</v>
      </c>
      <c r="D131" s="86">
        <v>0.13</v>
      </c>
      <c r="E131" s="86">
        <v>0.13</v>
      </c>
      <c r="F131" s="86">
        <v>0.13</v>
      </c>
      <c r="G131" s="98">
        <v>0.13</v>
      </c>
    </row>
    <row r="132" spans="1:7">
      <c r="A132" s="93" t="s">
        <v>275</v>
      </c>
      <c r="B132" s="85" t="s">
        <v>2295</v>
      </c>
      <c r="C132" s="86">
        <v>0.13</v>
      </c>
      <c r="D132" s="86">
        <v>0.13</v>
      </c>
      <c r="E132" s="86">
        <v>0.126</v>
      </c>
      <c r="F132" s="86">
        <v>0.13</v>
      </c>
      <c r="G132" s="98">
        <v>0.13</v>
      </c>
    </row>
    <row r="133" spans="1:7">
      <c r="A133" s="93" t="s">
        <v>275</v>
      </c>
      <c r="B133" s="85" t="s">
        <v>2306</v>
      </c>
      <c r="C133" s="86">
        <v>0.111</v>
      </c>
      <c r="D133" s="86">
        <v>0.111</v>
      </c>
      <c r="E133" s="86">
        <v>0.10199999999999999</v>
      </c>
      <c r="F133" s="86">
        <v>0.13</v>
      </c>
      <c r="G133" s="98">
        <v>0.121</v>
      </c>
    </row>
    <row r="134" spans="1:7">
      <c r="A134" s="93" t="s">
        <v>275</v>
      </c>
      <c r="B134" s="85" t="s">
        <v>2317</v>
      </c>
      <c r="C134" s="86">
        <v>0.121</v>
      </c>
      <c r="D134" s="86">
        <v>0.121</v>
      </c>
      <c r="E134" s="86">
        <v>0.1</v>
      </c>
      <c r="F134" s="86">
        <v>0.13</v>
      </c>
      <c r="G134" s="98">
        <v>0.123</v>
      </c>
    </row>
    <row r="135" spans="1:7">
      <c r="A135" s="93" t="s">
        <v>275</v>
      </c>
      <c r="B135" s="85" t="s">
        <v>2327</v>
      </c>
      <c r="C135" s="86">
        <v>0.105</v>
      </c>
      <c r="D135" s="86">
        <v>0.106</v>
      </c>
      <c r="E135" s="86">
        <v>0.1</v>
      </c>
      <c r="F135" s="86">
        <v>0.13</v>
      </c>
      <c r="G135" s="98">
        <v>0.115</v>
      </c>
    </row>
    <row r="136" spans="1:7">
      <c r="A136" s="93" t="s">
        <v>275</v>
      </c>
      <c r="B136" s="85" t="s">
        <v>2337</v>
      </c>
      <c r="C136" s="86">
        <v>0.127</v>
      </c>
      <c r="D136" s="86">
        <v>0.127</v>
      </c>
      <c r="E136" s="86">
        <v>0.121</v>
      </c>
      <c r="F136" s="86">
        <v>0.123</v>
      </c>
      <c r="G136" s="98">
        <v>0.129</v>
      </c>
    </row>
    <row r="137" spans="1:7">
      <c r="A137" s="93" t="s">
        <v>275</v>
      </c>
      <c r="B137" s="85" t="s">
        <v>2347</v>
      </c>
      <c r="C137" s="86">
        <v>0.13</v>
      </c>
      <c r="D137" s="86">
        <v>0.13</v>
      </c>
      <c r="E137" s="86">
        <v>0.129</v>
      </c>
      <c r="F137" s="86">
        <v>0.13</v>
      </c>
      <c r="G137" s="98">
        <v>0.13</v>
      </c>
    </row>
    <row r="138" spans="1:7">
      <c r="A138" s="93" t="s">
        <v>275</v>
      </c>
      <c r="B138" s="85" t="s">
        <v>2357</v>
      </c>
      <c r="C138" s="86">
        <v>0.13</v>
      </c>
      <c r="D138" s="86">
        <v>0.13</v>
      </c>
      <c r="E138" s="86">
        <v>0.125</v>
      </c>
      <c r="F138" s="86">
        <v>0.13</v>
      </c>
      <c r="G138" s="98">
        <v>0.13</v>
      </c>
    </row>
    <row r="139" spans="1:7">
      <c r="A139" s="93" t="s">
        <v>275</v>
      </c>
      <c r="B139" s="85" t="s">
        <v>2367</v>
      </c>
      <c r="C139" s="86">
        <v>0.13</v>
      </c>
      <c r="D139" s="86">
        <v>0.13</v>
      </c>
      <c r="E139" s="86">
        <v>0.126</v>
      </c>
      <c r="F139" s="86">
        <v>0.13</v>
      </c>
      <c r="G139" s="98">
        <v>0.13</v>
      </c>
    </row>
    <row r="140" spans="1:7">
      <c r="A140" s="93" t="s">
        <v>275</v>
      </c>
      <c r="B140" s="85" t="s">
        <v>2377</v>
      </c>
      <c r="C140" s="86">
        <v>0.1</v>
      </c>
      <c r="D140" s="86">
        <v>0.1</v>
      </c>
      <c r="E140" s="86">
        <v>0.1</v>
      </c>
      <c r="F140" s="86">
        <v>0.123</v>
      </c>
      <c r="G140" s="98">
        <v>0.107</v>
      </c>
    </row>
    <row r="141" spans="1:7">
      <c r="A141" s="93" t="s">
        <v>275</v>
      </c>
      <c r="B141" s="85" t="s">
        <v>2387</v>
      </c>
      <c r="C141" s="86">
        <v>0.127</v>
      </c>
      <c r="D141" s="86">
        <v>0.127</v>
      </c>
      <c r="E141" s="86">
        <v>0.122</v>
      </c>
      <c r="F141" s="86">
        <v>0.1</v>
      </c>
      <c r="G141" s="98">
        <v>0.129</v>
      </c>
    </row>
    <row r="142" spans="1:7">
      <c r="A142" s="93" t="s">
        <v>275</v>
      </c>
      <c r="B142" s="85" t="s">
        <v>2397</v>
      </c>
      <c r="C142" s="86">
        <v>0.121</v>
      </c>
      <c r="D142" s="86">
        <v>0.122</v>
      </c>
      <c r="E142" s="86">
        <v>0.1</v>
      </c>
      <c r="F142" s="86">
        <v>0.123</v>
      </c>
      <c r="G142" s="98">
        <v>0.123</v>
      </c>
    </row>
    <row r="143" spans="1:7">
      <c r="A143" s="93" t="s">
        <v>275</v>
      </c>
      <c r="B143" s="85" t="s">
        <v>2407</v>
      </c>
      <c r="C143" s="86">
        <v>0.1</v>
      </c>
      <c r="D143" s="86">
        <v>0.1</v>
      </c>
      <c r="E143" s="86">
        <v>0.1</v>
      </c>
      <c r="F143" s="86">
        <v>0.13</v>
      </c>
      <c r="G143" s="98">
        <v>0.1</v>
      </c>
    </row>
    <row r="144" spans="1:7">
      <c r="A144" s="93" t="s">
        <v>275</v>
      </c>
      <c r="B144" s="85" t="s">
        <v>2417</v>
      </c>
      <c r="C144" s="86">
        <v>0.106</v>
      </c>
      <c r="D144" s="86">
        <v>0.105</v>
      </c>
      <c r="E144" s="86">
        <v>0.1</v>
      </c>
      <c r="F144" s="86">
        <v>0.13</v>
      </c>
      <c r="G144" s="98">
        <v>0.11799999999999999</v>
      </c>
    </row>
    <row r="145" spans="1:7">
      <c r="A145" s="93" t="s">
        <v>275</v>
      </c>
      <c r="B145" s="85" t="s">
        <v>2427</v>
      </c>
      <c r="C145" s="86">
        <v>0.123</v>
      </c>
      <c r="D145" s="86">
        <v>0.123</v>
      </c>
      <c r="E145" s="86">
        <v>0.11700000000000001</v>
      </c>
      <c r="F145" s="86">
        <v>0.13</v>
      </c>
      <c r="G145" s="98">
        <v>0.126</v>
      </c>
    </row>
    <row r="146" spans="1:7">
      <c r="A146" s="93" t="s">
        <v>275</v>
      </c>
      <c r="B146" s="85" t="s">
        <v>2436</v>
      </c>
      <c r="C146" s="86">
        <v>0.127</v>
      </c>
      <c r="D146" s="86">
        <v>0.127</v>
      </c>
      <c r="E146" s="86">
        <v>0.12</v>
      </c>
      <c r="F146" s="94"/>
      <c r="G146" s="98">
        <v>0.129</v>
      </c>
    </row>
    <row r="147" spans="1:7">
      <c r="A147" s="93" t="s">
        <v>275</v>
      </c>
      <c r="B147" s="85" t="s">
        <v>2445</v>
      </c>
      <c r="C147" s="86">
        <v>0.13</v>
      </c>
      <c r="D147" s="86">
        <v>0.13</v>
      </c>
      <c r="E147" s="86">
        <v>0.126</v>
      </c>
      <c r="F147" s="94"/>
      <c r="G147" s="98">
        <v>0.13</v>
      </c>
    </row>
    <row r="148" spans="1:7">
      <c r="A148" s="93" t="s">
        <v>275</v>
      </c>
      <c r="B148" s="85" t="s">
        <v>2453</v>
      </c>
      <c r="C148" s="86">
        <v>0.13</v>
      </c>
      <c r="D148" s="86">
        <v>0.13</v>
      </c>
      <c r="E148" s="86">
        <v>0.13</v>
      </c>
      <c r="F148" s="94"/>
      <c r="G148" s="98">
        <v>0.13</v>
      </c>
    </row>
    <row r="149" spans="1:7">
      <c r="A149" s="93" t="s">
        <v>275</v>
      </c>
      <c r="B149" s="85" t="s">
        <v>2461</v>
      </c>
      <c r="C149" s="86">
        <v>0.13</v>
      </c>
      <c r="D149" s="86">
        <v>0.13</v>
      </c>
      <c r="E149" s="86">
        <v>0.13</v>
      </c>
      <c r="F149" s="86">
        <v>0.13</v>
      </c>
      <c r="G149" s="98">
        <v>0.13</v>
      </c>
    </row>
    <row r="150" spans="1:7">
      <c r="A150" s="93" t="s">
        <v>275</v>
      </c>
      <c r="B150" s="85" t="s">
        <v>2469</v>
      </c>
      <c r="C150" s="86">
        <v>0.13</v>
      </c>
      <c r="D150" s="86">
        <v>0.13</v>
      </c>
      <c r="E150" s="86">
        <v>0.127</v>
      </c>
      <c r="F150" s="86">
        <v>0.13</v>
      </c>
      <c r="G150" s="98">
        <v>0.13</v>
      </c>
    </row>
    <row r="151" spans="1:7">
      <c r="A151" s="93" t="s">
        <v>275</v>
      </c>
      <c r="B151" s="85" t="s">
        <v>2476</v>
      </c>
      <c r="C151" s="86">
        <v>0.13</v>
      </c>
      <c r="D151" s="86">
        <v>0.13</v>
      </c>
      <c r="E151" s="86">
        <v>0.13</v>
      </c>
      <c r="F151" s="86">
        <v>0.13</v>
      </c>
      <c r="G151" s="98">
        <v>0.13</v>
      </c>
    </row>
    <row r="152" spans="1:7">
      <c r="A152" s="93" t="s">
        <v>275</v>
      </c>
      <c r="B152" s="85" t="s">
        <v>2483</v>
      </c>
      <c r="C152" s="86">
        <v>0.13</v>
      </c>
      <c r="D152" s="86">
        <v>0.13</v>
      </c>
      <c r="E152" s="86">
        <v>0.13</v>
      </c>
      <c r="F152" s="86">
        <v>0.13</v>
      </c>
      <c r="G152" s="98">
        <v>0.13</v>
      </c>
    </row>
    <row r="153" spans="1:7">
      <c r="A153" s="93" t="s">
        <v>275</v>
      </c>
      <c r="B153" s="85" t="s">
        <v>2490</v>
      </c>
      <c r="C153" s="86">
        <v>0.13</v>
      </c>
      <c r="D153" s="86">
        <v>0.13</v>
      </c>
      <c r="E153" s="86">
        <v>0.13</v>
      </c>
      <c r="F153" s="86">
        <v>0.13</v>
      </c>
      <c r="G153" s="98">
        <v>0.13</v>
      </c>
    </row>
    <row r="154" spans="1:7">
      <c r="A154" s="93" t="s">
        <v>275</v>
      </c>
      <c r="B154" s="85" t="s">
        <v>2497</v>
      </c>
      <c r="C154" s="86">
        <v>0.121</v>
      </c>
      <c r="D154" s="86">
        <v>0.121</v>
      </c>
      <c r="E154" s="86">
        <v>0.105</v>
      </c>
      <c r="F154" s="86">
        <v>0.121</v>
      </c>
      <c r="G154" s="98">
        <v>0.123</v>
      </c>
    </row>
    <row r="155" spans="1:7">
      <c r="A155" s="93" t="s">
        <v>275</v>
      </c>
      <c r="B155" s="85" t="s">
        <v>2504</v>
      </c>
      <c r="C155" s="86">
        <v>0.1</v>
      </c>
      <c r="D155" s="86">
        <v>0.1</v>
      </c>
      <c r="E155" s="86">
        <v>0.1</v>
      </c>
      <c r="F155" s="86">
        <v>0.1</v>
      </c>
      <c r="G155" s="98">
        <v>0.1</v>
      </c>
    </row>
    <row r="156" spans="1:7">
      <c r="A156" s="93" t="s">
        <v>275</v>
      </c>
      <c r="B156" s="85" t="s">
        <v>2511</v>
      </c>
      <c r="C156" s="86">
        <v>0.13</v>
      </c>
      <c r="D156" s="86">
        <v>0.13</v>
      </c>
      <c r="E156" s="86">
        <v>0.13</v>
      </c>
      <c r="F156" s="86">
        <v>0.13</v>
      </c>
      <c r="G156" s="98">
        <v>0.13</v>
      </c>
    </row>
    <row r="157" spans="1:7">
      <c r="A157" s="93" t="s">
        <v>275</v>
      </c>
      <c r="B157" s="85" t="s">
        <v>2518</v>
      </c>
      <c r="C157" s="86">
        <v>0.13</v>
      </c>
      <c r="D157" s="86">
        <v>0.13</v>
      </c>
      <c r="E157" s="86">
        <v>0.125</v>
      </c>
      <c r="F157" s="86">
        <v>0.13</v>
      </c>
      <c r="G157" s="98">
        <v>0.13</v>
      </c>
    </row>
    <row r="158" spans="1:7">
      <c r="A158" s="93" t="s">
        <v>275</v>
      </c>
      <c r="B158" s="85" t="s">
        <v>2525</v>
      </c>
      <c r="C158" s="86">
        <v>0.124</v>
      </c>
      <c r="D158" s="86">
        <v>0.124</v>
      </c>
      <c r="E158" s="86">
        <v>0.11700000000000001</v>
      </c>
      <c r="F158" s="86">
        <v>0.121</v>
      </c>
      <c r="G158" s="98">
        <v>0.124</v>
      </c>
    </row>
    <row r="159" spans="1:7">
      <c r="A159" s="93" t="s">
        <v>275</v>
      </c>
      <c r="B159" s="85" t="s">
        <v>2530</v>
      </c>
      <c r="C159" s="86">
        <v>0.127</v>
      </c>
      <c r="D159" s="86">
        <v>0.127</v>
      </c>
      <c r="E159" s="86">
        <v>0.122</v>
      </c>
      <c r="F159" s="86">
        <v>0.13</v>
      </c>
      <c r="G159" s="98">
        <v>0.129</v>
      </c>
    </row>
    <row r="160" spans="1:7">
      <c r="A160" s="93" t="s">
        <v>275</v>
      </c>
      <c r="B160" s="85" t="s">
        <v>2535</v>
      </c>
      <c r="C160" s="86">
        <v>0.13</v>
      </c>
      <c r="D160" s="86">
        <v>0.13</v>
      </c>
      <c r="E160" s="86">
        <v>0.124</v>
      </c>
      <c r="F160" s="86">
        <v>0.126</v>
      </c>
      <c r="G160" s="98">
        <v>0.13</v>
      </c>
    </row>
    <row r="161" spans="1:7">
      <c r="A161" s="93" t="s">
        <v>275</v>
      </c>
      <c r="B161" s="85" t="s">
        <v>2540</v>
      </c>
      <c r="C161" s="86">
        <v>0.13</v>
      </c>
      <c r="D161" s="86">
        <v>0.13</v>
      </c>
      <c r="E161" s="86">
        <v>0.124</v>
      </c>
      <c r="F161" s="86">
        <v>0.127</v>
      </c>
      <c r="G161" s="98">
        <v>0.13</v>
      </c>
    </row>
    <row r="162" spans="1:7">
      <c r="A162" s="93" t="s">
        <v>275</v>
      </c>
      <c r="B162" s="85" t="s">
        <v>2545</v>
      </c>
      <c r="C162" s="86">
        <v>0.1</v>
      </c>
      <c r="D162" s="86">
        <v>0.1</v>
      </c>
      <c r="E162" s="86">
        <v>0.1</v>
      </c>
      <c r="F162" s="86">
        <v>0.121</v>
      </c>
      <c r="G162" s="98">
        <v>0.105</v>
      </c>
    </row>
    <row r="163" spans="1:7">
      <c r="A163" s="93" t="s">
        <v>275</v>
      </c>
      <c r="B163" s="85" t="s">
        <v>2550</v>
      </c>
      <c r="C163" s="86">
        <v>0.1</v>
      </c>
      <c r="D163" s="86">
        <v>0.1</v>
      </c>
      <c r="E163" s="86">
        <v>0.1</v>
      </c>
      <c r="F163" s="86">
        <v>0.1</v>
      </c>
      <c r="G163" s="98">
        <v>0.1</v>
      </c>
    </row>
    <row r="164" spans="1:7">
      <c r="A164" s="93" t="s">
        <v>275</v>
      </c>
      <c r="B164" s="85" t="s">
        <v>2555</v>
      </c>
      <c r="C164" s="103"/>
      <c r="D164" s="103"/>
      <c r="E164" s="103"/>
      <c r="F164" s="86">
        <v>0.1</v>
      </c>
      <c r="G164" s="100"/>
    </row>
    <row r="165" spans="1:7">
      <c r="A165" s="93" t="s">
        <v>275</v>
      </c>
      <c r="B165" s="85" t="s">
        <v>2560</v>
      </c>
      <c r="C165" s="86">
        <v>0.126</v>
      </c>
      <c r="D165" s="86">
        <v>0.126</v>
      </c>
      <c r="E165" s="86">
        <v>0.11899999999999999</v>
      </c>
      <c r="F165" s="86">
        <v>0.13</v>
      </c>
      <c r="G165" s="98">
        <v>0.128</v>
      </c>
    </row>
    <row r="166" spans="1:7">
      <c r="A166" s="93" t="s">
        <v>275</v>
      </c>
      <c r="B166" s="85" t="s">
        <v>2565</v>
      </c>
      <c r="C166" s="86">
        <v>0.129</v>
      </c>
      <c r="D166" s="86">
        <v>0.129</v>
      </c>
      <c r="E166" s="86">
        <v>0.123</v>
      </c>
      <c r="F166" s="86">
        <v>0.128</v>
      </c>
      <c r="G166" s="98">
        <v>0.13</v>
      </c>
    </row>
    <row r="167" spans="1:7">
      <c r="A167" s="93" t="s">
        <v>275</v>
      </c>
      <c r="B167" s="85" t="s">
        <v>2569</v>
      </c>
      <c r="C167" s="86">
        <v>0.125</v>
      </c>
      <c r="D167" s="86">
        <v>0.125</v>
      </c>
      <c r="E167" s="86">
        <v>0.11700000000000001</v>
      </c>
      <c r="F167" s="86">
        <v>0.13</v>
      </c>
      <c r="G167" s="98">
        <v>0.126</v>
      </c>
    </row>
    <row r="168" spans="1:7">
      <c r="A168" s="93" t="s">
        <v>275</v>
      </c>
      <c r="B168" s="85" t="s">
        <v>2573</v>
      </c>
      <c r="C168" s="86">
        <v>0.128</v>
      </c>
      <c r="D168" s="86">
        <v>0.128</v>
      </c>
      <c r="E168" s="86">
        <v>0.123</v>
      </c>
      <c r="F168" s="94"/>
      <c r="G168" s="98">
        <v>0.13</v>
      </c>
    </row>
    <row r="169" spans="1:7">
      <c r="A169" s="93" t="s">
        <v>275</v>
      </c>
      <c r="B169" s="85" t="s">
        <v>2577</v>
      </c>
      <c r="C169" s="103"/>
      <c r="D169" s="103"/>
      <c r="E169" s="103"/>
      <c r="F169" s="86">
        <v>0.05</v>
      </c>
      <c r="G169" s="100"/>
    </row>
    <row r="170" spans="1:7">
      <c r="A170" s="93" t="s">
        <v>275</v>
      </c>
      <c r="B170" s="85" t="s">
        <v>2581</v>
      </c>
      <c r="C170" s="103"/>
      <c r="D170" s="103"/>
      <c r="E170" s="103"/>
      <c r="F170" s="86">
        <v>0.05</v>
      </c>
      <c r="G170" s="100"/>
    </row>
    <row r="171" spans="1:7">
      <c r="A171" s="93" t="s">
        <v>275</v>
      </c>
      <c r="B171" s="85" t="s">
        <v>2584</v>
      </c>
      <c r="C171" s="103"/>
      <c r="D171" s="103"/>
      <c r="E171" s="103"/>
      <c r="F171" s="86">
        <v>0.05</v>
      </c>
      <c r="G171" s="104"/>
    </row>
    <row r="172" spans="1:7">
      <c r="A172" s="93" t="s">
        <v>275</v>
      </c>
      <c r="B172" s="85" t="s">
        <v>2586</v>
      </c>
      <c r="C172" s="103"/>
      <c r="D172" s="103"/>
      <c r="E172" s="103"/>
      <c r="F172" s="86">
        <v>0.05</v>
      </c>
      <c r="G172" s="104"/>
    </row>
    <row r="173" spans="1:7">
      <c r="A173" s="93" t="s">
        <v>275</v>
      </c>
      <c r="B173" s="85" t="s">
        <v>2588</v>
      </c>
      <c r="C173" s="103"/>
      <c r="D173" s="103"/>
      <c r="E173" s="103"/>
      <c r="F173" s="86">
        <v>0.05</v>
      </c>
      <c r="G173" s="100"/>
    </row>
    <row r="174" spans="1:7">
      <c r="A174" s="93" t="s">
        <v>275</v>
      </c>
      <c r="B174" s="85" t="s">
        <v>2590</v>
      </c>
      <c r="C174" s="103"/>
      <c r="D174" s="103"/>
      <c r="E174" s="103"/>
      <c r="F174" s="86">
        <v>0.05</v>
      </c>
      <c r="G174" s="100"/>
    </row>
    <row r="175" spans="1:7">
      <c r="A175" s="93" t="s">
        <v>275</v>
      </c>
      <c r="B175" s="85" t="s">
        <v>2592</v>
      </c>
      <c r="C175" s="103"/>
      <c r="D175" s="103"/>
      <c r="E175" s="103"/>
      <c r="F175" s="86">
        <v>0.05</v>
      </c>
      <c r="G175" s="100"/>
    </row>
    <row r="176" spans="1:7">
      <c r="A176" s="93" t="s">
        <v>275</v>
      </c>
      <c r="B176" s="85" t="s">
        <v>2594</v>
      </c>
      <c r="C176" s="103"/>
      <c r="D176" s="103"/>
      <c r="E176" s="103"/>
      <c r="F176" s="86">
        <v>0.05</v>
      </c>
      <c r="G176" s="100"/>
    </row>
    <row r="177" spans="1:7">
      <c r="A177" s="93" t="s">
        <v>275</v>
      </c>
      <c r="B177" s="85" t="s">
        <v>2596</v>
      </c>
      <c r="C177" s="94"/>
      <c r="D177" s="94"/>
      <c r="E177" s="94"/>
      <c r="F177" s="86">
        <v>0.05</v>
      </c>
      <c r="G177" s="104"/>
    </row>
    <row r="178" spans="1:7">
      <c r="A178" s="93" t="s">
        <v>275</v>
      </c>
      <c r="B178" s="85" t="s">
        <v>2597</v>
      </c>
      <c r="C178" s="94"/>
      <c r="D178" s="94"/>
      <c r="E178" s="94"/>
      <c r="F178" s="86">
        <v>0.05</v>
      </c>
      <c r="G178" s="104"/>
    </row>
    <row r="179" spans="1:7">
      <c r="A179" s="93" t="s">
        <v>275</v>
      </c>
      <c r="B179" s="85" t="s">
        <v>2598</v>
      </c>
      <c r="C179" s="94"/>
      <c r="D179" s="94"/>
      <c r="E179" s="94"/>
      <c r="F179" s="86">
        <v>0.05</v>
      </c>
      <c r="G179" s="104"/>
    </row>
    <row r="180" spans="1:7">
      <c r="A180" s="93" t="s">
        <v>275</v>
      </c>
      <c r="B180" s="85" t="s">
        <v>2599</v>
      </c>
      <c r="C180" s="94"/>
      <c r="D180" s="94"/>
      <c r="E180" s="94"/>
      <c r="F180" s="86">
        <v>0.05</v>
      </c>
      <c r="G180" s="104"/>
    </row>
    <row r="181" spans="1:7">
      <c r="A181" s="93" t="s">
        <v>275</v>
      </c>
      <c r="B181" s="85" t="s">
        <v>2600</v>
      </c>
      <c r="C181" s="94"/>
      <c r="D181" s="94"/>
      <c r="E181" s="94"/>
      <c r="F181" s="86">
        <v>0.05</v>
      </c>
      <c r="G181" s="104"/>
    </row>
    <row r="182" spans="1:7">
      <c r="A182" s="93" t="s">
        <v>275</v>
      </c>
      <c r="B182" s="85" t="s">
        <v>2601</v>
      </c>
      <c r="C182" s="94"/>
      <c r="D182" s="94"/>
      <c r="E182" s="94"/>
      <c r="F182" s="86">
        <v>0.05</v>
      </c>
      <c r="G182" s="104"/>
    </row>
    <row r="183" spans="1:7">
      <c r="A183" s="93" t="s">
        <v>275</v>
      </c>
      <c r="B183" s="85" t="s">
        <v>2602</v>
      </c>
      <c r="C183" s="94"/>
      <c r="D183" s="94"/>
      <c r="E183" s="94"/>
      <c r="F183" s="86">
        <v>0.05</v>
      </c>
      <c r="G183" s="104"/>
    </row>
    <row r="184" spans="1:7">
      <c r="A184" s="93" t="s">
        <v>275</v>
      </c>
      <c r="B184" s="85" t="s">
        <v>2603</v>
      </c>
      <c r="C184" s="94"/>
      <c r="D184" s="94"/>
      <c r="E184" s="94"/>
      <c r="F184" s="86">
        <v>0.05</v>
      </c>
      <c r="G184" s="104"/>
    </row>
    <row r="185" spans="1:7">
      <c r="A185" s="93" t="s">
        <v>275</v>
      </c>
      <c r="B185" s="85" t="s">
        <v>2604</v>
      </c>
      <c r="C185" s="94"/>
      <c r="D185" s="94"/>
      <c r="E185" s="94"/>
      <c r="F185" s="86">
        <v>0.05</v>
      </c>
      <c r="G185" s="104"/>
    </row>
    <row r="186" spans="1:7">
      <c r="A186" s="93" t="s">
        <v>275</v>
      </c>
      <c r="B186" s="85" t="s">
        <v>2605</v>
      </c>
      <c r="C186" s="94"/>
      <c r="D186" s="94"/>
      <c r="E186" s="94"/>
      <c r="F186" s="86">
        <v>0.05</v>
      </c>
      <c r="G186" s="104"/>
    </row>
    <row r="187" spans="1:7">
      <c r="A187" s="93" t="s">
        <v>275</v>
      </c>
      <c r="B187" s="85" t="s">
        <v>2606</v>
      </c>
      <c r="C187" s="94"/>
      <c r="D187" s="94"/>
      <c r="E187" s="94"/>
      <c r="F187" s="86">
        <v>0.05</v>
      </c>
      <c r="G187" s="104"/>
    </row>
    <row r="188" spans="1:7">
      <c r="A188" s="93" t="s">
        <v>275</v>
      </c>
      <c r="B188" s="85" t="s">
        <v>2607</v>
      </c>
      <c r="C188" s="94"/>
      <c r="D188" s="94"/>
      <c r="E188" s="94"/>
      <c r="F188" s="86">
        <v>0.05</v>
      </c>
      <c r="G188" s="104"/>
    </row>
    <row r="189" spans="1:7">
      <c r="A189" s="95" t="s">
        <v>275</v>
      </c>
      <c r="B189" s="88" t="s">
        <v>2608</v>
      </c>
      <c r="C189" s="96"/>
      <c r="D189" s="96"/>
      <c r="E189" s="96"/>
      <c r="F189" s="89">
        <v>0.05</v>
      </c>
      <c r="G189" s="105"/>
    </row>
    <row r="190" spans="1:7">
      <c r="A190" s="92" t="s">
        <v>281</v>
      </c>
      <c r="B190" s="82" t="s">
        <v>2234</v>
      </c>
      <c r="C190" s="83">
        <v>0.124</v>
      </c>
      <c r="D190" s="83">
        <v>0.124</v>
      </c>
      <c r="E190" s="83">
        <v>0.129</v>
      </c>
      <c r="F190" s="83">
        <v>0.13</v>
      </c>
      <c r="G190" s="97">
        <v>0.127</v>
      </c>
    </row>
    <row r="191" spans="1:7">
      <c r="A191" s="93" t="s">
        <v>281</v>
      </c>
      <c r="B191" s="85" t="s">
        <v>2247</v>
      </c>
      <c r="C191" s="86">
        <v>0.13</v>
      </c>
      <c r="D191" s="86">
        <v>0.13</v>
      </c>
      <c r="E191" s="86">
        <v>0.13</v>
      </c>
      <c r="F191" s="86">
        <v>0.13</v>
      </c>
      <c r="G191" s="98">
        <v>0.13</v>
      </c>
    </row>
    <row r="192" spans="1:7">
      <c r="A192" s="93" t="s">
        <v>281</v>
      </c>
      <c r="B192" s="85" t="s">
        <v>2261</v>
      </c>
      <c r="C192" s="86">
        <v>0.13</v>
      </c>
      <c r="D192" s="86">
        <v>0.13</v>
      </c>
      <c r="E192" s="86">
        <v>0.13</v>
      </c>
      <c r="F192" s="86">
        <v>0.13</v>
      </c>
      <c r="G192" s="98">
        <v>0.13</v>
      </c>
    </row>
    <row r="193" spans="1:7">
      <c r="A193" s="93" t="s">
        <v>281</v>
      </c>
      <c r="B193" s="85" t="s">
        <v>2273</v>
      </c>
      <c r="C193" s="86">
        <v>0.13</v>
      </c>
      <c r="D193" s="86">
        <v>0.13</v>
      </c>
      <c r="E193" s="86">
        <v>0.13</v>
      </c>
      <c r="F193" s="86">
        <v>0.13</v>
      </c>
      <c r="G193" s="98">
        <v>0.13</v>
      </c>
    </row>
    <row r="194" spans="1:7">
      <c r="A194" s="93" t="s">
        <v>281</v>
      </c>
      <c r="B194" s="85" t="s">
        <v>2285</v>
      </c>
      <c r="C194" s="86">
        <v>0.123</v>
      </c>
      <c r="D194" s="86">
        <v>0.123</v>
      </c>
      <c r="E194" s="86">
        <v>0.128</v>
      </c>
      <c r="F194" s="86">
        <v>0.13</v>
      </c>
      <c r="G194" s="98">
        <v>0.126</v>
      </c>
    </row>
    <row r="195" spans="1:7">
      <c r="A195" s="93" t="s">
        <v>281</v>
      </c>
      <c r="B195" s="85" t="s">
        <v>2296</v>
      </c>
      <c r="C195" s="86">
        <v>0.127</v>
      </c>
      <c r="D195" s="86">
        <v>0.127</v>
      </c>
      <c r="E195" s="86">
        <v>0.121</v>
      </c>
      <c r="F195" s="86">
        <v>0.129</v>
      </c>
      <c r="G195" s="98">
        <v>0.129</v>
      </c>
    </row>
    <row r="196" spans="1:7">
      <c r="A196" s="93" t="s">
        <v>281</v>
      </c>
      <c r="B196" s="85" t="s">
        <v>2307</v>
      </c>
      <c r="C196" s="86">
        <v>0.127</v>
      </c>
      <c r="D196" s="86">
        <v>0.128</v>
      </c>
      <c r="E196" s="86">
        <v>0.122</v>
      </c>
      <c r="F196" s="86">
        <v>0.13</v>
      </c>
      <c r="G196" s="98">
        <v>0.129</v>
      </c>
    </row>
    <row r="197" spans="1:7">
      <c r="A197" s="93" t="s">
        <v>281</v>
      </c>
      <c r="B197" s="85" t="s">
        <v>2318</v>
      </c>
      <c r="C197" s="86">
        <v>0.126</v>
      </c>
      <c r="D197" s="86">
        <v>0.126</v>
      </c>
      <c r="E197" s="86">
        <v>0.11899999999999999</v>
      </c>
      <c r="F197" s="86">
        <v>0.13</v>
      </c>
      <c r="G197" s="98">
        <v>0.128</v>
      </c>
    </row>
    <row r="198" spans="1:7">
      <c r="A198" s="93" t="s">
        <v>281</v>
      </c>
      <c r="B198" s="85" t="s">
        <v>2328</v>
      </c>
      <c r="C198" s="86">
        <v>0.13</v>
      </c>
      <c r="D198" s="86">
        <v>0.13</v>
      </c>
      <c r="E198" s="86">
        <v>0.126</v>
      </c>
      <c r="F198" s="103"/>
      <c r="G198" s="98">
        <v>0.13</v>
      </c>
    </row>
    <row r="199" spans="1:7">
      <c r="A199" s="93" t="s">
        <v>281</v>
      </c>
      <c r="B199" s="85" t="s">
        <v>2338</v>
      </c>
      <c r="C199" s="86">
        <v>0.13</v>
      </c>
      <c r="D199" s="86">
        <v>0.13</v>
      </c>
      <c r="E199" s="86">
        <v>0.13</v>
      </c>
      <c r="F199" s="86">
        <v>0.13</v>
      </c>
      <c r="G199" s="98">
        <v>0.13</v>
      </c>
    </row>
    <row r="200" spans="1:7">
      <c r="A200" s="93" t="s">
        <v>281</v>
      </c>
      <c r="B200" s="85" t="s">
        <v>2348</v>
      </c>
      <c r="C200" s="103"/>
      <c r="D200" s="103"/>
      <c r="E200" s="103"/>
      <c r="F200" s="86">
        <v>0.13</v>
      </c>
      <c r="G200" s="100"/>
    </row>
    <row r="201" spans="1:7">
      <c r="A201" s="93" t="s">
        <v>281</v>
      </c>
      <c r="B201" s="85" t="s">
        <v>2358</v>
      </c>
      <c r="C201" s="86">
        <v>0.13</v>
      </c>
      <c r="D201" s="86">
        <v>0.13</v>
      </c>
      <c r="E201" s="86">
        <v>0.13</v>
      </c>
      <c r="F201" s="86">
        <v>0.129</v>
      </c>
      <c r="G201" s="98">
        <v>0.13</v>
      </c>
    </row>
    <row r="202" spans="1:7">
      <c r="A202" s="93" t="s">
        <v>281</v>
      </c>
      <c r="B202" s="85" t="s">
        <v>2368</v>
      </c>
      <c r="C202" s="86">
        <v>0.13</v>
      </c>
      <c r="D202" s="86">
        <v>0.13</v>
      </c>
      <c r="E202" s="86">
        <v>0.13</v>
      </c>
      <c r="F202" s="86">
        <v>0.13</v>
      </c>
      <c r="G202" s="98">
        <v>0.13</v>
      </c>
    </row>
    <row r="203" spans="1:7">
      <c r="A203" s="93" t="s">
        <v>281</v>
      </c>
      <c r="B203" s="85" t="s">
        <v>2378</v>
      </c>
      <c r="C203" s="86">
        <v>0.129</v>
      </c>
      <c r="D203" s="86">
        <v>0.129</v>
      </c>
      <c r="E203" s="86">
        <v>0.13</v>
      </c>
      <c r="F203" s="86">
        <v>0.13</v>
      </c>
      <c r="G203" s="98">
        <v>0.13</v>
      </c>
    </row>
    <row r="204" spans="1:7">
      <c r="A204" s="93" t="s">
        <v>281</v>
      </c>
      <c r="B204" s="85" t="s">
        <v>2388</v>
      </c>
      <c r="C204" s="86">
        <v>0.129</v>
      </c>
      <c r="D204" s="86">
        <v>0.129</v>
      </c>
      <c r="E204" s="86">
        <v>0.123</v>
      </c>
      <c r="F204" s="86">
        <v>0.13</v>
      </c>
      <c r="G204" s="98">
        <v>0.13</v>
      </c>
    </row>
    <row r="205" spans="1:7">
      <c r="A205" s="93" t="s">
        <v>281</v>
      </c>
      <c r="B205" s="85" t="s">
        <v>2398</v>
      </c>
      <c r="C205" s="86">
        <v>0.13</v>
      </c>
      <c r="D205" s="86">
        <v>0.13</v>
      </c>
      <c r="E205" s="86">
        <v>0.13</v>
      </c>
      <c r="F205" s="86">
        <v>0.13</v>
      </c>
      <c r="G205" s="98">
        <v>0.13</v>
      </c>
    </row>
    <row r="206" spans="1:7">
      <c r="A206" s="93" t="s">
        <v>281</v>
      </c>
      <c r="B206" s="85" t="s">
        <v>2408</v>
      </c>
      <c r="C206" s="86">
        <v>0.13</v>
      </c>
      <c r="D206" s="86">
        <v>0.13</v>
      </c>
      <c r="E206" s="86">
        <v>0.13</v>
      </c>
      <c r="F206" s="86">
        <v>0.128</v>
      </c>
      <c r="G206" s="98">
        <v>0.13</v>
      </c>
    </row>
    <row r="207" spans="1:7">
      <c r="A207" s="93" t="s">
        <v>281</v>
      </c>
      <c r="B207" s="85" t="s">
        <v>2418</v>
      </c>
      <c r="C207" s="86">
        <v>0.13</v>
      </c>
      <c r="D207" s="86">
        <v>0.13</v>
      </c>
      <c r="E207" s="86">
        <v>0.13</v>
      </c>
      <c r="F207" s="86">
        <v>0.13</v>
      </c>
      <c r="G207" s="98">
        <v>0.13</v>
      </c>
    </row>
    <row r="208" spans="1:7">
      <c r="A208" s="93" t="s">
        <v>281</v>
      </c>
      <c r="B208" s="85" t="s">
        <v>2428</v>
      </c>
      <c r="C208" s="86">
        <v>0.13</v>
      </c>
      <c r="D208" s="86">
        <v>0.13</v>
      </c>
      <c r="E208" s="86">
        <v>0.13</v>
      </c>
      <c r="F208" s="86">
        <v>0.13</v>
      </c>
      <c r="G208" s="98">
        <v>0.13</v>
      </c>
    </row>
    <row r="209" spans="1:7">
      <c r="A209" s="93" t="s">
        <v>281</v>
      </c>
      <c r="B209" s="85" t="s">
        <v>2437</v>
      </c>
      <c r="C209" s="86">
        <v>0.13</v>
      </c>
      <c r="D209" s="86">
        <v>0.13</v>
      </c>
      <c r="E209" s="86">
        <v>0.13</v>
      </c>
      <c r="F209" s="86">
        <v>0.13</v>
      </c>
      <c r="G209" s="98">
        <v>0.13</v>
      </c>
    </row>
    <row r="210" spans="1:7">
      <c r="A210" s="93" t="s">
        <v>281</v>
      </c>
      <c r="B210" s="85" t="s">
        <v>2446</v>
      </c>
      <c r="C210" s="86">
        <v>0.121</v>
      </c>
      <c r="D210" s="86">
        <v>0.121</v>
      </c>
      <c r="E210" s="86">
        <v>0.125</v>
      </c>
      <c r="F210" s="86">
        <v>0.13</v>
      </c>
      <c r="G210" s="98">
        <v>0.123</v>
      </c>
    </row>
    <row r="211" spans="1:7">
      <c r="A211" s="93" t="s">
        <v>281</v>
      </c>
      <c r="B211" s="85" t="s">
        <v>2454</v>
      </c>
      <c r="C211" s="86">
        <v>0.123</v>
      </c>
      <c r="D211" s="86">
        <v>0.123</v>
      </c>
      <c r="E211" s="86">
        <v>0.127</v>
      </c>
      <c r="F211" s="86">
        <v>0.115</v>
      </c>
      <c r="G211" s="98">
        <v>0.126</v>
      </c>
    </row>
    <row r="212" spans="1:7">
      <c r="A212" s="93" t="s">
        <v>281</v>
      </c>
      <c r="B212" s="85" t="s">
        <v>2462</v>
      </c>
      <c r="C212" s="86">
        <v>0.126</v>
      </c>
      <c r="D212" s="86">
        <v>0.126</v>
      </c>
      <c r="E212" s="86">
        <v>0.13</v>
      </c>
      <c r="F212" s="86">
        <v>0.13</v>
      </c>
      <c r="G212" s="98">
        <v>0.129</v>
      </c>
    </row>
    <row r="213" spans="1:7">
      <c r="A213" s="93" t="s">
        <v>281</v>
      </c>
      <c r="B213" s="85" t="s">
        <v>2470</v>
      </c>
      <c r="C213" s="86">
        <v>0.129</v>
      </c>
      <c r="D213" s="86">
        <v>0.13</v>
      </c>
      <c r="E213" s="86">
        <v>0.127</v>
      </c>
      <c r="F213" s="86">
        <v>0.13</v>
      </c>
      <c r="G213" s="98">
        <v>0.13</v>
      </c>
    </row>
    <row r="214" spans="1:7">
      <c r="A214" s="93" t="s">
        <v>281</v>
      </c>
      <c r="B214" s="85" t="s">
        <v>2477</v>
      </c>
      <c r="C214" s="86">
        <v>0.128</v>
      </c>
      <c r="D214" s="86">
        <v>0.128</v>
      </c>
      <c r="E214" s="86">
        <v>0.13</v>
      </c>
      <c r="F214" s="86">
        <v>0.13</v>
      </c>
      <c r="G214" s="98">
        <v>0.13</v>
      </c>
    </row>
    <row r="215" spans="1:7">
      <c r="A215" s="93" t="s">
        <v>281</v>
      </c>
      <c r="B215" s="85" t="s">
        <v>2484</v>
      </c>
      <c r="C215" s="86">
        <v>0.13</v>
      </c>
      <c r="D215" s="86">
        <v>0.13</v>
      </c>
      <c r="E215" s="86">
        <v>0.13</v>
      </c>
      <c r="F215" s="86">
        <v>0.129</v>
      </c>
      <c r="G215" s="98">
        <v>0.13</v>
      </c>
    </row>
    <row r="216" spans="1:7">
      <c r="A216" s="93" t="s">
        <v>281</v>
      </c>
      <c r="B216" s="85" t="s">
        <v>2491</v>
      </c>
      <c r="C216" s="86">
        <v>0.13</v>
      </c>
      <c r="D216" s="86">
        <v>0.13</v>
      </c>
      <c r="E216" s="86">
        <v>0.13</v>
      </c>
      <c r="F216" s="86">
        <v>0.13</v>
      </c>
      <c r="G216" s="98">
        <v>0.13</v>
      </c>
    </row>
    <row r="217" spans="1:7">
      <c r="A217" s="93" t="s">
        <v>281</v>
      </c>
      <c r="B217" s="85" t="s">
        <v>2498</v>
      </c>
      <c r="C217" s="86">
        <v>0.129</v>
      </c>
      <c r="D217" s="86">
        <v>0.129</v>
      </c>
      <c r="E217" s="86">
        <v>0.13</v>
      </c>
      <c r="F217" s="86">
        <v>0.13</v>
      </c>
      <c r="G217" s="98">
        <v>0.13</v>
      </c>
    </row>
    <row r="218" spans="1:7">
      <c r="A218" s="93" t="s">
        <v>281</v>
      </c>
      <c r="B218" s="85" t="s">
        <v>2505</v>
      </c>
      <c r="C218" s="94"/>
      <c r="D218" s="94"/>
      <c r="E218" s="94"/>
      <c r="F218" s="86">
        <v>0.05</v>
      </c>
      <c r="G218" s="104"/>
    </row>
    <row r="219" spans="1:7">
      <c r="A219" s="93" t="s">
        <v>281</v>
      </c>
      <c r="B219" s="85" t="s">
        <v>2512</v>
      </c>
      <c r="C219" s="94"/>
      <c r="D219" s="94"/>
      <c r="E219" s="94"/>
      <c r="F219" s="86">
        <v>0.05</v>
      </c>
      <c r="G219" s="104"/>
    </row>
    <row r="220" spans="1:7">
      <c r="A220" s="93" t="s">
        <v>281</v>
      </c>
      <c r="B220" s="85" t="s">
        <v>2519</v>
      </c>
      <c r="C220" s="94"/>
      <c r="D220" s="94"/>
      <c r="E220" s="94"/>
      <c r="F220" s="86">
        <v>0.05</v>
      </c>
      <c r="G220" s="104"/>
    </row>
    <row r="221" spans="1:7">
      <c r="A221" s="93" t="s">
        <v>281</v>
      </c>
      <c r="B221" s="85" t="s">
        <v>2526</v>
      </c>
      <c r="C221" s="94"/>
      <c r="D221" s="94"/>
      <c r="E221" s="94"/>
      <c r="F221" s="86">
        <v>0.05</v>
      </c>
      <c r="G221" s="104"/>
    </row>
    <row r="222" spans="1:7">
      <c r="A222" s="93" t="s">
        <v>281</v>
      </c>
      <c r="B222" s="85" t="s">
        <v>2531</v>
      </c>
      <c r="C222" s="94"/>
      <c r="D222" s="94"/>
      <c r="E222" s="94"/>
      <c r="F222" s="86">
        <v>0.05</v>
      </c>
      <c r="G222" s="104"/>
    </row>
    <row r="223" spans="1:7">
      <c r="A223" s="93" t="s">
        <v>281</v>
      </c>
      <c r="B223" s="85" t="s">
        <v>2536</v>
      </c>
      <c r="C223" s="94"/>
      <c r="D223" s="94"/>
      <c r="E223" s="94"/>
      <c r="F223" s="86">
        <v>0.05</v>
      </c>
      <c r="G223" s="104"/>
    </row>
    <row r="224" spans="1:7">
      <c r="A224" s="93" t="s">
        <v>281</v>
      </c>
      <c r="B224" s="85" t="s">
        <v>2541</v>
      </c>
      <c r="C224" s="94"/>
      <c r="D224" s="94"/>
      <c r="E224" s="94"/>
      <c r="F224" s="86">
        <v>0.05</v>
      </c>
      <c r="G224" s="104"/>
    </row>
    <row r="225" spans="1:7">
      <c r="A225" s="93" t="s">
        <v>281</v>
      </c>
      <c r="B225" s="85" t="s">
        <v>2546</v>
      </c>
      <c r="C225" s="94"/>
      <c r="D225" s="94"/>
      <c r="E225" s="94"/>
      <c r="F225" s="86">
        <v>0.05</v>
      </c>
      <c r="G225" s="104"/>
    </row>
    <row r="226" spans="1:7">
      <c r="A226" s="93" t="s">
        <v>281</v>
      </c>
      <c r="B226" s="85" t="s">
        <v>2551</v>
      </c>
      <c r="C226" s="94"/>
      <c r="D226" s="94"/>
      <c r="E226" s="94"/>
      <c r="F226" s="86">
        <v>0.05</v>
      </c>
      <c r="G226" s="104"/>
    </row>
    <row r="227" spans="1:7">
      <c r="A227" s="93" t="s">
        <v>281</v>
      </c>
      <c r="B227" s="85" t="s">
        <v>2610</v>
      </c>
      <c r="C227" s="94"/>
      <c r="D227" s="94"/>
      <c r="E227" s="94"/>
      <c r="F227" s="86">
        <v>0.05</v>
      </c>
      <c r="G227" s="104"/>
    </row>
    <row r="228" spans="1:7">
      <c r="A228" s="93" t="s">
        <v>281</v>
      </c>
      <c r="B228" s="85" t="s">
        <v>2611</v>
      </c>
      <c r="C228" s="94"/>
      <c r="D228" s="94"/>
      <c r="E228" s="94"/>
      <c r="F228" s="86">
        <v>0.05</v>
      </c>
      <c r="G228" s="104"/>
    </row>
    <row r="229" spans="1:7">
      <c r="A229" s="93" t="s">
        <v>281</v>
      </c>
      <c r="B229" s="85" t="s">
        <v>2612</v>
      </c>
      <c r="C229" s="94"/>
      <c r="D229" s="94"/>
      <c r="E229" s="94"/>
      <c r="F229" s="86">
        <v>0.05</v>
      </c>
      <c r="G229" s="104"/>
    </row>
    <row r="230" spans="1:7">
      <c r="A230" s="93" t="s">
        <v>281</v>
      </c>
      <c r="B230" s="85" t="s">
        <v>2570</v>
      </c>
      <c r="C230" s="94"/>
      <c r="D230" s="94"/>
      <c r="E230" s="94"/>
      <c r="F230" s="86">
        <v>0.05</v>
      </c>
      <c r="G230" s="104"/>
    </row>
    <row r="231" spans="1:7">
      <c r="A231" s="93" t="s">
        <v>281</v>
      </c>
      <c r="B231" s="85" t="s">
        <v>2574</v>
      </c>
      <c r="C231" s="94"/>
      <c r="D231" s="94"/>
      <c r="E231" s="94"/>
      <c r="F231" s="86">
        <v>0.05</v>
      </c>
      <c r="G231" s="104"/>
    </row>
    <row r="232" spans="1:7">
      <c r="A232" s="93" t="s">
        <v>281</v>
      </c>
      <c r="B232" s="85" t="s">
        <v>2613</v>
      </c>
      <c r="C232" s="94"/>
      <c r="D232" s="94"/>
      <c r="E232" s="94"/>
      <c r="F232" s="86">
        <v>0.05</v>
      </c>
      <c r="G232" s="104"/>
    </row>
    <row r="233" spans="1:7">
      <c r="A233" s="95" t="s">
        <v>281</v>
      </c>
      <c r="B233" s="88" t="s">
        <v>2582</v>
      </c>
      <c r="C233" s="96"/>
      <c r="D233" s="96"/>
      <c r="E233" s="96"/>
      <c r="F233" s="89">
        <v>0.05</v>
      </c>
      <c r="G233" s="105"/>
    </row>
    <row r="234" spans="1:7">
      <c r="A234" s="92" t="s">
        <v>287</v>
      </c>
      <c r="B234" s="82" t="s">
        <v>2235</v>
      </c>
      <c r="C234" s="83">
        <v>0.13</v>
      </c>
      <c r="D234" s="83">
        <v>0.128</v>
      </c>
      <c r="E234" s="83">
        <v>0.14199999999999999</v>
      </c>
      <c r="F234" s="83">
        <v>0.14699999999999999</v>
      </c>
      <c r="G234" s="97">
        <v>0.14000000000000001</v>
      </c>
    </row>
    <row r="235" spans="1:7">
      <c r="A235" s="93" t="s">
        <v>287</v>
      </c>
      <c r="B235" s="85" t="s">
        <v>2248</v>
      </c>
      <c r="C235" s="86">
        <v>0.13600000000000001</v>
      </c>
      <c r="D235" s="86">
        <v>0.13800000000000001</v>
      </c>
      <c r="E235" s="86">
        <v>0.14499999999999999</v>
      </c>
      <c r="F235" s="86">
        <v>0.14299999999999999</v>
      </c>
      <c r="G235" s="98">
        <v>0.14099999999999999</v>
      </c>
    </row>
    <row r="236" spans="1:7">
      <c r="A236" s="93" t="s">
        <v>287</v>
      </c>
      <c r="B236" s="85" t="s">
        <v>2262</v>
      </c>
      <c r="C236" s="86">
        <v>0.15</v>
      </c>
      <c r="D236" s="86">
        <v>0.15</v>
      </c>
      <c r="E236" s="86">
        <v>0.15</v>
      </c>
      <c r="F236" s="86">
        <v>0.15</v>
      </c>
      <c r="G236" s="98">
        <v>0.15</v>
      </c>
    </row>
    <row r="237" spans="1:7">
      <c r="A237" s="93" t="s">
        <v>287</v>
      </c>
      <c r="B237" s="85" t="s">
        <v>2274</v>
      </c>
      <c r="C237" s="86">
        <v>0.15</v>
      </c>
      <c r="D237" s="86">
        <v>0.15</v>
      </c>
      <c r="E237" s="86">
        <v>0.15</v>
      </c>
      <c r="F237" s="86">
        <v>0.15</v>
      </c>
      <c r="G237" s="98">
        <v>0.15</v>
      </c>
    </row>
    <row r="238" spans="1:7">
      <c r="A238" s="93" t="s">
        <v>287</v>
      </c>
      <c r="B238" s="85" t="s">
        <v>2286</v>
      </c>
      <c r="C238" s="86">
        <v>0.14899999999999999</v>
      </c>
      <c r="D238" s="86">
        <v>0.14899999999999999</v>
      </c>
      <c r="E238" s="86">
        <v>0.15</v>
      </c>
      <c r="F238" s="86">
        <v>0.15</v>
      </c>
      <c r="G238" s="98">
        <v>0.15</v>
      </c>
    </row>
    <row r="239" spans="1:7">
      <c r="A239" s="93" t="s">
        <v>287</v>
      </c>
      <c r="B239" s="85" t="s">
        <v>2297</v>
      </c>
      <c r="C239" s="86">
        <v>0.15</v>
      </c>
      <c r="D239" s="86">
        <v>0.15</v>
      </c>
      <c r="E239" s="86">
        <v>0.15</v>
      </c>
      <c r="F239" s="86">
        <v>0.15</v>
      </c>
      <c r="G239" s="98">
        <v>0.15</v>
      </c>
    </row>
    <row r="240" spans="1:7">
      <c r="A240" s="93" t="s">
        <v>287</v>
      </c>
      <c r="B240" s="85" t="s">
        <v>2308</v>
      </c>
      <c r="C240" s="86">
        <v>0.15</v>
      </c>
      <c r="D240" s="86">
        <v>0.15</v>
      </c>
      <c r="E240" s="86">
        <v>0.15</v>
      </c>
      <c r="F240" s="86">
        <v>0.15</v>
      </c>
      <c r="G240" s="98">
        <v>0.15</v>
      </c>
    </row>
    <row r="241" spans="1:7">
      <c r="A241" s="93" t="s">
        <v>287</v>
      </c>
      <c r="B241" s="85" t="s">
        <v>2319</v>
      </c>
      <c r="C241" s="86">
        <v>0.14099999999999999</v>
      </c>
      <c r="D241" s="86">
        <v>0.14199999999999999</v>
      </c>
      <c r="E241" s="86">
        <v>0.14899999999999999</v>
      </c>
      <c r="F241" s="86">
        <v>0.15</v>
      </c>
      <c r="G241" s="98">
        <v>0.14399999999999999</v>
      </c>
    </row>
    <row r="242" spans="1:7">
      <c r="A242" s="93" t="s">
        <v>287</v>
      </c>
      <c r="B242" s="85" t="s">
        <v>2329</v>
      </c>
      <c r="C242" s="86">
        <v>0.14099999999999999</v>
      </c>
      <c r="D242" s="86">
        <v>0.14199999999999999</v>
      </c>
      <c r="E242" s="86">
        <v>0.14799999999999999</v>
      </c>
      <c r="F242" s="86">
        <v>0.127</v>
      </c>
      <c r="G242" s="98">
        <v>0.14399999999999999</v>
      </c>
    </row>
    <row r="243" spans="1:7">
      <c r="A243" s="93" t="s">
        <v>287</v>
      </c>
      <c r="B243" s="85" t="s">
        <v>2339</v>
      </c>
      <c r="C243" s="86">
        <v>0.14699999999999999</v>
      </c>
      <c r="D243" s="86">
        <v>0.14699999999999999</v>
      </c>
      <c r="E243" s="86">
        <v>0.15</v>
      </c>
      <c r="F243" s="86">
        <v>0.15</v>
      </c>
      <c r="G243" s="98">
        <v>0.14899999999999999</v>
      </c>
    </row>
    <row r="244" spans="1:7">
      <c r="A244" s="93" t="s">
        <v>287</v>
      </c>
      <c r="B244" s="85" t="s">
        <v>2349</v>
      </c>
      <c r="C244" s="86">
        <v>0.15</v>
      </c>
      <c r="D244" s="86">
        <v>0.15</v>
      </c>
      <c r="E244" s="86">
        <v>0.15</v>
      </c>
      <c r="F244" s="86">
        <v>0.15</v>
      </c>
      <c r="G244" s="98">
        <v>0.15</v>
      </c>
    </row>
    <row r="245" spans="1:7">
      <c r="A245" s="93" t="s">
        <v>287</v>
      </c>
      <c r="B245" s="85" t="s">
        <v>2359</v>
      </c>
      <c r="C245" s="86">
        <v>0.14199999999999999</v>
      </c>
      <c r="D245" s="86">
        <v>0.14199999999999999</v>
      </c>
      <c r="E245" s="86">
        <v>0.15</v>
      </c>
      <c r="F245" s="86">
        <v>0.15</v>
      </c>
      <c r="G245" s="98">
        <v>0.14499999999999999</v>
      </c>
    </row>
    <row r="246" spans="1:7">
      <c r="A246" s="93" t="s">
        <v>287</v>
      </c>
      <c r="B246" s="85" t="s">
        <v>2369</v>
      </c>
      <c r="C246" s="86">
        <v>0.14199999999999999</v>
      </c>
      <c r="D246" s="86">
        <v>0.14299999999999999</v>
      </c>
      <c r="E246" s="86">
        <v>0.15</v>
      </c>
      <c r="F246" s="86">
        <v>0.14199999999999999</v>
      </c>
      <c r="G246" s="98">
        <v>0.14399999999999999</v>
      </c>
    </row>
    <row r="247" spans="1:7">
      <c r="A247" s="93" t="s">
        <v>287</v>
      </c>
      <c r="B247" s="85" t="s">
        <v>2379</v>
      </c>
      <c r="C247" s="86">
        <v>0.14899999999999999</v>
      </c>
      <c r="D247" s="86">
        <v>0.14899999999999999</v>
      </c>
      <c r="E247" s="86">
        <v>0.15</v>
      </c>
      <c r="F247" s="86">
        <v>0.15</v>
      </c>
      <c r="G247" s="98">
        <v>0.15</v>
      </c>
    </row>
    <row r="248" spans="1:7">
      <c r="A248" s="93" t="s">
        <v>287</v>
      </c>
      <c r="B248" s="85" t="s">
        <v>2389</v>
      </c>
      <c r="C248" s="86">
        <v>0.14399999999999999</v>
      </c>
      <c r="D248" s="86">
        <v>0.14399999999999999</v>
      </c>
      <c r="E248" s="86">
        <v>0.14899999999999999</v>
      </c>
      <c r="F248" s="86">
        <v>0.14799999999999999</v>
      </c>
      <c r="G248" s="98">
        <v>0.14599999999999999</v>
      </c>
    </row>
    <row r="249" spans="1:7">
      <c r="A249" s="93" t="s">
        <v>287</v>
      </c>
      <c r="B249" s="85" t="s">
        <v>2399</v>
      </c>
      <c r="C249" s="86">
        <v>0.14000000000000001</v>
      </c>
      <c r="D249" s="86">
        <v>0.14000000000000001</v>
      </c>
      <c r="E249" s="86">
        <v>0.14699999999999999</v>
      </c>
      <c r="F249" s="86">
        <v>0.14899999999999999</v>
      </c>
      <c r="G249" s="98">
        <v>0.14199999999999999</v>
      </c>
    </row>
    <row r="250" spans="1:7">
      <c r="A250" s="93" t="s">
        <v>287</v>
      </c>
      <c r="B250" s="85" t="s">
        <v>2409</v>
      </c>
      <c r="C250" s="86">
        <v>0.14399999999999999</v>
      </c>
      <c r="D250" s="86">
        <v>0.14299999999999999</v>
      </c>
      <c r="E250" s="86">
        <v>0.14899999999999999</v>
      </c>
      <c r="F250" s="86">
        <v>0.15</v>
      </c>
      <c r="G250" s="98">
        <v>0.14599999999999999</v>
      </c>
    </row>
    <row r="251" spans="1:7">
      <c r="A251" s="93" t="s">
        <v>287</v>
      </c>
      <c r="B251" s="85" t="s">
        <v>2419</v>
      </c>
      <c r="C251" s="103"/>
      <c r="D251" s="94"/>
      <c r="E251" s="94"/>
      <c r="F251" s="86">
        <v>0.1</v>
      </c>
      <c r="G251" s="104"/>
    </row>
    <row r="252" spans="1:7">
      <c r="A252" s="93" t="s">
        <v>287</v>
      </c>
      <c r="B252" s="85" t="s">
        <v>409</v>
      </c>
      <c r="C252" s="86">
        <v>0.14399999999999999</v>
      </c>
      <c r="D252" s="86">
        <v>0.14399999999999999</v>
      </c>
      <c r="E252" s="86">
        <v>0.15</v>
      </c>
      <c r="F252" s="86">
        <v>0.14899999999999999</v>
      </c>
      <c r="G252" s="98">
        <v>0.14599999999999999</v>
      </c>
    </row>
    <row r="253" spans="1:7">
      <c r="A253" s="93" t="s">
        <v>287</v>
      </c>
      <c r="B253" s="85" t="s">
        <v>2438</v>
      </c>
      <c r="C253" s="86">
        <v>0.14199999999999999</v>
      </c>
      <c r="D253" s="86">
        <v>0.14199999999999999</v>
      </c>
      <c r="E253" s="86">
        <v>0.14599999999999999</v>
      </c>
      <c r="F253" s="86">
        <v>0.14799999999999999</v>
      </c>
      <c r="G253" s="98">
        <v>0.14499999999999999</v>
      </c>
    </row>
    <row r="254" spans="1:7">
      <c r="A254" s="93" t="s">
        <v>287</v>
      </c>
      <c r="B254" s="85" t="s">
        <v>2447</v>
      </c>
      <c r="C254" s="86">
        <v>0.15</v>
      </c>
      <c r="D254" s="86">
        <v>0.15</v>
      </c>
      <c r="E254" s="86">
        <v>0.15</v>
      </c>
      <c r="F254" s="86">
        <v>0.15</v>
      </c>
      <c r="G254" s="98">
        <v>0.15</v>
      </c>
    </row>
    <row r="255" spans="1:7">
      <c r="A255" s="93" t="s">
        <v>287</v>
      </c>
      <c r="B255" s="85" t="s">
        <v>2455</v>
      </c>
      <c r="C255" s="86">
        <v>0.14299999999999999</v>
      </c>
      <c r="D255" s="86">
        <v>0.14299999999999999</v>
      </c>
      <c r="E255" s="86">
        <v>0.15</v>
      </c>
      <c r="F255" s="86">
        <v>0.15</v>
      </c>
      <c r="G255" s="98">
        <v>0.14499999999999999</v>
      </c>
    </row>
    <row r="256" spans="1:7">
      <c r="A256" s="93" t="s">
        <v>287</v>
      </c>
      <c r="B256" s="85" t="s">
        <v>2463</v>
      </c>
      <c r="C256" s="86">
        <v>0.15</v>
      </c>
      <c r="D256" s="86">
        <v>0.15</v>
      </c>
      <c r="E256" s="86">
        <v>0.15</v>
      </c>
      <c r="F256" s="86">
        <v>0.14599999999999999</v>
      </c>
      <c r="G256" s="98">
        <v>0.15</v>
      </c>
    </row>
    <row r="257" spans="1:7">
      <c r="A257" s="93" t="s">
        <v>287</v>
      </c>
      <c r="B257" s="85" t="s">
        <v>2471</v>
      </c>
      <c r="C257" s="86">
        <v>0.14199999999999999</v>
      </c>
      <c r="D257" s="86">
        <v>0.14299999999999999</v>
      </c>
      <c r="E257" s="86">
        <v>0.14799999999999999</v>
      </c>
      <c r="F257" s="86">
        <v>0.15</v>
      </c>
      <c r="G257" s="98">
        <v>0.14499999999999999</v>
      </c>
    </row>
    <row r="258" spans="1:7">
      <c r="A258" s="93" t="s">
        <v>287</v>
      </c>
      <c r="B258" s="85" t="s">
        <v>2478</v>
      </c>
      <c r="C258" s="86">
        <v>0.14299999999999999</v>
      </c>
      <c r="D258" s="86">
        <v>0.14299999999999999</v>
      </c>
      <c r="E258" s="86">
        <v>0.15</v>
      </c>
      <c r="F258" s="86">
        <v>0.14799999999999999</v>
      </c>
      <c r="G258" s="98">
        <v>0.14599999999999999</v>
      </c>
    </row>
    <row r="259" spans="1:7">
      <c r="A259" s="93" t="s">
        <v>287</v>
      </c>
      <c r="B259" s="85" t="s">
        <v>2485</v>
      </c>
      <c r="C259" s="86">
        <v>0.14399999999999999</v>
      </c>
      <c r="D259" s="86">
        <v>0.14399999999999999</v>
      </c>
      <c r="E259" s="86">
        <v>0.14899999999999999</v>
      </c>
      <c r="F259" s="86">
        <v>0.14699999999999999</v>
      </c>
      <c r="G259" s="98">
        <v>0.14599999999999999</v>
      </c>
    </row>
    <row r="260" spans="1:7">
      <c r="A260" s="93" t="s">
        <v>287</v>
      </c>
      <c r="B260" s="85" t="s">
        <v>2492</v>
      </c>
      <c r="C260" s="86">
        <v>0.109</v>
      </c>
      <c r="D260" s="86">
        <v>0.111</v>
      </c>
      <c r="E260" s="86">
        <v>0.13100000000000001</v>
      </c>
      <c r="F260" s="86">
        <v>0.126</v>
      </c>
      <c r="G260" s="98">
        <v>0.11899999999999999</v>
      </c>
    </row>
    <row r="261" spans="1:7">
      <c r="A261" s="93" t="s">
        <v>287</v>
      </c>
      <c r="B261" s="85" t="s">
        <v>2499</v>
      </c>
      <c r="C261" s="86">
        <v>0.1</v>
      </c>
      <c r="D261" s="86">
        <v>0.1</v>
      </c>
      <c r="E261" s="86">
        <v>0.11799999999999999</v>
      </c>
      <c r="F261" s="86">
        <v>0.108</v>
      </c>
      <c r="G261" s="98">
        <v>0.107</v>
      </c>
    </row>
    <row r="262" spans="1:7">
      <c r="A262" s="93" t="s">
        <v>287</v>
      </c>
      <c r="B262" s="85" t="s">
        <v>2506</v>
      </c>
      <c r="C262" s="86">
        <v>0.1</v>
      </c>
      <c r="D262" s="86">
        <v>0.1</v>
      </c>
      <c r="E262" s="86">
        <v>0.1</v>
      </c>
      <c r="F262" s="86">
        <v>0.14099999999999999</v>
      </c>
      <c r="G262" s="98">
        <v>0.1</v>
      </c>
    </row>
    <row r="263" spans="1:7">
      <c r="A263" s="93" t="s">
        <v>287</v>
      </c>
      <c r="B263" s="85" t="s">
        <v>2513</v>
      </c>
      <c r="C263" s="86">
        <v>0.14799999999999999</v>
      </c>
      <c r="D263" s="86">
        <v>0.14799999999999999</v>
      </c>
      <c r="E263" s="86">
        <v>0.15</v>
      </c>
      <c r="F263" s="86">
        <v>0.14699999999999999</v>
      </c>
      <c r="G263" s="98">
        <v>0.15</v>
      </c>
    </row>
    <row r="264" spans="1:7">
      <c r="A264" s="93" t="s">
        <v>287</v>
      </c>
      <c r="B264" s="85" t="s">
        <v>2520</v>
      </c>
      <c r="C264" s="86">
        <v>0.14299999999999999</v>
      </c>
      <c r="D264" s="86">
        <v>0.14299999999999999</v>
      </c>
      <c r="E264" s="86">
        <v>0.15</v>
      </c>
      <c r="F264" s="86">
        <v>0.14899999999999999</v>
      </c>
      <c r="G264" s="98">
        <v>0.14599999999999999</v>
      </c>
    </row>
    <row r="265" spans="1:7">
      <c r="A265" s="93" t="s">
        <v>287</v>
      </c>
      <c r="B265" s="85" t="s">
        <v>2527</v>
      </c>
      <c r="C265" s="94"/>
      <c r="D265" s="94"/>
      <c r="E265" s="94"/>
      <c r="F265" s="86">
        <v>0.05</v>
      </c>
      <c r="G265" s="104"/>
    </row>
    <row r="266" spans="1:7">
      <c r="A266" s="93" t="s">
        <v>287</v>
      </c>
      <c r="B266" s="85" t="s">
        <v>2532</v>
      </c>
      <c r="C266" s="94"/>
      <c r="D266" s="94"/>
      <c r="E266" s="94"/>
      <c r="F266" s="86">
        <v>0.05</v>
      </c>
      <c r="G266" s="104"/>
    </row>
    <row r="267" spans="1:7">
      <c r="A267" s="93" t="s">
        <v>287</v>
      </c>
      <c r="B267" s="85" t="s">
        <v>2537</v>
      </c>
      <c r="C267" s="94"/>
      <c r="D267" s="94"/>
      <c r="E267" s="94"/>
      <c r="F267" s="86">
        <v>0.05</v>
      </c>
      <c r="G267" s="104"/>
    </row>
    <row r="268" spans="1:7">
      <c r="A268" s="93" t="s">
        <v>287</v>
      </c>
      <c r="B268" s="85" t="s">
        <v>2542</v>
      </c>
      <c r="C268" s="94"/>
      <c r="D268" s="94"/>
      <c r="E268" s="94"/>
      <c r="F268" s="86">
        <v>0.05</v>
      </c>
      <c r="G268" s="104"/>
    </row>
    <row r="269" spans="1:7">
      <c r="A269" s="93" t="s">
        <v>287</v>
      </c>
      <c r="B269" s="85" t="s">
        <v>2547</v>
      </c>
      <c r="C269" s="94"/>
      <c r="D269" s="94"/>
      <c r="E269" s="94"/>
      <c r="F269" s="86">
        <v>0.05</v>
      </c>
      <c r="G269" s="104"/>
    </row>
    <row r="270" spans="1:7">
      <c r="A270" s="93" t="s">
        <v>287</v>
      </c>
      <c r="B270" s="85" t="s">
        <v>2552</v>
      </c>
      <c r="C270" s="94"/>
      <c r="D270" s="94"/>
      <c r="E270" s="94"/>
      <c r="F270" s="86">
        <v>0.05</v>
      </c>
      <c r="G270" s="104"/>
    </row>
    <row r="271" spans="1:7">
      <c r="A271" s="93" t="s">
        <v>287</v>
      </c>
      <c r="B271" s="85" t="s">
        <v>2557</v>
      </c>
      <c r="C271" s="94"/>
      <c r="D271" s="94"/>
      <c r="E271" s="94"/>
      <c r="F271" s="86">
        <v>0.05</v>
      </c>
      <c r="G271" s="104"/>
    </row>
    <row r="272" spans="1:7">
      <c r="A272" s="93" t="s">
        <v>287</v>
      </c>
      <c r="B272" s="85" t="s">
        <v>2562</v>
      </c>
      <c r="C272" s="94"/>
      <c r="D272" s="94"/>
      <c r="E272" s="94"/>
      <c r="F272" s="86">
        <v>0.05</v>
      </c>
      <c r="G272" s="104"/>
    </row>
    <row r="273" spans="1:7">
      <c r="A273" s="93" t="s">
        <v>287</v>
      </c>
      <c r="B273" s="85" t="s">
        <v>2567</v>
      </c>
      <c r="C273" s="94"/>
      <c r="D273" s="94"/>
      <c r="E273" s="94"/>
      <c r="F273" s="86">
        <v>0.05</v>
      </c>
      <c r="G273" s="104"/>
    </row>
    <row r="274" spans="1:7">
      <c r="A274" s="93" t="s">
        <v>287</v>
      </c>
      <c r="B274" s="85" t="s">
        <v>2571</v>
      </c>
      <c r="C274" s="94"/>
      <c r="D274" s="94"/>
      <c r="E274" s="94"/>
      <c r="F274" s="86">
        <v>0.05</v>
      </c>
      <c r="G274" s="104"/>
    </row>
    <row r="275" spans="1:7">
      <c r="A275" s="93" t="s">
        <v>287</v>
      </c>
      <c r="B275" s="85" t="s">
        <v>2575</v>
      </c>
      <c r="C275" s="94"/>
      <c r="D275" s="94"/>
      <c r="E275" s="94"/>
      <c r="F275" s="86">
        <v>0.05</v>
      </c>
      <c r="G275" s="104"/>
    </row>
    <row r="276" spans="1:7">
      <c r="A276" s="95" t="s">
        <v>287</v>
      </c>
      <c r="B276" s="88" t="s">
        <v>2579</v>
      </c>
      <c r="C276" s="96"/>
      <c r="D276" s="96"/>
      <c r="E276" s="96"/>
      <c r="F276" s="89">
        <v>0.05</v>
      </c>
      <c r="G276" s="105"/>
    </row>
    <row r="277" spans="1:7">
      <c r="A277" s="92" t="s">
        <v>291</v>
      </c>
      <c r="B277" s="82" t="s">
        <v>2236</v>
      </c>
      <c r="C277" s="83">
        <v>0.15</v>
      </c>
      <c r="D277" s="83">
        <v>0.15</v>
      </c>
      <c r="E277" s="83">
        <v>0.15</v>
      </c>
      <c r="F277" s="83">
        <v>0.15</v>
      </c>
      <c r="G277" s="97">
        <v>0.15</v>
      </c>
    </row>
    <row r="278" spans="1:7">
      <c r="A278" s="93" t="s">
        <v>291</v>
      </c>
      <c r="B278" s="85" t="s">
        <v>2249</v>
      </c>
      <c r="C278" s="86">
        <v>0.15</v>
      </c>
      <c r="D278" s="86">
        <v>0.15</v>
      </c>
      <c r="E278" s="86">
        <v>0.15</v>
      </c>
      <c r="F278" s="86">
        <v>0.15</v>
      </c>
      <c r="G278" s="98">
        <v>0.15</v>
      </c>
    </row>
    <row r="279" spans="1:7">
      <c r="A279" s="93" t="s">
        <v>291</v>
      </c>
      <c r="B279" s="85" t="s">
        <v>2263</v>
      </c>
      <c r="C279" s="86">
        <v>0.15</v>
      </c>
      <c r="D279" s="86">
        <v>0.15</v>
      </c>
      <c r="E279" s="86">
        <v>0.15</v>
      </c>
      <c r="F279" s="86">
        <v>0.15</v>
      </c>
      <c r="G279" s="98">
        <v>0.15</v>
      </c>
    </row>
    <row r="280" spans="1:7">
      <c r="A280" s="93" t="s">
        <v>291</v>
      </c>
      <c r="B280" s="85" t="s">
        <v>2275</v>
      </c>
      <c r="C280" s="86">
        <v>0.15</v>
      </c>
      <c r="D280" s="86">
        <v>0.15</v>
      </c>
      <c r="E280" s="86">
        <v>0.15</v>
      </c>
      <c r="F280" s="86">
        <v>0.15</v>
      </c>
      <c r="G280" s="98">
        <v>0.15</v>
      </c>
    </row>
    <row r="281" spans="1:7">
      <c r="A281" s="93" t="s">
        <v>291</v>
      </c>
      <c r="B281" s="85" t="s">
        <v>2287</v>
      </c>
      <c r="C281" s="86">
        <v>0.15</v>
      </c>
      <c r="D281" s="86">
        <v>0.15</v>
      </c>
      <c r="E281" s="86">
        <v>0.15</v>
      </c>
      <c r="F281" s="86">
        <v>0.15</v>
      </c>
      <c r="G281" s="98">
        <v>0.15</v>
      </c>
    </row>
    <row r="282" spans="1:7">
      <c r="A282" s="93" t="s">
        <v>291</v>
      </c>
      <c r="B282" s="85" t="s">
        <v>2298</v>
      </c>
      <c r="C282" s="86">
        <v>0.15</v>
      </c>
      <c r="D282" s="86">
        <v>0.15</v>
      </c>
      <c r="E282" s="86">
        <v>0.15</v>
      </c>
      <c r="F282" s="86">
        <v>0.14499999999999999</v>
      </c>
      <c r="G282" s="98">
        <v>0.15</v>
      </c>
    </row>
    <row r="283" spans="1:7">
      <c r="A283" s="93" t="s">
        <v>291</v>
      </c>
      <c r="B283" s="85" t="s">
        <v>2309</v>
      </c>
      <c r="C283" s="86">
        <v>0.15</v>
      </c>
      <c r="D283" s="86">
        <v>0.15</v>
      </c>
      <c r="E283" s="86">
        <v>0.15</v>
      </c>
      <c r="F283" s="86">
        <v>0.14199999999999999</v>
      </c>
      <c r="G283" s="98">
        <v>0.15</v>
      </c>
    </row>
    <row r="284" spans="1:7">
      <c r="A284" s="93" t="s">
        <v>291</v>
      </c>
      <c r="B284" s="85" t="s">
        <v>2320</v>
      </c>
      <c r="C284" s="86">
        <v>0.15</v>
      </c>
      <c r="D284" s="86">
        <v>0.15</v>
      </c>
      <c r="E284" s="86">
        <v>0.15</v>
      </c>
      <c r="F284" s="86">
        <v>0.15</v>
      </c>
      <c r="G284" s="98">
        <v>0.15</v>
      </c>
    </row>
    <row r="285" spans="1:7">
      <c r="A285" s="93" t="s">
        <v>291</v>
      </c>
      <c r="B285" s="85" t="s">
        <v>2330</v>
      </c>
      <c r="C285" s="86">
        <v>0.15</v>
      </c>
      <c r="D285" s="86">
        <v>0.15</v>
      </c>
      <c r="E285" s="86">
        <v>0.15</v>
      </c>
      <c r="F285" s="86">
        <v>0.15</v>
      </c>
      <c r="G285" s="98">
        <v>0.15</v>
      </c>
    </row>
    <row r="286" spans="1:7">
      <c r="A286" s="93" t="s">
        <v>291</v>
      </c>
      <c r="B286" s="85" t="s">
        <v>2340</v>
      </c>
      <c r="C286" s="86">
        <v>0.14499999999999999</v>
      </c>
      <c r="D286" s="86">
        <v>0.14499999999999999</v>
      </c>
      <c r="E286" s="86">
        <v>0.15</v>
      </c>
      <c r="F286" s="86">
        <v>0.14099999999999999</v>
      </c>
      <c r="G286" s="98">
        <v>0.14499999999999999</v>
      </c>
    </row>
    <row r="287" spans="1:7">
      <c r="A287" s="93" t="s">
        <v>291</v>
      </c>
      <c r="B287" s="85" t="s">
        <v>2350</v>
      </c>
      <c r="C287" s="86">
        <v>0.11</v>
      </c>
      <c r="D287" s="86">
        <v>0.111</v>
      </c>
      <c r="E287" s="86">
        <v>0.14099999999999999</v>
      </c>
      <c r="F287" s="86">
        <v>0.11</v>
      </c>
      <c r="G287" s="98">
        <v>0.12</v>
      </c>
    </row>
    <row r="288" spans="1:7">
      <c r="A288" s="93" t="s">
        <v>291</v>
      </c>
      <c r="B288" s="85" t="s">
        <v>2360</v>
      </c>
      <c r="C288" s="86">
        <v>0.14199999999999999</v>
      </c>
      <c r="D288" s="86">
        <v>0.14299999999999999</v>
      </c>
      <c r="E288" s="86">
        <v>0.15</v>
      </c>
      <c r="F288" s="86">
        <v>0.14199999999999999</v>
      </c>
      <c r="G288" s="98">
        <v>0.14399999999999999</v>
      </c>
    </row>
    <row r="289" spans="1:7">
      <c r="A289" s="93" t="s">
        <v>291</v>
      </c>
      <c r="B289" s="85" t="s">
        <v>2370</v>
      </c>
      <c r="C289" s="86">
        <v>0.14299999999999999</v>
      </c>
      <c r="D289" s="86">
        <v>0.14299999999999999</v>
      </c>
      <c r="E289" s="86">
        <v>0.14799999999999999</v>
      </c>
      <c r="F289" s="86">
        <v>0.14399999999999999</v>
      </c>
      <c r="G289" s="98">
        <v>0.14399999999999999</v>
      </c>
    </row>
    <row r="290" spans="1:7">
      <c r="A290" s="93" t="s">
        <v>291</v>
      </c>
      <c r="B290" s="85" t="s">
        <v>2380</v>
      </c>
      <c r="C290" s="86">
        <v>0.14799999999999999</v>
      </c>
      <c r="D290" s="86">
        <v>0.14899999999999999</v>
      </c>
      <c r="E290" s="86">
        <v>0.15</v>
      </c>
      <c r="F290" s="86">
        <v>0.127</v>
      </c>
      <c r="G290" s="98">
        <v>0.15</v>
      </c>
    </row>
    <row r="291" spans="1:7">
      <c r="A291" s="93" t="s">
        <v>291</v>
      </c>
      <c r="B291" s="85" t="s">
        <v>2390</v>
      </c>
      <c r="C291" s="86">
        <v>0.15</v>
      </c>
      <c r="D291" s="86">
        <v>0.15</v>
      </c>
      <c r="E291" s="86">
        <v>0.15</v>
      </c>
      <c r="F291" s="86">
        <v>0.14899999999999999</v>
      </c>
      <c r="G291" s="98">
        <v>0.15</v>
      </c>
    </row>
    <row r="292" spans="1:7">
      <c r="A292" s="93" t="s">
        <v>291</v>
      </c>
      <c r="B292" s="85" t="s">
        <v>2400</v>
      </c>
      <c r="C292" s="86">
        <v>0.15</v>
      </c>
      <c r="D292" s="86">
        <v>0.15</v>
      </c>
      <c r="E292" s="86">
        <v>0.15</v>
      </c>
      <c r="F292" s="86">
        <v>0.14399999999999999</v>
      </c>
      <c r="G292" s="98">
        <v>0.15</v>
      </c>
    </row>
    <row r="293" spans="1:7">
      <c r="A293" s="93" t="s">
        <v>291</v>
      </c>
      <c r="B293" s="85" t="s">
        <v>2410</v>
      </c>
      <c r="C293" s="86">
        <v>0.15</v>
      </c>
      <c r="D293" s="86">
        <v>0.15</v>
      </c>
      <c r="E293" s="86">
        <v>0.15</v>
      </c>
      <c r="F293" s="86">
        <v>0.14499999999999999</v>
      </c>
      <c r="G293" s="98">
        <v>0.15</v>
      </c>
    </row>
    <row r="294" spans="1:7">
      <c r="A294" s="93" t="s">
        <v>291</v>
      </c>
      <c r="B294" s="85" t="s">
        <v>2420</v>
      </c>
      <c r="C294" s="86">
        <v>0.15</v>
      </c>
      <c r="D294" s="86">
        <v>0.15</v>
      </c>
      <c r="E294" s="86">
        <v>0.15</v>
      </c>
      <c r="F294" s="86">
        <v>0.14899999999999999</v>
      </c>
      <c r="G294" s="98">
        <v>0.15</v>
      </c>
    </row>
    <row r="295" spans="1:7">
      <c r="A295" s="93" t="s">
        <v>291</v>
      </c>
      <c r="B295" s="85" t="s">
        <v>2429</v>
      </c>
      <c r="C295" s="86">
        <v>0.15</v>
      </c>
      <c r="D295" s="86">
        <v>0.15</v>
      </c>
      <c r="E295" s="86">
        <v>0.15</v>
      </c>
      <c r="F295" s="86">
        <v>0.14799999999999999</v>
      </c>
      <c r="G295" s="98">
        <v>0.15</v>
      </c>
    </row>
    <row r="296" spans="1:7">
      <c r="A296" s="93" t="s">
        <v>291</v>
      </c>
      <c r="B296" s="85" t="s">
        <v>2439</v>
      </c>
      <c r="C296" s="86">
        <v>0.15</v>
      </c>
      <c r="D296" s="86">
        <v>0.15</v>
      </c>
      <c r="E296" s="86">
        <v>0.15</v>
      </c>
      <c r="F296" s="86">
        <v>0.14399999999999999</v>
      </c>
      <c r="G296" s="98">
        <v>0.15</v>
      </c>
    </row>
    <row r="297" spans="1:7">
      <c r="A297" s="93" t="s">
        <v>291</v>
      </c>
      <c r="B297" s="85" t="s">
        <v>2448</v>
      </c>
      <c r="C297" s="86">
        <v>0.15</v>
      </c>
      <c r="D297" s="86">
        <v>0.15</v>
      </c>
      <c r="E297" s="86">
        <v>0.15</v>
      </c>
      <c r="F297" s="86">
        <v>0.14499999999999999</v>
      </c>
      <c r="G297" s="98">
        <v>0.15</v>
      </c>
    </row>
    <row r="298" spans="1:7">
      <c r="A298" s="93" t="s">
        <v>291</v>
      </c>
      <c r="B298" s="85" t="s">
        <v>2456</v>
      </c>
      <c r="C298" s="86">
        <v>0.15</v>
      </c>
      <c r="D298" s="86">
        <v>0.15</v>
      </c>
      <c r="E298" s="86">
        <v>0.15</v>
      </c>
      <c r="F298" s="86">
        <v>0.15</v>
      </c>
      <c r="G298" s="98">
        <v>0.15</v>
      </c>
    </row>
    <row r="299" spans="1:7">
      <c r="A299" s="93" t="s">
        <v>291</v>
      </c>
      <c r="B299" s="106" t="s">
        <v>2464</v>
      </c>
      <c r="C299" s="86">
        <v>0.15</v>
      </c>
      <c r="D299" s="86">
        <v>0.15</v>
      </c>
      <c r="E299" s="86">
        <v>0.15</v>
      </c>
      <c r="F299" s="86">
        <v>0.14499999999999999</v>
      </c>
      <c r="G299" s="98">
        <v>0.15</v>
      </c>
    </row>
    <row r="300" spans="1:7">
      <c r="A300" s="93" t="s">
        <v>291</v>
      </c>
      <c r="B300" s="106" t="s">
        <v>2472</v>
      </c>
      <c r="C300" s="86">
        <v>0.15</v>
      </c>
      <c r="D300" s="86">
        <v>0.15</v>
      </c>
      <c r="E300" s="86">
        <v>0.15</v>
      </c>
      <c r="F300" s="86">
        <v>0.14599999999999999</v>
      </c>
      <c r="G300" s="98">
        <v>0.15</v>
      </c>
    </row>
    <row r="301" spans="1:7">
      <c r="A301" s="93" t="s">
        <v>291</v>
      </c>
      <c r="B301" s="106" t="s">
        <v>2479</v>
      </c>
      <c r="C301" s="86">
        <v>0.126</v>
      </c>
      <c r="D301" s="86">
        <v>0.124</v>
      </c>
      <c r="E301" s="86">
        <v>0.14099999999999999</v>
      </c>
      <c r="F301" s="86">
        <v>0.14399999999999999</v>
      </c>
      <c r="G301" s="98">
        <v>0.13</v>
      </c>
    </row>
    <row r="302" spans="1:7">
      <c r="A302" s="93" t="s">
        <v>291</v>
      </c>
      <c r="B302" s="85" t="s">
        <v>2486</v>
      </c>
      <c r="C302" s="86">
        <v>0.15</v>
      </c>
      <c r="D302" s="86">
        <v>0.15</v>
      </c>
      <c r="E302" s="86">
        <v>0.15</v>
      </c>
      <c r="F302" s="86">
        <v>0.14699999999999999</v>
      </c>
      <c r="G302" s="98">
        <v>0.15</v>
      </c>
    </row>
    <row r="303" spans="1:7">
      <c r="A303" s="93" t="s">
        <v>291</v>
      </c>
      <c r="B303" s="85" t="s">
        <v>2493</v>
      </c>
      <c r="C303" s="86">
        <v>0.15</v>
      </c>
      <c r="D303" s="86">
        <v>0.15</v>
      </c>
      <c r="E303" s="86">
        <v>0.15</v>
      </c>
      <c r="F303" s="86">
        <v>0.14199999999999999</v>
      </c>
      <c r="G303" s="98">
        <v>0.15</v>
      </c>
    </row>
    <row r="304" spans="1:7">
      <c r="A304" s="93" t="s">
        <v>291</v>
      </c>
      <c r="B304" s="85" t="s">
        <v>2500</v>
      </c>
      <c r="C304" s="86">
        <v>0.15</v>
      </c>
      <c r="D304" s="86">
        <v>0.15</v>
      </c>
      <c r="E304" s="86">
        <v>0.15</v>
      </c>
      <c r="F304" s="86">
        <v>0.14499999999999999</v>
      </c>
      <c r="G304" s="98">
        <v>0.15</v>
      </c>
    </row>
    <row r="305" spans="1:7">
      <c r="A305" s="93" t="s">
        <v>291</v>
      </c>
      <c r="B305" s="85" t="s">
        <v>2507</v>
      </c>
      <c r="C305" s="86">
        <v>0.15</v>
      </c>
      <c r="D305" s="86">
        <v>0.15</v>
      </c>
      <c r="E305" s="86">
        <v>0.15</v>
      </c>
      <c r="F305" s="86">
        <v>0.111</v>
      </c>
      <c r="G305" s="98">
        <v>0.15</v>
      </c>
    </row>
    <row r="306" spans="1:7">
      <c r="A306" s="93" t="s">
        <v>291</v>
      </c>
      <c r="B306" s="85" t="s">
        <v>2514</v>
      </c>
      <c r="C306" s="86">
        <v>0.15</v>
      </c>
      <c r="D306" s="86">
        <v>0.15</v>
      </c>
      <c r="E306" s="86">
        <v>0.15</v>
      </c>
      <c r="F306" s="86">
        <v>0.126</v>
      </c>
      <c r="G306" s="98">
        <v>0.15</v>
      </c>
    </row>
    <row r="307" spans="1:7">
      <c r="A307" s="93" t="s">
        <v>291</v>
      </c>
      <c r="B307" s="85" t="s">
        <v>2521</v>
      </c>
      <c r="C307" s="86">
        <v>0.15</v>
      </c>
      <c r="D307" s="86">
        <v>0.15</v>
      </c>
      <c r="E307" s="86">
        <v>0.15</v>
      </c>
      <c r="F307" s="86">
        <v>0.12</v>
      </c>
      <c r="G307" s="98">
        <v>0.15</v>
      </c>
    </row>
    <row r="308" spans="1:7">
      <c r="A308" s="93" t="s">
        <v>291</v>
      </c>
      <c r="B308" s="85" t="s">
        <v>2528</v>
      </c>
      <c r="C308" s="86">
        <v>0.15</v>
      </c>
      <c r="D308" s="86">
        <v>0.15</v>
      </c>
      <c r="E308" s="86">
        <v>0.15</v>
      </c>
      <c r="F308" s="86">
        <v>0.13</v>
      </c>
      <c r="G308" s="98">
        <v>0.15</v>
      </c>
    </row>
    <row r="309" spans="1:7">
      <c r="A309" s="93" t="s">
        <v>291</v>
      </c>
      <c r="B309" s="85" t="s">
        <v>2533</v>
      </c>
      <c r="C309" s="86">
        <v>0.15</v>
      </c>
      <c r="D309" s="86">
        <v>0.15</v>
      </c>
      <c r="E309" s="86">
        <v>0.15</v>
      </c>
      <c r="F309" s="86">
        <v>0.14099999999999999</v>
      </c>
      <c r="G309" s="98">
        <v>0.15</v>
      </c>
    </row>
    <row r="310" spans="1:7">
      <c r="A310" s="93" t="s">
        <v>291</v>
      </c>
      <c r="B310" s="85" t="s">
        <v>2538</v>
      </c>
      <c r="C310" s="86">
        <v>0.15</v>
      </c>
      <c r="D310" s="86">
        <v>0.15</v>
      </c>
      <c r="E310" s="86">
        <v>0.15</v>
      </c>
      <c r="F310" s="86">
        <v>0.15</v>
      </c>
      <c r="G310" s="98">
        <v>0.15</v>
      </c>
    </row>
    <row r="311" spans="1:7">
      <c r="A311" s="93" t="s">
        <v>291</v>
      </c>
      <c r="B311" s="85" t="s">
        <v>2543</v>
      </c>
      <c r="C311" s="86">
        <v>0.13200000000000001</v>
      </c>
      <c r="D311" s="86">
        <v>0.13300000000000001</v>
      </c>
      <c r="E311" s="86">
        <v>0.14499999999999999</v>
      </c>
      <c r="F311" s="86">
        <v>0.14199999999999999</v>
      </c>
      <c r="G311" s="98">
        <v>0.14000000000000001</v>
      </c>
    </row>
    <row r="312" spans="1:7">
      <c r="A312" s="93" t="s">
        <v>291</v>
      </c>
      <c r="B312" s="85" t="s">
        <v>2548</v>
      </c>
      <c r="C312" s="86">
        <v>0.13800000000000001</v>
      </c>
      <c r="D312" s="86">
        <v>0.14000000000000001</v>
      </c>
      <c r="E312" s="86">
        <v>0.14599999999999999</v>
      </c>
      <c r="F312" s="86">
        <v>0.14899999999999999</v>
      </c>
      <c r="G312" s="98">
        <v>0.14199999999999999</v>
      </c>
    </row>
    <row r="313" spans="1:7">
      <c r="A313" s="93" t="s">
        <v>291</v>
      </c>
      <c r="B313" s="85" t="s">
        <v>2553</v>
      </c>
      <c r="C313" s="86">
        <v>0.125</v>
      </c>
      <c r="D313" s="86">
        <v>0.127</v>
      </c>
      <c r="E313" s="86">
        <v>0.14399999999999999</v>
      </c>
      <c r="F313" s="86">
        <v>0.115</v>
      </c>
      <c r="G313" s="98">
        <v>0.13600000000000001</v>
      </c>
    </row>
    <row r="314" spans="1:7">
      <c r="A314" s="93" t="s">
        <v>291</v>
      </c>
      <c r="B314" s="85" t="s">
        <v>2558</v>
      </c>
      <c r="C314" s="103"/>
      <c r="D314" s="103"/>
      <c r="E314" s="103"/>
      <c r="F314" s="86">
        <v>0.05</v>
      </c>
      <c r="G314" s="104"/>
    </row>
    <row r="315" spans="1:7">
      <c r="A315" s="93" t="s">
        <v>291</v>
      </c>
      <c r="B315" s="85" t="s">
        <v>2563</v>
      </c>
      <c r="C315" s="103"/>
      <c r="D315" s="103"/>
      <c r="E315" s="103"/>
      <c r="F315" s="86">
        <v>0.05</v>
      </c>
      <c r="G315" s="104"/>
    </row>
    <row r="316" spans="1:7">
      <c r="A316" s="93" t="s">
        <v>291</v>
      </c>
      <c r="B316" s="85" t="s">
        <v>2568</v>
      </c>
      <c r="C316" s="94"/>
      <c r="D316" s="94"/>
      <c r="E316" s="94"/>
      <c r="F316" s="86">
        <v>0.05</v>
      </c>
      <c r="G316" s="104"/>
    </row>
    <row r="317" spans="1:7">
      <c r="A317" s="93" t="s">
        <v>291</v>
      </c>
      <c r="B317" s="85" t="s">
        <v>2572</v>
      </c>
      <c r="C317" s="94"/>
      <c r="D317" s="94"/>
      <c r="E317" s="94"/>
      <c r="F317" s="86">
        <v>0.05</v>
      </c>
      <c r="G317" s="104"/>
    </row>
    <row r="318" spans="1:7">
      <c r="A318" s="93" t="s">
        <v>291</v>
      </c>
      <c r="B318" s="85" t="s">
        <v>2576</v>
      </c>
      <c r="C318" s="94"/>
      <c r="D318" s="94"/>
      <c r="E318" s="94"/>
      <c r="F318" s="86">
        <v>0.05</v>
      </c>
      <c r="G318" s="104"/>
    </row>
    <row r="319" spans="1:7">
      <c r="A319" s="93" t="s">
        <v>291</v>
      </c>
      <c r="B319" s="85" t="s">
        <v>2580</v>
      </c>
      <c r="C319" s="94"/>
      <c r="D319" s="94"/>
      <c r="E319" s="94"/>
      <c r="F319" s="86">
        <v>0.05</v>
      </c>
      <c r="G319" s="104"/>
    </row>
    <row r="320" spans="1:7">
      <c r="A320" s="93" t="s">
        <v>291</v>
      </c>
      <c r="B320" s="85" t="s">
        <v>2583</v>
      </c>
      <c r="C320" s="94"/>
      <c r="D320" s="94"/>
      <c r="E320" s="94"/>
      <c r="F320" s="86">
        <v>0.05</v>
      </c>
      <c r="G320" s="104"/>
    </row>
    <row r="321" spans="1:7">
      <c r="A321" s="93" t="s">
        <v>291</v>
      </c>
      <c r="B321" s="85" t="s">
        <v>2585</v>
      </c>
      <c r="C321" s="94"/>
      <c r="D321" s="94"/>
      <c r="E321" s="94"/>
      <c r="F321" s="86">
        <v>0.05</v>
      </c>
      <c r="G321" s="104"/>
    </row>
    <row r="322" spans="1:7">
      <c r="A322" s="93" t="s">
        <v>291</v>
      </c>
      <c r="B322" s="85" t="s">
        <v>2587</v>
      </c>
      <c r="C322" s="94"/>
      <c r="D322" s="94"/>
      <c r="E322" s="94"/>
      <c r="F322" s="86">
        <v>0.05</v>
      </c>
      <c r="G322" s="104"/>
    </row>
    <row r="323" spans="1:7">
      <c r="A323" s="93" t="s">
        <v>291</v>
      </c>
      <c r="B323" s="85" t="s">
        <v>2589</v>
      </c>
      <c r="C323" s="94"/>
      <c r="D323" s="94"/>
      <c r="E323" s="94"/>
      <c r="F323" s="86">
        <v>0.05</v>
      </c>
      <c r="G323" s="104"/>
    </row>
    <row r="324" spans="1:7">
      <c r="A324" s="93" t="s">
        <v>291</v>
      </c>
      <c r="B324" s="85" t="s">
        <v>2591</v>
      </c>
      <c r="C324" s="94"/>
      <c r="D324" s="94"/>
      <c r="E324" s="94"/>
      <c r="F324" s="86">
        <v>0.05</v>
      </c>
      <c r="G324" s="104"/>
    </row>
    <row r="325" spans="1:7">
      <c r="A325" s="93" t="s">
        <v>291</v>
      </c>
      <c r="B325" s="85" t="s">
        <v>2593</v>
      </c>
      <c r="C325" s="94"/>
      <c r="D325" s="94"/>
      <c r="E325" s="94"/>
      <c r="F325" s="86">
        <v>0.05</v>
      </c>
      <c r="G325" s="104"/>
    </row>
    <row r="326" spans="1:7">
      <c r="A326" s="95" t="s">
        <v>291</v>
      </c>
      <c r="B326" s="88" t="s">
        <v>2595</v>
      </c>
      <c r="C326" s="96"/>
      <c r="D326" s="96"/>
      <c r="E326" s="96"/>
      <c r="F326" s="89">
        <v>0.05</v>
      </c>
      <c r="G326" s="105"/>
    </row>
    <row r="327" spans="1:7">
      <c r="A327" s="92" t="s">
        <v>294</v>
      </c>
      <c r="B327" s="82" t="s">
        <v>2237</v>
      </c>
      <c r="C327" s="83">
        <v>0.15</v>
      </c>
      <c r="D327" s="83">
        <v>0.15</v>
      </c>
      <c r="E327" s="83">
        <v>0.15</v>
      </c>
      <c r="F327" s="83">
        <v>0.15</v>
      </c>
      <c r="G327" s="97">
        <v>0.15</v>
      </c>
    </row>
    <row r="328" spans="1:7">
      <c r="A328" s="93" t="s">
        <v>294</v>
      </c>
      <c r="B328" s="85" t="s">
        <v>2250</v>
      </c>
      <c r="C328" s="86">
        <v>0.15</v>
      </c>
      <c r="D328" s="86">
        <v>0.15</v>
      </c>
      <c r="E328" s="86">
        <v>0.15</v>
      </c>
      <c r="F328" s="86">
        <v>0.126</v>
      </c>
      <c r="G328" s="98">
        <v>0.15</v>
      </c>
    </row>
    <row r="329" spans="1:7">
      <c r="A329" s="93" t="s">
        <v>294</v>
      </c>
      <c r="B329" s="85" t="s">
        <v>2264</v>
      </c>
      <c r="C329" s="86">
        <v>0.15</v>
      </c>
      <c r="D329" s="86">
        <v>0.15</v>
      </c>
      <c r="E329" s="86">
        <v>0.15</v>
      </c>
      <c r="F329" s="86">
        <v>0.15</v>
      </c>
      <c r="G329" s="98">
        <v>0.15</v>
      </c>
    </row>
    <row r="330" spans="1:7">
      <c r="A330" s="93" t="s">
        <v>294</v>
      </c>
      <c r="B330" s="85" t="s">
        <v>2276</v>
      </c>
      <c r="C330" s="86">
        <v>0.15</v>
      </c>
      <c r="D330" s="86">
        <v>0.15</v>
      </c>
      <c r="E330" s="86">
        <v>0.15</v>
      </c>
      <c r="F330" s="86">
        <v>0.15</v>
      </c>
      <c r="G330" s="98">
        <v>0.15</v>
      </c>
    </row>
    <row r="331" spans="1:7">
      <c r="A331" s="93" t="s">
        <v>294</v>
      </c>
      <c r="B331" s="85" t="s">
        <v>2288</v>
      </c>
      <c r="C331" s="86">
        <v>0.15</v>
      </c>
      <c r="D331" s="86">
        <v>0.15</v>
      </c>
      <c r="E331" s="86">
        <v>0.15</v>
      </c>
      <c r="F331" s="86">
        <v>0.15</v>
      </c>
      <c r="G331" s="98">
        <v>0.15</v>
      </c>
    </row>
    <row r="332" spans="1:7">
      <c r="A332" s="93" t="s">
        <v>294</v>
      </c>
      <c r="B332" s="85" t="s">
        <v>2299</v>
      </c>
      <c r="C332" s="86">
        <v>0.15</v>
      </c>
      <c r="D332" s="86">
        <v>0.15</v>
      </c>
      <c r="E332" s="86">
        <v>0.15</v>
      </c>
      <c r="F332" s="86">
        <v>0.15</v>
      </c>
      <c r="G332" s="98">
        <v>0.15</v>
      </c>
    </row>
    <row r="333" spans="1:7">
      <c r="A333" s="93" t="s">
        <v>294</v>
      </c>
      <c r="B333" s="85" t="s">
        <v>2310</v>
      </c>
      <c r="C333" s="86">
        <v>0.14899999999999999</v>
      </c>
      <c r="D333" s="86">
        <v>0.14899999999999999</v>
      </c>
      <c r="E333" s="86">
        <v>0.15</v>
      </c>
      <c r="F333" s="86">
        <v>0.11600000000000001</v>
      </c>
      <c r="G333" s="98">
        <v>0.15</v>
      </c>
    </row>
    <row r="334" spans="1:7">
      <c r="A334" s="93" t="s">
        <v>294</v>
      </c>
      <c r="B334" s="85" t="s">
        <v>2321</v>
      </c>
      <c r="C334" s="86">
        <v>0.15</v>
      </c>
      <c r="D334" s="86">
        <v>0.15</v>
      </c>
      <c r="E334" s="86">
        <v>0.15</v>
      </c>
      <c r="F334" s="86">
        <v>0.13</v>
      </c>
      <c r="G334" s="98">
        <v>0.15</v>
      </c>
    </row>
    <row r="335" spans="1:7">
      <c r="A335" s="93" t="s">
        <v>294</v>
      </c>
      <c r="B335" s="85" t="s">
        <v>2331</v>
      </c>
      <c r="C335" s="86">
        <v>0.15</v>
      </c>
      <c r="D335" s="86">
        <v>0.15</v>
      </c>
      <c r="E335" s="86">
        <v>0.15</v>
      </c>
      <c r="F335" s="86">
        <v>0.14399999999999999</v>
      </c>
      <c r="G335" s="98">
        <v>0.15</v>
      </c>
    </row>
    <row r="336" spans="1:7">
      <c r="A336" s="93" t="s">
        <v>294</v>
      </c>
      <c r="B336" s="85" t="s">
        <v>2341</v>
      </c>
      <c r="C336" s="86">
        <v>0.15</v>
      </c>
      <c r="D336" s="86">
        <v>0.15</v>
      </c>
      <c r="E336" s="86">
        <v>0.15</v>
      </c>
      <c r="F336" s="86">
        <v>0.14199999999999999</v>
      </c>
      <c r="G336" s="98">
        <v>0.15</v>
      </c>
    </row>
    <row r="337" spans="1:7">
      <c r="A337" s="93" t="s">
        <v>294</v>
      </c>
      <c r="B337" s="85" t="s">
        <v>2351</v>
      </c>
      <c r="C337" s="86">
        <v>0.15</v>
      </c>
      <c r="D337" s="86">
        <v>0.15</v>
      </c>
      <c r="E337" s="86">
        <v>0.15</v>
      </c>
      <c r="F337" s="86">
        <v>0.14499999999999999</v>
      </c>
      <c r="G337" s="98">
        <v>0.15</v>
      </c>
    </row>
    <row r="338" spans="1:7">
      <c r="A338" s="93" t="s">
        <v>294</v>
      </c>
      <c r="B338" s="85" t="s">
        <v>2361</v>
      </c>
      <c r="C338" s="86">
        <v>0.15</v>
      </c>
      <c r="D338" s="86">
        <v>0.15</v>
      </c>
      <c r="E338" s="86">
        <v>0.15</v>
      </c>
      <c r="F338" s="86">
        <v>0.15</v>
      </c>
      <c r="G338" s="98">
        <v>0.15</v>
      </c>
    </row>
    <row r="339" spans="1:7">
      <c r="A339" s="93" t="s">
        <v>294</v>
      </c>
      <c r="B339" s="85" t="s">
        <v>2371</v>
      </c>
      <c r="C339" s="86">
        <v>0.15</v>
      </c>
      <c r="D339" s="86">
        <v>0.15</v>
      </c>
      <c r="E339" s="86">
        <v>0.15</v>
      </c>
      <c r="F339" s="86">
        <v>0.14699999999999999</v>
      </c>
      <c r="G339" s="98">
        <v>0.15</v>
      </c>
    </row>
    <row r="340" spans="1:7">
      <c r="A340" s="93" t="s">
        <v>294</v>
      </c>
      <c r="B340" s="85" t="s">
        <v>2381</v>
      </c>
      <c r="C340" s="86">
        <v>0.14599999999999999</v>
      </c>
      <c r="D340" s="86">
        <v>0.14599999999999999</v>
      </c>
      <c r="E340" s="86">
        <v>0.15</v>
      </c>
      <c r="F340" s="86">
        <v>0.14099999999999999</v>
      </c>
      <c r="G340" s="98">
        <v>0.14699999999999999</v>
      </c>
    </row>
    <row r="341" spans="1:7">
      <c r="A341" s="93" t="s">
        <v>294</v>
      </c>
      <c r="B341" s="85" t="s">
        <v>2391</v>
      </c>
      <c r="C341" s="86">
        <v>0.126</v>
      </c>
      <c r="D341" s="86">
        <v>0.124</v>
      </c>
      <c r="E341" s="86">
        <v>0.14099999999999999</v>
      </c>
      <c r="F341" s="86">
        <v>0.14399999999999999</v>
      </c>
      <c r="G341" s="98">
        <v>0.13</v>
      </c>
    </row>
    <row r="342" spans="1:7">
      <c r="A342" s="93" t="s">
        <v>294</v>
      </c>
      <c r="B342" s="85" t="s">
        <v>2401</v>
      </c>
      <c r="C342" s="86">
        <v>0.15</v>
      </c>
      <c r="D342" s="86">
        <v>0.15</v>
      </c>
      <c r="E342" s="86">
        <v>0.15</v>
      </c>
      <c r="F342" s="86">
        <v>0.14399999999999999</v>
      </c>
      <c r="G342" s="98">
        <v>0.15</v>
      </c>
    </row>
    <row r="343" spans="1:7">
      <c r="A343" s="93" t="s">
        <v>294</v>
      </c>
      <c r="B343" s="85" t="s">
        <v>2411</v>
      </c>
      <c r="C343" s="86">
        <v>0.15</v>
      </c>
      <c r="D343" s="86">
        <v>0.15</v>
      </c>
      <c r="E343" s="86">
        <v>0.15</v>
      </c>
      <c r="F343" s="86">
        <v>0.128</v>
      </c>
      <c r="G343" s="98">
        <v>0.15</v>
      </c>
    </row>
    <row r="344" spans="1:7">
      <c r="A344" s="93" t="s">
        <v>294</v>
      </c>
      <c r="B344" s="85" t="s">
        <v>2421</v>
      </c>
      <c r="C344" s="86">
        <v>0.15</v>
      </c>
      <c r="D344" s="86">
        <v>0.15</v>
      </c>
      <c r="E344" s="86">
        <v>0.15</v>
      </c>
      <c r="F344" s="86">
        <v>0.14799999999999999</v>
      </c>
      <c r="G344" s="98">
        <v>0.15</v>
      </c>
    </row>
    <row r="345" spans="1:7">
      <c r="A345" s="93" t="s">
        <v>294</v>
      </c>
      <c r="B345" s="85" t="s">
        <v>2430</v>
      </c>
      <c r="C345" s="86">
        <v>0.15</v>
      </c>
      <c r="D345" s="86">
        <v>0.15</v>
      </c>
      <c r="E345" s="86">
        <v>0.15</v>
      </c>
      <c r="F345" s="86">
        <v>0.13800000000000001</v>
      </c>
      <c r="G345" s="98">
        <v>0.15</v>
      </c>
    </row>
    <row r="346" spans="1:7">
      <c r="A346" s="93" t="s">
        <v>294</v>
      </c>
      <c r="B346" s="85" t="s">
        <v>2440</v>
      </c>
      <c r="C346" s="86">
        <v>0.15</v>
      </c>
      <c r="D346" s="86">
        <v>0.15</v>
      </c>
      <c r="E346" s="86">
        <v>0.15</v>
      </c>
      <c r="F346" s="86">
        <v>0.14399999999999999</v>
      </c>
      <c r="G346" s="98">
        <v>0.15</v>
      </c>
    </row>
    <row r="347" spans="1:7">
      <c r="A347" s="93" t="s">
        <v>294</v>
      </c>
      <c r="B347" s="85" t="s">
        <v>2449</v>
      </c>
      <c r="C347" s="86">
        <v>0.15</v>
      </c>
      <c r="D347" s="86">
        <v>0.15</v>
      </c>
      <c r="E347" s="86">
        <v>0.15</v>
      </c>
      <c r="F347" s="86">
        <v>0.14599999999999999</v>
      </c>
      <c r="G347" s="98">
        <v>0.15</v>
      </c>
    </row>
    <row r="348" spans="1:7">
      <c r="A348" s="93" t="s">
        <v>294</v>
      </c>
      <c r="B348" s="85" t="s">
        <v>2457</v>
      </c>
      <c r="C348" s="86">
        <v>0.15</v>
      </c>
      <c r="D348" s="86">
        <v>0.15</v>
      </c>
      <c r="E348" s="86">
        <v>0.15</v>
      </c>
      <c r="F348" s="86">
        <v>0.14399999999999999</v>
      </c>
      <c r="G348" s="98">
        <v>0.15</v>
      </c>
    </row>
    <row r="349" spans="1:7">
      <c r="A349" s="93" t="s">
        <v>294</v>
      </c>
      <c r="B349" s="85" t="s">
        <v>2465</v>
      </c>
      <c r="C349" s="86">
        <v>0.15</v>
      </c>
      <c r="D349" s="86">
        <v>0.15</v>
      </c>
      <c r="E349" s="86">
        <v>0.15</v>
      </c>
      <c r="F349" s="86">
        <v>0.15</v>
      </c>
      <c r="G349" s="98">
        <v>0.15</v>
      </c>
    </row>
    <row r="350" spans="1:7">
      <c r="A350" s="93" t="s">
        <v>294</v>
      </c>
      <c r="B350" s="85" t="s">
        <v>2473</v>
      </c>
      <c r="C350" s="86">
        <v>0.15</v>
      </c>
      <c r="D350" s="86">
        <v>0.15</v>
      </c>
      <c r="E350" s="86">
        <v>0.15</v>
      </c>
      <c r="F350" s="86">
        <v>0.14699999999999999</v>
      </c>
      <c r="G350" s="98">
        <v>0.15</v>
      </c>
    </row>
    <row r="351" spans="1:7">
      <c r="A351" s="93" t="s">
        <v>294</v>
      </c>
      <c r="B351" s="85" t="s">
        <v>2480</v>
      </c>
      <c r="C351" s="86">
        <v>0.15</v>
      </c>
      <c r="D351" s="86">
        <v>0.15</v>
      </c>
      <c r="E351" s="86">
        <v>0.15</v>
      </c>
      <c r="F351" s="86">
        <v>0.13</v>
      </c>
      <c r="G351" s="98">
        <v>0.15</v>
      </c>
    </row>
    <row r="352" spans="1:7">
      <c r="A352" s="93" t="s">
        <v>294</v>
      </c>
      <c r="B352" s="85" t="s">
        <v>2487</v>
      </c>
      <c r="C352" s="86">
        <v>0.15</v>
      </c>
      <c r="D352" s="86">
        <v>0.15</v>
      </c>
      <c r="E352" s="86">
        <v>0.15</v>
      </c>
      <c r="F352" s="86">
        <v>0.14599999999999999</v>
      </c>
      <c r="G352" s="98">
        <v>0.15</v>
      </c>
    </row>
    <row r="353" spans="1:7">
      <c r="A353" s="93" t="s">
        <v>294</v>
      </c>
      <c r="B353" s="85" t="s">
        <v>2494</v>
      </c>
      <c r="C353" s="86">
        <v>0.15</v>
      </c>
      <c r="D353" s="86">
        <v>0.15</v>
      </c>
      <c r="E353" s="86">
        <v>0.15</v>
      </c>
      <c r="F353" s="86">
        <v>0.14499999999999999</v>
      </c>
      <c r="G353" s="98">
        <v>0.15</v>
      </c>
    </row>
    <row r="354" spans="1:7">
      <c r="A354" s="93" t="s">
        <v>294</v>
      </c>
      <c r="B354" s="85" t="s">
        <v>2501</v>
      </c>
      <c r="C354" s="86">
        <v>0.15</v>
      </c>
      <c r="D354" s="86">
        <v>0.15</v>
      </c>
      <c r="E354" s="86">
        <v>0.15</v>
      </c>
      <c r="F354" s="86">
        <v>0.14099999999999999</v>
      </c>
      <c r="G354" s="98">
        <v>0.15</v>
      </c>
    </row>
    <row r="355" spans="1:7">
      <c r="A355" s="93" t="s">
        <v>294</v>
      </c>
      <c r="B355" s="85" t="s">
        <v>2508</v>
      </c>
      <c r="C355" s="86">
        <v>0.15</v>
      </c>
      <c r="D355" s="86">
        <v>0.15</v>
      </c>
      <c r="E355" s="86">
        <v>0.15</v>
      </c>
      <c r="F355" s="86">
        <v>0.15</v>
      </c>
      <c r="G355" s="98">
        <v>0.15</v>
      </c>
    </row>
    <row r="356" spans="1:7">
      <c r="A356" s="93" t="s">
        <v>294</v>
      </c>
      <c r="B356" s="85" t="s">
        <v>2515</v>
      </c>
      <c r="C356" s="86">
        <v>0.15</v>
      </c>
      <c r="D356" s="86">
        <v>0.15</v>
      </c>
      <c r="E356" s="86">
        <v>0.15</v>
      </c>
      <c r="F356" s="86">
        <v>0.15</v>
      </c>
      <c r="G356" s="98">
        <v>0.15</v>
      </c>
    </row>
    <row r="357" spans="1:7">
      <c r="A357" s="95" t="s">
        <v>294</v>
      </c>
      <c r="B357" s="88" t="s">
        <v>2522</v>
      </c>
      <c r="C357" s="89">
        <v>0.126</v>
      </c>
      <c r="D357" s="89">
        <v>0.127</v>
      </c>
      <c r="E357" s="89">
        <v>0.14299999999999999</v>
      </c>
      <c r="F357" s="89">
        <v>0.125</v>
      </c>
      <c r="G357" s="99">
        <v>0.129</v>
      </c>
    </row>
    <row r="358" spans="1:7">
      <c r="A358" s="92" t="s">
        <v>297</v>
      </c>
      <c r="B358" s="82" t="s">
        <v>2238</v>
      </c>
      <c r="C358" s="83">
        <v>0.15</v>
      </c>
      <c r="D358" s="83">
        <v>0.15</v>
      </c>
      <c r="E358" s="83">
        <v>0.15</v>
      </c>
      <c r="F358" s="83">
        <v>0.15</v>
      </c>
      <c r="G358" s="97">
        <v>0.15</v>
      </c>
    </row>
    <row r="359" spans="1:7">
      <c r="A359" s="93" t="s">
        <v>297</v>
      </c>
      <c r="B359" s="85" t="s">
        <v>2251</v>
      </c>
      <c r="C359" s="86">
        <v>0.1</v>
      </c>
      <c r="D359" s="86">
        <v>0.1</v>
      </c>
      <c r="E359" s="86">
        <v>0.1</v>
      </c>
      <c r="F359" s="86">
        <v>0.1</v>
      </c>
      <c r="G359" s="98">
        <v>0.1</v>
      </c>
    </row>
    <row r="360" spans="1:7">
      <c r="A360" s="93" t="s">
        <v>297</v>
      </c>
      <c r="B360" s="85" t="s">
        <v>2265</v>
      </c>
      <c r="C360" s="86">
        <v>0.15</v>
      </c>
      <c r="D360" s="86">
        <v>0.15</v>
      </c>
      <c r="E360" s="86">
        <v>0.15</v>
      </c>
      <c r="F360" s="86">
        <v>0.14899999999999999</v>
      </c>
      <c r="G360" s="98">
        <v>0.15</v>
      </c>
    </row>
    <row r="361" spans="1:7">
      <c r="A361" s="93" t="s">
        <v>297</v>
      </c>
      <c r="B361" s="85" t="s">
        <v>2277</v>
      </c>
      <c r="C361" s="86">
        <v>0.15</v>
      </c>
      <c r="D361" s="86">
        <v>0.15</v>
      </c>
      <c r="E361" s="86">
        <v>0.15</v>
      </c>
      <c r="F361" s="86">
        <v>0.115</v>
      </c>
      <c r="G361" s="98">
        <v>0.15</v>
      </c>
    </row>
    <row r="362" spans="1:7">
      <c r="A362" s="93" t="s">
        <v>297</v>
      </c>
      <c r="B362" s="85" t="s">
        <v>2289</v>
      </c>
      <c r="C362" s="86">
        <v>0.15</v>
      </c>
      <c r="D362" s="86">
        <v>0.15</v>
      </c>
      <c r="E362" s="86">
        <v>0.15</v>
      </c>
      <c r="F362" s="86">
        <v>0.106</v>
      </c>
      <c r="G362" s="98">
        <v>0.15</v>
      </c>
    </row>
    <row r="363" spans="1:7">
      <c r="A363" s="93" t="s">
        <v>297</v>
      </c>
      <c r="B363" s="85" t="s">
        <v>2300</v>
      </c>
      <c r="C363" s="86">
        <v>0.15</v>
      </c>
      <c r="D363" s="86">
        <v>0.15</v>
      </c>
      <c r="E363" s="86">
        <v>0.15</v>
      </c>
      <c r="F363" s="86">
        <v>0.14699999999999999</v>
      </c>
      <c r="G363" s="98">
        <v>0.15</v>
      </c>
    </row>
    <row r="364" spans="1:7">
      <c r="A364" s="93" t="s">
        <v>297</v>
      </c>
      <c r="B364" s="85" t="s">
        <v>2311</v>
      </c>
      <c r="C364" s="86">
        <v>0.15</v>
      </c>
      <c r="D364" s="86">
        <v>0.15</v>
      </c>
      <c r="E364" s="86">
        <v>0.15</v>
      </c>
      <c r="F364" s="86">
        <v>0.14799999999999999</v>
      </c>
      <c r="G364" s="98">
        <v>0.15</v>
      </c>
    </row>
    <row r="365" spans="1:7">
      <c r="A365" s="93" t="s">
        <v>297</v>
      </c>
      <c r="B365" s="85" t="s">
        <v>2322</v>
      </c>
      <c r="C365" s="86">
        <v>0.15</v>
      </c>
      <c r="D365" s="86">
        <v>0.15</v>
      </c>
      <c r="E365" s="86">
        <v>0.15</v>
      </c>
      <c r="F365" s="86">
        <v>0.15</v>
      </c>
      <c r="G365" s="98">
        <v>0.15</v>
      </c>
    </row>
    <row r="366" spans="1:7">
      <c r="A366" s="93" t="s">
        <v>297</v>
      </c>
      <c r="B366" s="85" t="s">
        <v>2332</v>
      </c>
      <c r="C366" s="86">
        <v>0.15</v>
      </c>
      <c r="D366" s="86">
        <v>0.15</v>
      </c>
      <c r="E366" s="86">
        <v>0.15</v>
      </c>
      <c r="F366" s="86">
        <v>0.15</v>
      </c>
      <c r="G366" s="98">
        <v>0.15</v>
      </c>
    </row>
    <row r="367" spans="1:7">
      <c r="A367" s="93" t="s">
        <v>297</v>
      </c>
      <c r="B367" s="85" t="s">
        <v>2342</v>
      </c>
      <c r="C367" s="86">
        <v>0.15</v>
      </c>
      <c r="D367" s="86">
        <v>0.15</v>
      </c>
      <c r="E367" s="86">
        <v>0.15</v>
      </c>
      <c r="F367" s="86">
        <v>0.14699999999999999</v>
      </c>
      <c r="G367" s="98">
        <v>0.15</v>
      </c>
    </row>
    <row r="368" spans="1:7">
      <c r="A368" s="93" t="s">
        <v>297</v>
      </c>
      <c r="B368" s="85" t="s">
        <v>2352</v>
      </c>
      <c r="C368" s="86">
        <v>0.15</v>
      </c>
      <c r="D368" s="86">
        <v>0.15</v>
      </c>
      <c r="E368" s="86">
        <v>0.15</v>
      </c>
      <c r="F368" s="86">
        <v>0.13600000000000001</v>
      </c>
      <c r="G368" s="98">
        <v>0.15</v>
      </c>
    </row>
    <row r="369" spans="1:7">
      <c r="A369" s="93" t="s">
        <v>297</v>
      </c>
      <c r="B369" s="85" t="s">
        <v>2362</v>
      </c>
      <c r="C369" s="86">
        <v>0.15</v>
      </c>
      <c r="D369" s="86">
        <v>0.15</v>
      </c>
      <c r="E369" s="86">
        <v>0.15</v>
      </c>
      <c r="F369" s="86">
        <v>0.14399999999999999</v>
      </c>
      <c r="G369" s="98">
        <v>0.15</v>
      </c>
    </row>
    <row r="370" spans="1:7">
      <c r="A370" s="93" t="s">
        <v>297</v>
      </c>
      <c r="B370" s="85" t="s">
        <v>2372</v>
      </c>
      <c r="C370" s="86">
        <v>0.15</v>
      </c>
      <c r="D370" s="86">
        <v>0.15</v>
      </c>
      <c r="E370" s="86">
        <v>0.15</v>
      </c>
      <c r="F370" s="86">
        <v>0.14599999999999999</v>
      </c>
      <c r="G370" s="98">
        <v>0.15</v>
      </c>
    </row>
    <row r="371" spans="1:7">
      <c r="A371" s="93" t="s">
        <v>297</v>
      </c>
      <c r="B371" s="85" t="s">
        <v>2382</v>
      </c>
      <c r="C371" s="86">
        <v>0.15</v>
      </c>
      <c r="D371" s="86">
        <v>0.15</v>
      </c>
      <c r="E371" s="86">
        <v>0.15</v>
      </c>
      <c r="F371" s="86">
        <v>0.12</v>
      </c>
      <c r="G371" s="98">
        <v>0.15</v>
      </c>
    </row>
    <row r="372" spans="1:7">
      <c r="A372" s="93" t="s">
        <v>297</v>
      </c>
      <c r="B372" s="85" t="s">
        <v>2392</v>
      </c>
      <c r="C372" s="86">
        <v>0.15</v>
      </c>
      <c r="D372" s="86">
        <v>0.15</v>
      </c>
      <c r="E372" s="86">
        <v>0.15</v>
      </c>
      <c r="F372" s="86">
        <v>0.14299999999999999</v>
      </c>
      <c r="G372" s="98">
        <v>0.15</v>
      </c>
    </row>
    <row r="373" spans="1:7">
      <c r="A373" s="93" t="s">
        <v>297</v>
      </c>
      <c r="B373" s="85" t="s">
        <v>2402</v>
      </c>
      <c r="C373" s="86">
        <v>0.15</v>
      </c>
      <c r="D373" s="86">
        <v>0.15</v>
      </c>
      <c r="E373" s="86">
        <v>0.15</v>
      </c>
      <c r="F373" s="86">
        <v>0.14599999999999999</v>
      </c>
      <c r="G373" s="98">
        <v>0.15</v>
      </c>
    </row>
    <row r="374" spans="1:7">
      <c r="A374" s="93" t="s">
        <v>297</v>
      </c>
      <c r="B374" s="85" t="s">
        <v>2412</v>
      </c>
      <c r="C374" s="86">
        <v>0.15</v>
      </c>
      <c r="D374" s="86">
        <v>0.15</v>
      </c>
      <c r="E374" s="86">
        <v>0.15</v>
      </c>
      <c r="F374" s="86">
        <v>0.14399999999999999</v>
      </c>
      <c r="G374" s="98">
        <v>0.15</v>
      </c>
    </row>
    <row r="375" spans="1:7">
      <c r="A375" s="93" t="s">
        <v>297</v>
      </c>
      <c r="B375" s="85" t="s">
        <v>2422</v>
      </c>
      <c r="C375" s="86">
        <v>0.15</v>
      </c>
      <c r="D375" s="86">
        <v>0.15</v>
      </c>
      <c r="E375" s="86">
        <v>0.15</v>
      </c>
      <c r="F375" s="86">
        <v>0.13</v>
      </c>
      <c r="G375" s="98">
        <v>0.15</v>
      </c>
    </row>
    <row r="376" spans="1:7">
      <c r="A376" s="93" t="s">
        <v>297</v>
      </c>
      <c r="B376" s="85" t="s">
        <v>2431</v>
      </c>
      <c r="C376" s="86">
        <v>0.15</v>
      </c>
      <c r="D376" s="86">
        <v>0.15</v>
      </c>
      <c r="E376" s="86">
        <v>0.15</v>
      </c>
      <c r="F376" s="86">
        <v>0.14199999999999999</v>
      </c>
      <c r="G376" s="98">
        <v>0.15</v>
      </c>
    </row>
    <row r="377" spans="1:7">
      <c r="A377" s="95" t="s">
        <v>297</v>
      </c>
      <c r="B377" s="88" t="s">
        <v>2441</v>
      </c>
      <c r="C377" s="89">
        <v>0.15</v>
      </c>
      <c r="D377" s="89">
        <v>0.15</v>
      </c>
      <c r="E377" s="89">
        <v>0.15</v>
      </c>
      <c r="F377" s="89">
        <v>0.14000000000000001</v>
      </c>
      <c r="G377" s="99">
        <v>0.15</v>
      </c>
    </row>
    <row r="378" spans="1:7">
      <c r="A378" s="92" t="s">
        <v>300</v>
      </c>
      <c r="B378" s="82" t="s">
        <v>2239</v>
      </c>
      <c r="C378" s="83">
        <v>0.15</v>
      </c>
      <c r="D378" s="83">
        <v>0.15</v>
      </c>
      <c r="E378" s="83">
        <v>0.15</v>
      </c>
      <c r="F378" s="83">
        <v>0.107</v>
      </c>
      <c r="G378" s="97">
        <v>0.15</v>
      </c>
    </row>
    <row r="379" spans="1:7">
      <c r="A379" s="93" t="s">
        <v>300</v>
      </c>
      <c r="B379" s="85" t="s">
        <v>2252</v>
      </c>
      <c r="C379" s="86">
        <v>0.15</v>
      </c>
      <c r="D379" s="86">
        <v>0.15</v>
      </c>
      <c r="E379" s="86">
        <v>0.15</v>
      </c>
      <c r="F379" s="86">
        <v>0.115</v>
      </c>
      <c r="G379" s="98">
        <v>0.14899999999999999</v>
      </c>
    </row>
    <row r="380" spans="1:7">
      <c r="A380" s="93" t="s">
        <v>300</v>
      </c>
      <c r="B380" s="85" t="s">
        <v>2266</v>
      </c>
      <c r="C380" s="86">
        <v>0.15</v>
      </c>
      <c r="D380" s="86">
        <v>0.15</v>
      </c>
      <c r="E380" s="86">
        <v>0.15</v>
      </c>
      <c r="F380" s="86">
        <v>0.1</v>
      </c>
      <c r="G380" s="98">
        <v>0.14799999999999999</v>
      </c>
    </row>
    <row r="381" spans="1:7">
      <c r="A381" s="93" t="s">
        <v>300</v>
      </c>
      <c r="B381" s="85" t="s">
        <v>2278</v>
      </c>
      <c r="C381" s="86">
        <v>0.15</v>
      </c>
      <c r="D381" s="86">
        <v>0.15</v>
      </c>
      <c r="E381" s="86">
        <v>0.15</v>
      </c>
      <c r="F381" s="86">
        <v>0.126</v>
      </c>
      <c r="G381" s="98">
        <v>0.15</v>
      </c>
    </row>
    <row r="382" spans="1:7">
      <c r="A382" s="93" t="s">
        <v>300</v>
      </c>
      <c r="B382" s="85" t="s">
        <v>2290</v>
      </c>
      <c r="C382" s="86">
        <v>0.15</v>
      </c>
      <c r="D382" s="86">
        <v>0.15</v>
      </c>
      <c r="E382" s="86">
        <v>0.15</v>
      </c>
      <c r="F382" s="86">
        <v>0.15</v>
      </c>
      <c r="G382" s="98">
        <v>0.15</v>
      </c>
    </row>
    <row r="383" spans="1:7">
      <c r="A383" s="93" t="s">
        <v>300</v>
      </c>
      <c r="B383" s="85" t="s">
        <v>2301</v>
      </c>
      <c r="C383" s="86">
        <v>0.15</v>
      </c>
      <c r="D383" s="86">
        <v>0.15</v>
      </c>
      <c r="E383" s="86">
        <v>0.15</v>
      </c>
      <c r="F383" s="86">
        <v>0.14699999999999999</v>
      </c>
      <c r="G383" s="98">
        <v>0.15</v>
      </c>
    </row>
    <row r="384" spans="1:7">
      <c r="A384" s="107" t="s">
        <v>300</v>
      </c>
      <c r="B384" s="108" t="s">
        <v>2312</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2614</v>
      </c>
      <c r="C1" s="15">
        <f>项目基本情况!D3</f>
        <v>44904</v>
      </c>
      <c r="D1" s="14" t="s">
        <v>2615</v>
      </c>
      <c r="E1" s="52">
        <f>'数据-取费表'!B22</f>
        <v>0</v>
      </c>
      <c r="F1" s="14" t="s">
        <v>2616</v>
      </c>
      <c r="G1" s="52" t="e">
        <f ca="1">INDIRECT("d"&amp;$K$1)/100</f>
        <v>#VALUE!</v>
      </c>
      <c r="H1" s="14" t="s">
        <v>2617</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2616</v>
      </c>
      <c r="E2" s="16"/>
      <c r="F2" s="16" t="s">
        <v>2618</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2619</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2620</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2621</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2622</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2623</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2624</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2625</v>
      </c>
      <c r="C10" s="31"/>
      <c r="D10" s="31"/>
      <c r="E10" s="31"/>
      <c r="F10" s="31"/>
      <c r="G10" s="31"/>
      <c r="H10" s="31"/>
      <c r="I10" s="10"/>
      <c r="J10" s="10"/>
      <c r="K10" s="31"/>
      <c r="L10" s="32" t="s">
        <v>2626</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2627</v>
      </c>
      <c r="C11" s="35" t="s">
        <v>2628</v>
      </c>
      <c r="D11" s="36" t="s">
        <v>2629</v>
      </c>
      <c r="E11" s="60"/>
      <c r="F11" s="36" t="s">
        <v>2630</v>
      </c>
      <c r="G11" s="61"/>
      <c r="H11" s="60"/>
      <c r="I11" s="36" t="s">
        <v>2631</v>
      </c>
      <c r="J11" s="60"/>
      <c r="K11" s="33"/>
      <c r="L11" s="34" t="s">
        <v>2627</v>
      </c>
      <c r="M11" s="35" t="s">
        <v>2628</v>
      </c>
      <c r="N11" s="34" t="s">
        <v>2632</v>
      </c>
      <c r="O11" s="36" t="s">
        <v>2633</v>
      </c>
      <c r="P11" s="61"/>
      <c r="Q11" s="61"/>
      <c r="R11" s="61"/>
      <c r="S11" s="61"/>
      <c r="T11" s="60"/>
      <c r="U11" s="36" t="s">
        <v>2634</v>
      </c>
      <c r="V11" s="61"/>
      <c r="W11" s="60"/>
      <c r="X11" s="34" t="s">
        <v>2635</v>
      </c>
      <c r="Y11" s="34" t="s">
        <v>2636</v>
      </c>
      <c r="Z11" s="34" t="s">
        <v>2637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2638</v>
      </c>
      <c r="E12" s="39" t="s">
        <v>2620</v>
      </c>
      <c r="F12" s="39" t="s">
        <v>2621</v>
      </c>
      <c r="G12" s="39" t="s">
        <v>2622</v>
      </c>
      <c r="H12" s="39" t="s">
        <v>2623</v>
      </c>
      <c r="I12" s="64" t="s">
        <v>2639</v>
      </c>
      <c r="J12" s="64" t="s">
        <v>2639</v>
      </c>
      <c r="K12" s="33"/>
      <c r="L12" s="37"/>
      <c r="M12" s="38"/>
      <c r="N12" s="37"/>
      <c r="O12" s="64" t="s">
        <v>2640</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2641</v>
      </c>
      <c r="C13" s="42">
        <v>44581</v>
      </c>
      <c r="D13" s="43">
        <v>3.7</v>
      </c>
      <c r="E13" s="43">
        <f>D13</f>
        <v>3.7</v>
      </c>
      <c r="F13" s="43">
        <f>D13</f>
        <v>3.7</v>
      </c>
      <c r="G13" s="43">
        <f>D13</f>
        <v>3.7</v>
      </c>
      <c r="H13" s="43">
        <v>4.5999999999999996</v>
      </c>
      <c r="I13" s="43"/>
      <c r="J13" s="43"/>
      <c r="K13" s="40"/>
      <c r="L13" s="41" t="s">
        <v>2641</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2642</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2643</v>
      </c>
      <c r="Y42" s="44" t="s">
        <v>2643</v>
      </c>
      <c r="Z42" s="44" t="s">
        <v>2643</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2643</v>
      </c>
      <c r="Y43" s="44" t="s">
        <v>2643</v>
      </c>
      <c r="Z43" s="44" t="s">
        <v>2643</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2643</v>
      </c>
      <c r="Y44" s="44" t="s">
        <v>2643</v>
      </c>
      <c r="Z44" s="44" t="s">
        <v>2643</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2643</v>
      </c>
      <c r="Y45" s="44" t="s">
        <v>2643</v>
      </c>
      <c r="Z45" s="44" t="s">
        <v>2643</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2643</v>
      </c>
      <c r="Y46" s="44" t="s">
        <v>2643</v>
      </c>
      <c r="Z46" s="44" t="s">
        <v>2643</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2643</v>
      </c>
      <c r="Y47" s="44" t="s">
        <v>2643</v>
      </c>
      <c r="Z47" s="44" t="s">
        <v>2643</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2643</v>
      </c>
      <c r="Y48" s="44" t="s">
        <v>2643</v>
      </c>
      <c r="Z48" s="44" t="s">
        <v>2643</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2643</v>
      </c>
      <c r="Y49" s="44" t="s">
        <v>2643</v>
      </c>
      <c r="Z49" s="44" t="s">
        <v>2643</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2643</v>
      </c>
      <c r="Y50" s="44" t="s">
        <v>2643</v>
      </c>
      <c r="Z50" s="44" t="s">
        <v>2643</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2643</v>
      </c>
      <c r="V51" s="44" t="s">
        <v>2643</v>
      </c>
      <c r="W51" s="44" t="s">
        <v>2643</v>
      </c>
      <c r="X51" s="44" t="s">
        <v>2643</v>
      </c>
      <c r="Y51" s="44" t="s">
        <v>2643</v>
      </c>
      <c r="Z51" s="44" t="s">
        <v>2643</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2643</v>
      </c>
      <c r="J62" s="44" t="s">
        <v>2643</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2" t="s">
        <v>2644</v>
      </c>
      <c r="B1" s="3152"/>
      <c r="C1" s="3152"/>
      <c r="D1" s="3152"/>
      <c r="E1" s="3152"/>
      <c r="F1" s="3153"/>
    </row>
    <row r="2" spans="1:6">
      <c r="A2" s="2" t="s">
        <v>2645</v>
      </c>
    </row>
    <row r="3" spans="1:6">
      <c r="A3" s="2" t="s">
        <v>2646</v>
      </c>
      <c r="F3" s="6" t="s">
        <v>2647</v>
      </c>
    </row>
    <row r="4" spans="1:6">
      <c r="A4" s="3" t="s">
        <v>2648</v>
      </c>
      <c r="B4" s="3" t="s">
        <v>1564</v>
      </c>
      <c r="C4" s="3" t="s">
        <v>1770</v>
      </c>
      <c r="D4" s="3" t="s">
        <v>2649</v>
      </c>
      <c r="E4" s="3" t="s">
        <v>1772</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1" t="str">
        <f>IF(项目基本情况!B9="房地产市场价值","估价结果一览表","结果表-2")</f>
        <v>结果表-2</v>
      </c>
      <c r="B1" s="2841"/>
      <c r="C1" s="2841"/>
      <c r="D1" s="2841"/>
      <c r="E1" s="2841"/>
      <c r="F1" s="2841"/>
      <c r="G1" s="2841"/>
      <c r="H1" s="2841"/>
      <c r="I1" s="2841"/>
    </row>
    <row r="2" spans="1:9" ht="30" customHeight="1">
      <c r="A2" s="2842" t="s">
        <v>107</v>
      </c>
      <c r="B2" s="2842" t="s">
        <v>108</v>
      </c>
      <c r="C2" s="2842" t="s">
        <v>109</v>
      </c>
      <c r="D2" s="2842" t="str">
        <f>结果表!D116</f>
        <v>出让国有建设用地使用权价值</v>
      </c>
      <c r="E2" s="2842"/>
      <c r="F2" s="2842" t="str">
        <f>结果表!F116</f>
        <v>在建建筑物价值</v>
      </c>
      <c r="G2" s="2842"/>
      <c r="H2" s="2842" t="str">
        <f>IF(项目基本情况!B9="房地产市场价值","房地产市场价值","房地产价值")</f>
        <v>房地产价值</v>
      </c>
      <c r="I2" s="2842"/>
    </row>
    <row r="3" spans="1:9" ht="15.6">
      <c r="A3" s="2843"/>
      <c r="B3" s="2843"/>
      <c r="C3" s="2843"/>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3" t="s">
        <v>112</v>
      </c>
      <c r="B5" s="2843"/>
      <c r="C5" s="2843"/>
      <c r="D5" s="2843" t="e">
        <f ca="1">结果表!D119</f>
        <v>#REF!</v>
      </c>
      <c r="E5" s="2843"/>
      <c r="F5" s="2843" t="e">
        <f ca="1">结果表!F119</f>
        <v>#REF!</v>
      </c>
      <c r="G5" s="2843"/>
      <c r="H5" s="2843" t="e">
        <f ca="1">结果表!H119</f>
        <v>#REF!</v>
      </c>
      <c r="I5" s="2843"/>
    </row>
    <row r="6" spans="1:9" ht="15.6">
      <c r="A6" s="2844" t="str">
        <f>结果表!A120</f>
        <v>估价师知悉的法定优先受偿款</v>
      </c>
      <c r="B6" s="2844"/>
      <c r="C6" s="2844"/>
      <c r="D6" s="2844">
        <f>结果表!D120</f>
        <v>0</v>
      </c>
      <c r="E6" s="2844"/>
      <c r="F6" s="2844"/>
      <c r="G6" s="2844"/>
      <c r="H6" s="2844"/>
      <c r="I6" s="2844"/>
    </row>
    <row r="7" spans="1:9" ht="15">
      <c r="A7" s="2843" t="s">
        <v>112</v>
      </c>
      <c r="B7" s="2843"/>
      <c r="C7" s="2843"/>
      <c r="D7" s="2845" t="str">
        <f>结果表!D121</f>
        <v>零元整</v>
      </c>
      <c r="E7" s="2846"/>
      <c r="F7" s="2846"/>
      <c r="G7" s="2846"/>
      <c r="H7" s="2846"/>
      <c r="I7" s="2847"/>
    </row>
    <row r="8" spans="1:9" ht="15.6">
      <c r="A8" s="2844" t="str">
        <f>结果表!A122</f>
        <v>房地产抵押价值</v>
      </c>
      <c r="B8" s="2844"/>
      <c r="C8" s="2844"/>
      <c r="D8" s="2844" t="e">
        <f ca="1">结果表!D122</f>
        <v>#REF!</v>
      </c>
      <c r="E8" s="2844"/>
      <c r="F8" s="2844"/>
      <c r="G8" s="2844"/>
      <c r="H8" s="2844"/>
      <c r="I8" s="2844"/>
    </row>
    <row r="9" spans="1:9" ht="15">
      <c r="A9" s="2843" t="s">
        <v>112</v>
      </c>
      <c r="B9" s="2843"/>
      <c r="C9" s="2843"/>
      <c r="D9" s="2843" t="e">
        <f ca="1">结果表!D123</f>
        <v>#REF!</v>
      </c>
      <c r="E9" s="2843"/>
      <c r="F9" s="2843"/>
      <c r="G9" s="2843"/>
      <c r="H9" s="2843"/>
      <c r="I9" s="2843"/>
    </row>
    <row r="10" spans="1:9" ht="15.6">
      <c r="A10" s="2844" t="str">
        <f>结果表!A124</f>
        <v/>
      </c>
      <c r="B10" s="2844"/>
      <c r="C10" s="2844"/>
      <c r="D10" s="2844" t="str">
        <f>结果表!D124</f>
        <v>——</v>
      </c>
      <c r="E10" s="2844"/>
      <c r="F10" s="2844"/>
      <c r="G10" s="2844"/>
      <c r="H10" s="2844"/>
      <c r="I10" s="2844"/>
    </row>
    <row r="11" spans="1:9" ht="15">
      <c r="A11" s="2843" t="s">
        <v>112</v>
      </c>
      <c r="B11" s="2843"/>
      <c r="C11" s="2843"/>
      <c r="D11" s="2843" t="e">
        <f>结果表!D125</f>
        <v>#VALUE!</v>
      </c>
      <c r="E11" s="2843"/>
      <c r="F11" s="2843"/>
      <c r="G11" s="2843"/>
      <c r="H11" s="2843"/>
      <c r="I11" s="2843"/>
    </row>
    <row r="12" spans="1:9" ht="15.6">
      <c r="A12" s="2844" t="str">
        <f>结果表!A126</f>
        <v/>
      </c>
      <c r="B12" s="2844"/>
      <c r="C12" s="2844"/>
      <c r="D12" s="2844" t="str">
        <f>结果表!D126</f>
        <v>——</v>
      </c>
      <c r="E12" s="2844"/>
      <c r="F12" s="2844"/>
      <c r="G12" s="2844"/>
      <c r="H12" s="2844"/>
      <c r="I12" s="2844"/>
    </row>
    <row r="13" spans="1:9" ht="15">
      <c r="A13" s="2848" t="s">
        <v>112</v>
      </c>
      <c r="B13" s="2848"/>
      <c r="C13" s="2848"/>
      <c r="D13" s="2848" t="e">
        <f>结果表!D127</f>
        <v>#VALUE!</v>
      </c>
      <c r="E13" s="2848"/>
      <c r="F13" s="2848"/>
      <c r="G13" s="2848"/>
      <c r="H13" s="2848"/>
      <c r="I13" s="2848"/>
    </row>
    <row r="14" spans="1:9">
      <c r="A14" s="2849" t="s">
        <v>113</v>
      </c>
      <c r="B14" s="2849"/>
      <c r="C14" s="2849"/>
      <c r="D14" s="2849"/>
      <c r="E14" s="2849"/>
      <c r="F14" s="2849"/>
      <c r="G14" s="2849"/>
      <c r="H14" s="2849"/>
      <c r="I14" s="2849"/>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0" t="s">
        <v>114</v>
      </c>
      <c r="B1" s="2850"/>
      <c r="C1" s="2850"/>
      <c r="D1" s="2850"/>
    </row>
    <row r="2" spans="1:4" ht="17.399999999999999">
      <c r="A2" s="2851" t="s">
        <v>115</v>
      </c>
      <c r="B2" s="2851"/>
      <c r="C2" s="2851"/>
      <c r="D2" s="2851"/>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1" t="s">
        <v>121</v>
      </c>
      <c r="B6" s="2851"/>
      <c r="C6" s="2851"/>
      <c r="D6" s="2851"/>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52" t="s">
        <v>126</v>
      </c>
      <c r="B11" s="2853"/>
      <c r="C11" s="2853"/>
      <c r="D11" s="2853"/>
    </row>
    <row r="12" spans="1:4" ht="15.6">
      <c r="A12" s="28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4"/>
      <c r="C12" s="2854"/>
      <c r="D12" s="2854"/>
    </row>
    <row r="13" spans="1:4" ht="30" customHeight="1">
      <c r="A13" s="2853" t="str">
        <f>IF(项目基本情况!B8="抵押","3.抵押双方在办理抵押登记手续时，应使用本公司出具的正式《房地产评估报告》，特提醒报告使用者注意。","——")</f>
        <v>——</v>
      </c>
      <c r="B13" s="2854"/>
      <c r="C13" s="2854"/>
      <c r="D13" s="2854"/>
    </row>
    <row r="14" spans="1:4" ht="15.75" customHeight="1">
      <c r="A14" s="2853" t="str">
        <f>IF(项目基本情况!B8="抵押","4.本次评估估价师所知悉的法定优先受偿款情况说明如下：","——")</f>
        <v>——</v>
      </c>
      <c r="B14" s="2854"/>
      <c r="C14" s="2854"/>
      <c r="D14" s="2854"/>
    </row>
    <row r="15" spans="1:4" ht="42" customHeight="1">
      <c r="A15" s="2853" t="str">
        <f>IF(项目基本情况!B8="抵押","（1）"&amp;CONCATENATE(项目基本情况!L20,项目基本情况!L21,项目基本情况!L22),"——")</f>
        <v>——</v>
      </c>
      <c r="B15" s="2853"/>
      <c r="C15" s="2853"/>
      <c r="D15" s="2853"/>
    </row>
    <row r="16" spans="1:4" ht="30" customHeight="1">
      <c r="A16" s="2855" t="s">
        <v>127</v>
      </c>
      <c r="B16" s="2855"/>
      <c r="C16" s="2855"/>
      <c r="D16" s="2855"/>
    </row>
    <row r="17" spans="1:4" ht="144" customHeight="1">
      <c r="A17" s="2855" t="s">
        <v>128</v>
      </c>
      <c r="B17" s="2855"/>
      <c r="C17" s="2855"/>
      <c r="D17" s="2855"/>
    </row>
    <row r="18" spans="1:4" ht="15.75" customHeight="1">
      <c r="A18" s="2853" t="str">
        <f>IF(项目基本情况!B8="抵押",结果表!K120,"——")</f>
        <v>——</v>
      </c>
      <c r="B18" s="2853"/>
      <c r="C18" s="2853"/>
      <c r="D18" s="2853"/>
    </row>
    <row r="19" spans="1:4" ht="46.5" customHeight="1">
      <c r="A19" s="28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3"/>
      <c r="C19" s="2853"/>
      <c r="D19" s="2853"/>
    </row>
    <row r="20" spans="1:4" ht="57.75" customHeight="1">
      <c r="A20" s="28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3"/>
      <c r="C20" s="2853"/>
      <c r="D20" s="2853"/>
    </row>
    <row r="21" spans="1:4" ht="57.75" customHeight="1">
      <c r="A21" s="28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7"/>
      <c r="C21" s="2857"/>
      <c r="D21" s="2857"/>
    </row>
    <row r="22" spans="1:4" ht="18.75" customHeight="1">
      <c r="A22" s="2858" t="s">
        <v>129</v>
      </c>
      <c r="B22" s="2858"/>
      <c r="C22" s="2858"/>
      <c r="D22" s="2858"/>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56">
        <v>42551</v>
      </c>
      <c r="D31" s="2856"/>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1" t="s">
        <v>146</v>
      </c>
      <c r="B15" s="2866" t="s">
        <v>147</v>
      </c>
      <c r="C15" s="2860"/>
    </row>
    <row r="16" spans="1:7" ht="14.4">
      <c r="A16" s="2862"/>
      <c r="B16" s="2866" t="s">
        <v>148</v>
      </c>
      <c r="C16" s="2860"/>
    </row>
    <row r="17" spans="1:3" ht="14.4">
      <c r="A17" s="2862"/>
      <c r="B17" s="2865" t="s">
        <v>149</v>
      </c>
      <c r="C17" s="2755" t="s">
        <v>146</v>
      </c>
    </row>
    <row r="18" spans="1:3" ht="14.4">
      <c r="A18" s="2862"/>
      <c r="B18" s="2865"/>
      <c r="C18" s="2755" t="s">
        <v>150</v>
      </c>
    </row>
    <row r="19" spans="1:3" ht="14.4">
      <c r="A19" s="2862"/>
      <c r="B19" s="2865"/>
      <c r="C19" s="2755" t="s">
        <v>151</v>
      </c>
    </row>
    <row r="20" spans="1:3" ht="14.4">
      <c r="A20" s="2863"/>
      <c r="B20" s="2859" t="s">
        <v>152</v>
      </c>
      <c r="C20" s="2860"/>
    </row>
    <row r="21" spans="1:3" ht="14.4">
      <c r="A21" s="2756" t="s">
        <v>153</v>
      </c>
      <c r="B21" s="2757"/>
      <c r="C21" s="2758"/>
    </row>
    <row r="22" spans="1:3" ht="14.4">
      <c r="A22" s="2864" t="s">
        <v>154</v>
      </c>
      <c r="B22" s="2859" t="s">
        <v>155</v>
      </c>
      <c r="C22" s="2860"/>
    </row>
    <row r="23" spans="1:3" ht="14.4">
      <c r="A23" s="2864"/>
      <c r="B23" s="2859" t="s">
        <v>156</v>
      </c>
      <c r="C23" s="2860"/>
    </row>
    <row r="24" spans="1:3" ht="14.4">
      <c r="A24" s="2864"/>
      <c r="B24" s="2859" t="s">
        <v>157</v>
      </c>
      <c r="C24" s="2860"/>
    </row>
    <row r="25" spans="1:3" ht="14.4">
      <c r="A25" s="2864"/>
      <c r="B25" s="2865" t="s">
        <v>158</v>
      </c>
      <c r="C25" s="2755" t="s">
        <v>159</v>
      </c>
    </row>
    <row r="26" spans="1:3" ht="14.4">
      <c r="A26" s="2864"/>
      <c r="B26" s="2865"/>
      <c r="C26" s="2755" t="s">
        <v>160</v>
      </c>
    </row>
    <row r="27" spans="1:3" ht="14.4">
      <c r="A27" s="2864"/>
      <c r="B27" s="2865"/>
      <c r="C27" s="2755" t="s">
        <v>161</v>
      </c>
    </row>
    <row r="28" spans="1:3" ht="14.4">
      <c r="A28" s="2864"/>
      <c r="B28" s="2865"/>
      <c r="C28" s="2755" t="s">
        <v>162</v>
      </c>
    </row>
    <row r="29" spans="1:3" ht="14.4">
      <c r="A29" s="2864"/>
      <c r="B29" s="2865"/>
      <c r="C29" s="2755" t="s">
        <v>163</v>
      </c>
    </row>
    <row r="30" spans="1:3" ht="14.4">
      <c r="A30" s="2864"/>
      <c r="B30" s="2865"/>
      <c r="C30" s="2755" t="s">
        <v>164</v>
      </c>
    </row>
    <row r="31" spans="1:3" ht="14.4">
      <c r="A31" s="2864"/>
      <c r="B31" s="2865"/>
      <c r="C31" s="2755" t="s">
        <v>165</v>
      </c>
    </row>
    <row r="32" spans="1:3" ht="14.4">
      <c r="A32" s="2864"/>
      <c r="B32" s="2865"/>
      <c r="C32" s="2755" t="s">
        <v>166</v>
      </c>
    </row>
    <row r="33" spans="1:3" ht="14.4">
      <c r="A33" s="2864"/>
      <c r="B33" s="2865"/>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44907</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t="str">
        <f ca="1">IF(C4&lt;B2,"已过期",1119970066)</f>
        <v>已过期</v>
      </c>
      <c r="C4" s="2727">
        <v>44876</v>
      </c>
      <c r="D4" s="2728" t="str">
        <f ca="1">A4&amp;"（注册号："&amp;B4&amp;"）"</f>
        <v>梁津（注册号：已过期）</v>
      </c>
      <c r="E4" s="2735" t="s">
        <v>184</v>
      </c>
      <c r="F4" s="2725">
        <f ca="1">IF(G4&lt;B2,"已过期",96010014)</f>
        <v>96010014</v>
      </c>
      <c r="G4" s="2727">
        <v>47118</v>
      </c>
      <c r="H4" s="2736" t="str">
        <f ca="1">E4&amp;"（注册号："&amp;F4&amp;"）"</f>
        <v>梁津（注册号：96010014）</v>
      </c>
    </row>
    <row r="5" spans="1:8" ht="24" customHeight="1">
      <c r="A5" s="2725" t="s">
        <v>185</v>
      </c>
      <c r="B5" s="2725" t="str">
        <f ca="1">IF(C5&lt;B2,"已过期",1119970111)</f>
        <v>已过期</v>
      </c>
      <c r="C5" s="2727">
        <v>44876</v>
      </c>
      <c r="D5" s="2728" t="str">
        <f t="shared" ref="D5:D16" ca="1" si="0">A5&amp;"（注册号："&amp;B5&amp;"）"</f>
        <v>叶凌（注册号：已过期）</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t="str">
        <f ca="1">IF(C7&lt;B2,"已过期",1120000080)</f>
        <v>已过期</v>
      </c>
      <c r="C7" s="2727">
        <v>44876</v>
      </c>
      <c r="D7" s="2728" t="str">
        <f t="shared" ca="1" si="0"/>
        <v>欧红伟（注册号：已过期）</v>
      </c>
      <c r="E7" s="2735" t="s">
        <v>187</v>
      </c>
      <c r="F7" s="2725">
        <f ca="1">IF(G7&lt;B2,"已过期",2000110082)</f>
        <v>2000110082</v>
      </c>
      <c r="G7" s="2727">
        <v>46387</v>
      </c>
      <c r="H7" s="2736" t="str">
        <f t="shared" ca="1" si="1"/>
        <v>欧红伟（注册号：2000110082）</v>
      </c>
    </row>
    <row r="8" spans="1:8" ht="24" customHeight="1">
      <c r="A8" s="2725" t="s">
        <v>188</v>
      </c>
      <c r="B8" s="2725" t="str">
        <f ca="1">IF(C8&lt;B2,"已过期",1419970001)</f>
        <v>已过期</v>
      </c>
      <c r="C8" s="2727">
        <v>44899</v>
      </c>
      <c r="D8" s="2728" t="str">
        <f t="shared" ca="1" si="0"/>
        <v>吴薇（注册号：已过期）</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7" t="s">
        <v>196</v>
      </c>
      <c r="B17" s="2867"/>
      <c r="C17" s="2867"/>
      <c r="D17" s="2867"/>
      <c r="E17" s="2867"/>
      <c r="F17" s="2867"/>
      <c r="G17" s="2867"/>
      <c r="H17" s="2867"/>
    </row>
    <row r="18" spans="1:8" ht="24" customHeight="1">
      <c r="A18" s="2868" t="s">
        <v>197</v>
      </c>
      <c r="B18" s="2868"/>
      <c r="C18" s="2868"/>
      <c r="D18" s="2726"/>
      <c r="E18" s="2869" t="s">
        <v>198</v>
      </c>
      <c r="F18" s="2868"/>
      <c r="G18" s="2868"/>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2022-12-12T02:54:24Z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