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9"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D18" i="31"/>
  <c r="R6" i="1" l="1"/>
  <c r="D14" i="9"/>
  <c r="C33" i="33"/>
  <c r="B37" i="31"/>
  <c r="B38"/>
  <c r="B39"/>
  <c r="B40"/>
  <c r="B41"/>
  <c r="B36"/>
  <c r="A37"/>
  <c r="A38"/>
  <c r="A39"/>
  <c r="A40"/>
  <c r="A41"/>
  <c r="A36"/>
  <c r="B31"/>
  <c r="B32"/>
  <c r="B33"/>
  <c r="B34"/>
  <c r="B35"/>
  <c r="B30"/>
  <c r="A31"/>
  <c r="A32"/>
  <c r="A33"/>
  <c r="A34"/>
  <c r="A35"/>
  <c r="A30"/>
  <c r="B26"/>
  <c r="B27"/>
  <c r="B28"/>
  <c r="B29"/>
  <c r="B25"/>
  <c r="B24"/>
  <c r="A26"/>
  <c r="A27"/>
  <c r="A28"/>
  <c r="A29"/>
  <c r="A25"/>
  <c r="A24"/>
  <c r="Y6" i="1"/>
  <c r="F21" i="6"/>
  <c r="F20"/>
  <c r="F19"/>
  <c r="K13" i="3"/>
  <c r="I13"/>
  <c r="A3"/>
  <c r="F3" i="77"/>
  <c r="F4"/>
  <c r="F5"/>
  <c r="F6"/>
  <c r="F7"/>
  <c r="F8"/>
  <c r="F10"/>
  <c r="F11"/>
  <c r="F12"/>
  <c r="F13"/>
  <c r="F14"/>
  <c r="F15"/>
  <c r="F17"/>
  <c r="F18"/>
  <c r="F19"/>
  <c r="F20"/>
  <c r="F21"/>
  <c r="F22"/>
  <c r="F24"/>
  <c r="E9"/>
  <c r="E16"/>
  <c r="E23"/>
  <c r="E24"/>
  <c r="D24"/>
  <c r="G22"/>
  <c r="G21"/>
  <c r="G20"/>
  <c r="G19"/>
  <c r="G18"/>
  <c r="G17"/>
  <c r="G15"/>
  <c r="G14"/>
  <c r="G13"/>
  <c r="G12"/>
  <c r="G11"/>
  <c r="G10"/>
  <c r="G8"/>
  <c r="G7"/>
  <c r="G6"/>
  <c r="G5"/>
  <c r="G4"/>
  <c r="G3"/>
  <c r="E5" i="43"/>
  <c r="C41"/>
  <c r="B2" i="1"/>
  <c r="G19" i="43"/>
  <c r="M20"/>
  <c r="C19"/>
  <c r="C39"/>
  <c r="C38"/>
  <c r="C37"/>
  <c r="G20"/>
  <c r="E41"/>
  <c r="L3" i="71"/>
  <c r="K3"/>
  <c r="J3"/>
  <c r="I3"/>
  <c r="AH5"/>
  <c r="AG5"/>
  <c r="AE5"/>
  <c r="AF5"/>
  <c r="AD5"/>
  <c r="Q5"/>
  <c r="Q6"/>
  <c r="AB5"/>
  <c r="P5"/>
  <c r="P6"/>
  <c r="AA5"/>
  <c r="O5"/>
  <c r="O6"/>
  <c r="Y5"/>
  <c r="Z5"/>
  <c r="N5"/>
  <c r="N6"/>
  <c r="X5"/>
  <c r="F6"/>
  <c r="F5"/>
  <c r="E6"/>
  <c r="E5"/>
  <c r="C6"/>
  <c r="C5"/>
  <c r="D5"/>
  <c r="B6"/>
  <c r="B5"/>
  <c r="N7"/>
  <c r="X6"/>
  <c r="AH6"/>
  <c r="AG6"/>
  <c r="AE6"/>
  <c r="AF6"/>
  <c r="AD6"/>
  <c r="Q7"/>
  <c r="AB6"/>
  <c r="P7"/>
  <c r="AA6"/>
  <c r="O7"/>
  <c r="Y6"/>
  <c r="Z6"/>
  <c r="F7"/>
  <c r="E7"/>
  <c r="C7"/>
  <c r="D6"/>
  <c r="B7"/>
  <c r="D7"/>
  <c r="M19" i="43"/>
  <c r="I20"/>
  <c r="C20"/>
  <c r="G39"/>
  <c r="G38"/>
  <c r="G37"/>
  <c r="C36"/>
  <c r="G36"/>
  <c r="C35"/>
  <c r="G35"/>
  <c r="C34"/>
  <c r="G34"/>
  <c r="J53" i="67"/>
  <c r="M47" i="15"/>
  <c r="J50"/>
  <c r="J51"/>
  <c r="I5" i="3"/>
  <c r="K5"/>
  <c r="I4" i="6"/>
  <c r="G3" i="43"/>
  <c r="C33"/>
  <c r="G33"/>
  <c r="I33"/>
  <c r="E33"/>
  <c r="D9" i="71"/>
  <c r="AH7"/>
  <c r="AG7"/>
  <c r="AE7"/>
  <c r="AF7"/>
  <c r="AD7"/>
  <c r="BB13" i="3"/>
  <c r="BC13"/>
  <c r="BD13"/>
  <c r="BE13"/>
  <c r="BF13"/>
  <c r="BG13"/>
  <c r="BH13"/>
  <c r="BI13"/>
  <c r="BJ13"/>
  <c r="BK13"/>
  <c r="BA13"/>
  <c r="BM13"/>
  <c r="BN13"/>
  <c r="BO13"/>
  <c r="BP13"/>
  <c r="BQ13"/>
  <c r="BR13"/>
  <c r="BS13"/>
  <c r="BT13"/>
  <c r="BL13"/>
  <c r="AZ13"/>
  <c r="AZ5"/>
  <c r="H13"/>
  <c r="G13"/>
  <c r="G5"/>
  <c r="B3"/>
  <c r="AY6"/>
  <c r="D3" i="6"/>
  <c r="M19" i="9"/>
  <c r="C118"/>
  <c r="C14" i="74"/>
  <c r="E3" i="6"/>
  <c r="M18" i="9"/>
  <c r="B118"/>
  <c r="B14" i="74"/>
  <c r="AD8" i="71"/>
  <c r="AG8"/>
  <c r="AH8"/>
  <c r="AE8"/>
  <c r="AF8"/>
  <c r="N8"/>
  <c r="X7"/>
  <c r="Q8"/>
  <c r="AB7"/>
  <c r="P8"/>
  <c r="AA7"/>
  <c r="O8"/>
  <c r="Y7"/>
  <c r="Z7"/>
  <c r="C8"/>
  <c r="T8"/>
  <c r="Q9"/>
  <c r="F8"/>
  <c r="P9"/>
  <c r="E8"/>
  <c r="O9"/>
  <c r="N9"/>
  <c r="B8"/>
  <c r="S8"/>
  <c r="V8"/>
  <c r="D8"/>
  <c r="U8"/>
  <c r="AB8"/>
  <c r="Y8"/>
  <c r="Z8"/>
  <c r="X8"/>
  <c r="AA8"/>
  <c r="A2" i="53"/>
  <c r="K59" i="67"/>
  <c r="P61"/>
  <c r="K59" i="15"/>
  <c r="P74"/>
  <c r="P61"/>
  <c r="P74" i="67"/>
  <c r="D116" i="39"/>
  <c r="E116"/>
  <c r="F116"/>
  <c r="G116"/>
  <c r="H116"/>
  <c r="I116"/>
  <c r="J116"/>
  <c r="K116"/>
  <c r="L116"/>
  <c r="M116"/>
  <c r="C116"/>
  <c r="A21" i="62"/>
  <c r="A20"/>
  <c r="A22" i="51"/>
  <c r="A21"/>
  <c r="A20"/>
  <c r="A15" i="62"/>
  <c r="A14"/>
  <c r="A13"/>
  <c r="A19"/>
  <c r="A12"/>
  <c r="A120" i="9"/>
  <c r="H2" i="52"/>
  <c r="A1"/>
  <c r="A3" i="53"/>
  <c r="Q10" i="71"/>
  <c r="P10"/>
  <c r="O10"/>
  <c r="N10"/>
  <c r="D5" i="43"/>
  <c r="A15" i="51"/>
  <c r="C76" i="9"/>
  <c r="I107" i="40"/>
  <c r="K6" i="4"/>
  <c r="B22" i="31"/>
  <c r="N56" i="9"/>
  <c r="M56"/>
  <c r="K56"/>
  <c r="E15" i="74"/>
  <c r="F15"/>
  <c r="E16"/>
  <c r="F16"/>
  <c r="E17"/>
  <c r="F17"/>
  <c r="E18"/>
  <c r="F18"/>
  <c r="E19"/>
  <c r="F19"/>
  <c r="E20"/>
  <c r="F20"/>
  <c r="E21"/>
  <c r="F21"/>
  <c r="E22"/>
  <c r="F22"/>
  <c r="E23"/>
  <c r="F23"/>
  <c r="B3"/>
  <c r="C91" i="9"/>
  <c r="B8" i="72"/>
  <c r="O11" i="71"/>
  <c r="P11"/>
  <c r="Q11"/>
  <c r="N11"/>
  <c r="AE3"/>
  <c r="AF3"/>
  <c r="AG3"/>
  <c r="AH3"/>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H23"/>
  <c r="AG23"/>
  <c r="AE23"/>
  <c r="AF23"/>
  <c r="AD23"/>
  <c r="AD24"/>
  <c r="AE24"/>
  <c r="AF24"/>
  <c r="AG24"/>
  <c r="AH24"/>
  <c r="S2" i="31"/>
  <c r="M2"/>
  <c r="N2"/>
  <c r="O2"/>
  <c r="P2"/>
  <c r="Q2"/>
  <c r="R2"/>
  <c r="C1" i="73"/>
  <c r="L1"/>
  <c r="J1"/>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59"/>
  <c r="B58"/>
  <c r="B67"/>
  <c r="B66"/>
  <c r="B12"/>
  <c r="B10"/>
  <c r="C53" i="10"/>
  <c r="B51"/>
  <c r="B19" i="72"/>
  <c r="A18" i="51"/>
  <c r="B13" i="72"/>
  <c r="C8" i="68"/>
  <c r="B49" i="48"/>
  <c r="B5" i="72"/>
  <c r="I19" i="43"/>
  <c r="D73" i="71"/>
  <c r="F72"/>
  <c r="E72"/>
  <c r="E71"/>
  <c r="E70"/>
  <c r="C72"/>
  <c r="D72"/>
  <c r="B72"/>
  <c r="F71"/>
  <c r="F70"/>
  <c r="B71"/>
  <c r="B70"/>
  <c r="D69"/>
  <c r="F68"/>
  <c r="E68"/>
  <c r="E67"/>
  <c r="E66"/>
  <c r="C68"/>
  <c r="D68"/>
  <c r="B68"/>
  <c r="F67"/>
  <c r="F66"/>
  <c r="B67"/>
  <c r="B66"/>
  <c r="D65"/>
  <c r="Q64"/>
  <c r="P64"/>
  <c r="O64"/>
  <c r="N64"/>
  <c r="F64"/>
  <c r="V64"/>
  <c r="E64"/>
  <c r="U64"/>
  <c r="C64"/>
  <c r="T64"/>
  <c r="B64"/>
  <c r="S64"/>
  <c r="Q63"/>
  <c r="P63"/>
  <c r="O63"/>
  <c r="N63"/>
  <c r="F63"/>
  <c r="F62"/>
  <c r="B63"/>
  <c r="B62"/>
  <c r="Q62"/>
  <c r="P62"/>
  <c r="O62"/>
  <c r="N62"/>
  <c r="Q61"/>
  <c r="P61"/>
  <c r="O61"/>
  <c r="N61"/>
  <c r="D61"/>
  <c r="Q60"/>
  <c r="P60"/>
  <c r="O60"/>
  <c r="N60"/>
  <c r="F60"/>
  <c r="V60"/>
  <c r="E60"/>
  <c r="U60"/>
  <c r="C60"/>
  <c r="T60"/>
  <c r="B60"/>
  <c r="S60"/>
  <c r="Q59"/>
  <c r="P59"/>
  <c r="O59"/>
  <c r="N59"/>
  <c r="F59"/>
  <c r="F58"/>
  <c r="B59"/>
  <c r="B58"/>
  <c r="Q58"/>
  <c r="P58"/>
  <c r="O58"/>
  <c r="N58"/>
  <c r="Q57"/>
  <c r="P57"/>
  <c r="O57"/>
  <c r="N57"/>
  <c r="D57"/>
  <c r="Q56"/>
  <c r="P56"/>
  <c r="O56"/>
  <c r="N56"/>
  <c r="F56"/>
  <c r="V56"/>
  <c r="E56"/>
  <c r="U56"/>
  <c r="C56"/>
  <c r="T56"/>
  <c r="B56"/>
  <c r="S56"/>
  <c r="Q55"/>
  <c r="P55"/>
  <c r="O55"/>
  <c r="N55"/>
  <c r="F55"/>
  <c r="F54"/>
  <c r="B55"/>
  <c r="B54"/>
  <c r="Q54"/>
  <c r="P54"/>
  <c r="O54"/>
  <c r="N54"/>
  <c r="Q53"/>
  <c r="P53"/>
  <c r="O53"/>
  <c r="N53"/>
  <c r="D53"/>
  <c r="F52"/>
  <c r="V52"/>
  <c r="E52"/>
  <c r="P52"/>
  <c r="C52"/>
  <c r="B52"/>
  <c r="S52"/>
  <c r="F51"/>
  <c r="F50"/>
  <c r="Q50"/>
  <c r="B51"/>
  <c r="D49"/>
  <c r="Q48"/>
  <c r="P48"/>
  <c r="O48"/>
  <c r="N48"/>
  <c r="Q47"/>
  <c r="P47"/>
  <c r="O47"/>
  <c r="N47"/>
  <c r="Q46"/>
  <c r="P46"/>
  <c r="O46"/>
  <c r="N46"/>
  <c r="Q45"/>
  <c r="F46"/>
  <c r="F47"/>
  <c r="F48"/>
  <c r="V48"/>
  <c r="P45"/>
  <c r="E46"/>
  <c r="O45"/>
  <c r="C46"/>
  <c r="N45"/>
  <c r="B46"/>
  <c r="B47"/>
  <c r="B48"/>
  <c r="S48"/>
  <c r="D45"/>
  <c r="Q44"/>
  <c r="P44"/>
  <c r="O44"/>
  <c r="N44"/>
  <c r="Q43"/>
  <c r="P43"/>
  <c r="O43"/>
  <c r="N43"/>
  <c r="Q42"/>
  <c r="P42"/>
  <c r="O42"/>
  <c r="N42"/>
  <c r="Q41"/>
  <c r="F42"/>
  <c r="F43"/>
  <c r="F44"/>
  <c r="V44"/>
  <c r="P41"/>
  <c r="E42"/>
  <c r="O41"/>
  <c r="C42"/>
  <c r="N41"/>
  <c r="B42"/>
  <c r="B43"/>
  <c r="B44"/>
  <c r="S44"/>
  <c r="D41"/>
  <c r="Q40"/>
  <c r="P40"/>
  <c r="O40"/>
  <c r="N40"/>
  <c r="Q39"/>
  <c r="P39"/>
  <c r="O39"/>
  <c r="N39"/>
  <c r="Q38"/>
  <c r="P38"/>
  <c r="O38"/>
  <c r="N38"/>
  <c r="C38"/>
  <c r="Q37"/>
  <c r="F38"/>
  <c r="F39"/>
  <c r="F40"/>
  <c r="V40"/>
  <c r="P37"/>
  <c r="E38"/>
  <c r="O37"/>
  <c r="N37"/>
  <c r="B38"/>
  <c r="B39"/>
  <c r="B40"/>
  <c r="S40"/>
  <c r="D37"/>
  <c r="Q36"/>
  <c r="P36"/>
  <c r="O36"/>
  <c r="N36"/>
  <c r="Q35"/>
  <c r="P35"/>
  <c r="O35"/>
  <c r="N35"/>
  <c r="Q34"/>
  <c r="P34"/>
  <c r="O34"/>
  <c r="N34"/>
  <c r="Q33"/>
  <c r="F34"/>
  <c r="P33"/>
  <c r="E34"/>
  <c r="E35"/>
  <c r="E36"/>
  <c r="U36"/>
  <c r="O33"/>
  <c r="C34"/>
  <c r="N33"/>
  <c r="B34"/>
  <c r="B35"/>
  <c r="B36"/>
  <c r="S36"/>
  <c r="D33"/>
  <c r="T32"/>
  <c r="Q32"/>
  <c r="P32"/>
  <c r="O32"/>
  <c r="N32"/>
  <c r="D32"/>
  <c r="Q31"/>
  <c r="P31"/>
  <c r="O31"/>
  <c r="N31"/>
  <c r="Q30"/>
  <c r="P30"/>
  <c r="O30"/>
  <c r="N30"/>
  <c r="F30"/>
  <c r="F31"/>
  <c r="F32"/>
  <c r="V32"/>
  <c r="Q29"/>
  <c r="P29"/>
  <c r="E30"/>
  <c r="E31"/>
  <c r="E32"/>
  <c r="U32"/>
  <c r="O29"/>
  <c r="C30"/>
  <c r="N29"/>
  <c r="B30"/>
  <c r="B31"/>
  <c r="B32"/>
  <c r="S32"/>
  <c r="D29"/>
  <c r="Q28"/>
  <c r="P28"/>
  <c r="O28"/>
  <c r="N28"/>
  <c r="Q27"/>
  <c r="P27"/>
  <c r="O27"/>
  <c r="N27"/>
  <c r="Q26"/>
  <c r="P26"/>
  <c r="O26"/>
  <c r="N26"/>
  <c r="F26"/>
  <c r="F27"/>
  <c r="F28"/>
  <c r="V28"/>
  <c r="Q25"/>
  <c r="P25"/>
  <c r="E26"/>
  <c r="E27"/>
  <c r="E28"/>
  <c r="U28"/>
  <c r="O25"/>
  <c r="C26"/>
  <c r="N25"/>
  <c r="B26"/>
  <c r="B27"/>
  <c r="B28"/>
  <c r="S28"/>
  <c r="D25"/>
  <c r="Q24"/>
  <c r="P24"/>
  <c r="O24"/>
  <c r="N24"/>
  <c r="AB23"/>
  <c r="Q23"/>
  <c r="P23"/>
  <c r="AA23"/>
  <c r="O23"/>
  <c r="Y23"/>
  <c r="Z23"/>
  <c r="N23"/>
  <c r="X23"/>
  <c r="Q22"/>
  <c r="AB22"/>
  <c r="P22"/>
  <c r="O22"/>
  <c r="Y22"/>
  <c r="Z22"/>
  <c r="N22"/>
  <c r="F22"/>
  <c r="F23"/>
  <c r="F24"/>
  <c r="V24"/>
  <c r="Q21"/>
  <c r="P21"/>
  <c r="O21"/>
  <c r="N21"/>
  <c r="D21"/>
  <c r="Q20"/>
  <c r="AB20"/>
  <c r="P20"/>
  <c r="O20"/>
  <c r="Y20"/>
  <c r="Z20"/>
  <c r="N20"/>
  <c r="Q19"/>
  <c r="AB19"/>
  <c r="P19"/>
  <c r="O19"/>
  <c r="Y19"/>
  <c r="Z19"/>
  <c r="N19"/>
  <c r="Q18"/>
  <c r="AB18"/>
  <c r="P18"/>
  <c r="O18"/>
  <c r="Y18"/>
  <c r="Z18"/>
  <c r="N18"/>
  <c r="F18"/>
  <c r="F19"/>
  <c r="F20"/>
  <c r="V20"/>
  <c r="Q17"/>
  <c r="P17"/>
  <c r="O17"/>
  <c r="N17"/>
  <c r="D17"/>
  <c r="Q16"/>
  <c r="AB16"/>
  <c r="P16"/>
  <c r="O16"/>
  <c r="Y16"/>
  <c r="Z16"/>
  <c r="N16"/>
  <c r="Q15"/>
  <c r="AB15"/>
  <c r="P15"/>
  <c r="O15"/>
  <c r="Y15"/>
  <c r="Z15"/>
  <c r="N15"/>
  <c r="Q14"/>
  <c r="AB14"/>
  <c r="P14"/>
  <c r="O14"/>
  <c r="Y14"/>
  <c r="Z14"/>
  <c r="N14"/>
  <c r="F14"/>
  <c r="F15"/>
  <c r="F16"/>
  <c r="V16"/>
  <c r="Q13"/>
  <c r="P13"/>
  <c r="O13"/>
  <c r="N13"/>
  <c r="D13"/>
  <c r="O12"/>
  <c r="N12"/>
  <c r="B14"/>
  <c r="B15"/>
  <c r="B16"/>
  <c r="S16"/>
  <c r="X13"/>
  <c r="E14"/>
  <c r="E15"/>
  <c r="E16"/>
  <c r="U16"/>
  <c r="AA13"/>
  <c r="B18"/>
  <c r="B19"/>
  <c r="B20"/>
  <c r="S20"/>
  <c r="X17"/>
  <c r="B22"/>
  <c r="B23"/>
  <c r="B24"/>
  <c r="S24"/>
  <c r="X21"/>
  <c r="E22"/>
  <c r="E23"/>
  <c r="E24"/>
  <c r="U24"/>
  <c r="AA21"/>
  <c r="N52"/>
  <c r="E18"/>
  <c r="E19"/>
  <c r="E20"/>
  <c r="U20"/>
  <c r="AA17"/>
  <c r="C14"/>
  <c r="Y13"/>
  <c r="Z13"/>
  <c r="AB13"/>
  <c r="X14"/>
  <c r="AA14"/>
  <c r="X15"/>
  <c r="AA15"/>
  <c r="X16"/>
  <c r="AA16"/>
  <c r="C18"/>
  <c r="C19"/>
  <c r="Y17"/>
  <c r="Z17"/>
  <c r="AB17"/>
  <c r="X18"/>
  <c r="AA18"/>
  <c r="X19"/>
  <c r="AA19"/>
  <c r="X20"/>
  <c r="AA20"/>
  <c r="C22"/>
  <c r="Y21"/>
  <c r="Z21"/>
  <c r="AB21"/>
  <c r="X22"/>
  <c r="AA22"/>
  <c r="F35"/>
  <c r="F36"/>
  <c r="V36"/>
  <c r="C12"/>
  <c r="Y3"/>
  <c r="Z3"/>
  <c r="Y9"/>
  <c r="Z9"/>
  <c r="Y10"/>
  <c r="Z10"/>
  <c r="Y11"/>
  <c r="Z11"/>
  <c r="Y12"/>
  <c r="Z12"/>
  <c r="B12"/>
  <c r="B11"/>
  <c r="B10"/>
  <c r="X9"/>
  <c r="X10"/>
  <c r="X11"/>
  <c r="X3"/>
  <c r="X12"/>
  <c r="C15"/>
  <c r="D14"/>
  <c r="D18"/>
  <c r="C23"/>
  <c r="D22"/>
  <c r="C27"/>
  <c r="D26"/>
  <c r="C31"/>
  <c r="D31"/>
  <c r="D30"/>
  <c r="C35"/>
  <c r="D34"/>
  <c r="P12"/>
  <c r="E39"/>
  <c r="E40"/>
  <c r="U40"/>
  <c r="E43"/>
  <c r="E44"/>
  <c r="U44"/>
  <c r="E47"/>
  <c r="E48"/>
  <c r="U48"/>
  <c r="Q49"/>
  <c r="U52"/>
  <c r="E51"/>
  <c r="Q12"/>
  <c r="C39"/>
  <c r="D38"/>
  <c r="C43"/>
  <c r="D42"/>
  <c r="C47"/>
  <c r="D46"/>
  <c r="N51"/>
  <c r="B50"/>
  <c r="Q51"/>
  <c r="T52"/>
  <c r="O52"/>
  <c r="D52"/>
  <c r="C51"/>
  <c r="Q52"/>
  <c r="C55"/>
  <c r="E55"/>
  <c r="E54"/>
  <c r="D56"/>
  <c r="C59"/>
  <c r="E59"/>
  <c r="E58"/>
  <c r="D60"/>
  <c r="C63"/>
  <c r="E63"/>
  <c r="E62"/>
  <c r="D64"/>
  <c r="C67"/>
  <c r="C71"/>
  <c r="T12"/>
  <c r="C11"/>
  <c r="S12"/>
  <c r="F12"/>
  <c r="F11"/>
  <c r="F10"/>
  <c r="AB3"/>
  <c r="AB9"/>
  <c r="AB10"/>
  <c r="AB11"/>
  <c r="AB12"/>
  <c r="E12"/>
  <c r="E11"/>
  <c r="E10"/>
  <c r="AA3"/>
  <c r="AA9"/>
  <c r="AA10"/>
  <c r="AA11"/>
  <c r="AA12"/>
  <c r="D12"/>
  <c r="U12"/>
  <c r="C50"/>
  <c r="O51"/>
  <c r="D51"/>
  <c r="C48"/>
  <c r="D47"/>
  <c r="D67"/>
  <c r="C66"/>
  <c r="D66"/>
  <c r="D59"/>
  <c r="C58"/>
  <c r="D58"/>
  <c r="N49"/>
  <c r="N50"/>
  <c r="D71"/>
  <c r="C70"/>
  <c r="D70"/>
  <c r="D63"/>
  <c r="C62"/>
  <c r="D62"/>
  <c r="D55"/>
  <c r="C54"/>
  <c r="D54"/>
  <c r="C44"/>
  <c r="D43"/>
  <c r="C40"/>
  <c r="D39"/>
  <c r="P51"/>
  <c r="E50"/>
  <c r="C36"/>
  <c r="D35"/>
  <c r="C28"/>
  <c r="D27"/>
  <c r="C24"/>
  <c r="D23"/>
  <c r="C20"/>
  <c r="D19"/>
  <c r="C16"/>
  <c r="D15"/>
  <c r="C10"/>
  <c r="D10"/>
  <c r="D11"/>
  <c r="V12"/>
  <c r="P49"/>
  <c r="P50"/>
  <c r="O50"/>
  <c r="D50"/>
  <c r="O49"/>
  <c r="T16"/>
  <c r="D16"/>
  <c r="T20"/>
  <c r="D20"/>
  <c r="T24"/>
  <c r="D24"/>
  <c r="T28"/>
  <c r="D28"/>
  <c r="T36"/>
  <c r="D36"/>
  <c r="T40"/>
  <c r="D40"/>
  <c r="T44"/>
  <c r="D44"/>
  <c r="T48"/>
  <c r="D48"/>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Z29" i="39"/>
  <c r="Q29"/>
  <c r="D103"/>
  <c r="E103"/>
  <c r="F29"/>
  <c r="AA29"/>
  <c r="Q18" i="36"/>
  <c r="Z18"/>
  <c r="D66"/>
  <c r="E66"/>
  <c r="F66"/>
  <c r="H18"/>
  <c r="AB18"/>
  <c r="F18"/>
  <c r="AA18"/>
  <c r="C18"/>
  <c r="Z18" i="35"/>
  <c r="Q18"/>
  <c r="D68"/>
  <c r="E68"/>
  <c r="F18"/>
  <c r="AA18"/>
  <c r="C18"/>
  <c r="Z21" i="37"/>
  <c r="Q21"/>
  <c r="D77"/>
  <c r="E77"/>
  <c r="C21"/>
  <c r="Z21" i="34"/>
  <c r="Q21"/>
  <c r="D84"/>
  <c r="E84"/>
  <c r="F21"/>
  <c r="AA21"/>
  <c r="C21"/>
  <c r="Z21" i="33"/>
  <c r="Q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c r="F20"/>
  <c r="E10"/>
  <c r="E9"/>
  <c r="F7"/>
  <c r="C7"/>
  <c r="AC21" i="37"/>
  <c r="W21"/>
  <c r="AC21" i="34"/>
  <c r="W21"/>
  <c r="AC21" i="33"/>
  <c r="W21"/>
  <c r="AB21" i="21"/>
  <c r="U21"/>
  <c r="G83"/>
  <c r="J21"/>
  <c r="C40" i="69"/>
  <c r="F38" i="68"/>
  <c r="E37"/>
  <c r="F36"/>
  <c r="F35"/>
  <c r="F21"/>
  <c r="C21"/>
  <c r="F20"/>
  <c r="E10"/>
  <c r="E9"/>
  <c r="F7"/>
  <c r="C7"/>
  <c r="W21" i="21"/>
  <c r="AC21"/>
  <c r="C40" i="68"/>
  <c r="Q72" i="67"/>
  <c r="Q59"/>
  <c r="Q58"/>
  <c r="Q51"/>
  <c r="J50"/>
  <c r="M47"/>
  <c r="D46"/>
  <c r="F33"/>
  <c r="F61"/>
  <c r="F23"/>
  <c r="D24"/>
  <c r="F21"/>
  <c r="F20"/>
  <c r="M19"/>
  <c r="F18"/>
  <c r="F17"/>
  <c r="F15"/>
  <c r="D22"/>
  <c r="D23"/>
  <c r="S2" i="4"/>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C24"/>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s="1"/>
  <c r="F6" s="1"/>
  <c r="G6" s="1"/>
  <c r="H6" s="1"/>
  <c r="I6" s="1"/>
  <c r="J6" s="1"/>
  <c r="K6" s="1"/>
  <c r="L6" s="1"/>
  <c r="M6" s="1"/>
  <c r="N6" s="1"/>
  <c r="O6" s="1"/>
  <c r="P6" s="1"/>
  <c r="Q6" s="1"/>
  <c r="R6" s="1"/>
  <c r="S6" s="1"/>
  <c r="F15" i="4"/>
  <c r="F8" i="1"/>
  <c r="F9"/>
  <c r="F10"/>
  <c r="F11"/>
  <c r="F12"/>
  <c r="F13"/>
  <c r="D6"/>
  <c r="D9"/>
  <c r="D10"/>
  <c r="D11"/>
  <c r="D12"/>
  <c r="D13"/>
  <c r="D7"/>
  <c r="D8"/>
  <c r="A7"/>
  <c r="A8"/>
  <c r="B8"/>
  <c r="E8"/>
  <c r="A9"/>
  <c r="A10"/>
  <c r="A11"/>
  <c r="A12"/>
  <c r="A13"/>
  <c r="A6"/>
  <c r="F3" i="35"/>
  <c r="B11" i="1"/>
  <c r="E11"/>
  <c r="B7"/>
  <c r="E7"/>
  <c r="K10"/>
  <c r="B13"/>
  <c r="E13"/>
  <c r="K13"/>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c r="AZ112"/>
  <c r="AX112"/>
  <c r="AW112"/>
  <c r="AV112"/>
  <c r="AC112"/>
  <c r="H112"/>
  <c r="G112"/>
  <c r="BT111"/>
  <c r="BS111"/>
  <c r="BR111"/>
  <c r="BQ111"/>
  <c r="BP111"/>
  <c r="BO111"/>
  <c r="BN111"/>
  <c r="BM111"/>
  <c r="BL111"/>
  <c r="BK111"/>
  <c r="BJ111"/>
  <c r="BI111"/>
  <c r="BH111"/>
  <c r="BG111"/>
  <c r="BF111"/>
  <c r="BE111"/>
  <c r="BD111"/>
  <c r="BC111"/>
  <c r="BB111"/>
  <c r="BA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Z106"/>
  <c r="AX106"/>
  <c r="AW106"/>
  <c r="AV106"/>
  <c r="AC106"/>
  <c r="H106"/>
  <c r="G106"/>
  <c r="BT105"/>
  <c r="BS105"/>
  <c r="BR105"/>
  <c r="BQ105"/>
  <c r="BP105"/>
  <c r="BO105"/>
  <c r="BN105"/>
  <c r="BM105"/>
  <c r="BL105"/>
  <c r="BK105"/>
  <c r="BJ105"/>
  <c r="BI105"/>
  <c r="BH105"/>
  <c r="BG105"/>
  <c r="BF105"/>
  <c r="BE105"/>
  <c r="BD105"/>
  <c r="BC105"/>
  <c r="BB105"/>
  <c r="BA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Z99"/>
  <c r="AX99"/>
  <c r="AW99"/>
  <c r="AV99"/>
  <c r="AC99"/>
  <c r="H99"/>
  <c r="G99"/>
  <c r="BT98"/>
  <c r="BS98"/>
  <c r="BR98"/>
  <c r="BQ98"/>
  <c r="BP98"/>
  <c r="BO98"/>
  <c r="BN98"/>
  <c r="BM98"/>
  <c r="BL98"/>
  <c r="BK98"/>
  <c r="BJ98"/>
  <c r="BI98"/>
  <c r="BH98"/>
  <c r="BG98"/>
  <c r="BF98"/>
  <c r="BE98"/>
  <c r="BD98"/>
  <c r="BC98"/>
  <c r="BB98"/>
  <c r="BA98"/>
  <c r="AZ98"/>
  <c r="AX98"/>
  <c r="AW98"/>
  <c r="AV98"/>
  <c r="AC98"/>
  <c r="H98"/>
  <c r="G98"/>
  <c r="BT97"/>
  <c r="BS97"/>
  <c r="BR97"/>
  <c r="BQ97"/>
  <c r="BP97"/>
  <c r="BO97"/>
  <c r="BN97"/>
  <c r="BM97"/>
  <c r="BL97"/>
  <c r="BK97"/>
  <c r="BJ97"/>
  <c r="BI97"/>
  <c r="BH97"/>
  <c r="BG97"/>
  <c r="BF97"/>
  <c r="BE97"/>
  <c r="BD97"/>
  <c r="BC97"/>
  <c r="BB97"/>
  <c r="BA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Z91"/>
  <c r="AX91"/>
  <c r="AW91"/>
  <c r="AV91"/>
  <c r="AC91"/>
  <c r="H91"/>
  <c r="G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C89"/>
  <c r="BB89"/>
  <c r="BA89"/>
  <c r="AX89"/>
  <c r="AW89"/>
  <c r="AV89"/>
  <c r="AC89"/>
  <c r="H89"/>
  <c r="G89"/>
  <c r="BT88"/>
  <c r="BS88"/>
  <c r="BR88"/>
  <c r="BQ88"/>
  <c r="BP88"/>
  <c r="BO88"/>
  <c r="BN88"/>
  <c r="BM88"/>
  <c r="BL88"/>
  <c r="BK88"/>
  <c r="BJ88"/>
  <c r="BI88"/>
  <c r="BH88"/>
  <c r="BG88"/>
  <c r="BF88"/>
  <c r="BE88"/>
  <c r="BD88"/>
  <c r="BC88"/>
  <c r="BB88"/>
  <c r="BA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Z78"/>
  <c r="AX78"/>
  <c r="AW78"/>
  <c r="AV78"/>
  <c r="AC78"/>
  <c r="H78"/>
  <c r="G78"/>
  <c r="BT77"/>
  <c r="BS77"/>
  <c r="BR77"/>
  <c r="BQ77"/>
  <c r="BP77"/>
  <c r="BO77"/>
  <c r="BN77"/>
  <c r="BM77"/>
  <c r="BL77"/>
  <c r="BK77"/>
  <c r="BJ77"/>
  <c r="BI77"/>
  <c r="BH77"/>
  <c r="BG77"/>
  <c r="BF77"/>
  <c r="BE77"/>
  <c r="BD77"/>
  <c r="BC77"/>
  <c r="BB77"/>
  <c r="BA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Z70"/>
  <c r="AX70"/>
  <c r="AW70"/>
  <c r="AV70"/>
  <c r="AC70"/>
  <c r="H70"/>
  <c r="G70"/>
  <c r="BT69"/>
  <c r="BS69"/>
  <c r="BR69"/>
  <c r="BQ69"/>
  <c r="BP69"/>
  <c r="BO69"/>
  <c r="BN69"/>
  <c r="BM69"/>
  <c r="BL69"/>
  <c r="BK69"/>
  <c r="BJ69"/>
  <c r="BI69"/>
  <c r="BH69"/>
  <c r="BG69"/>
  <c r="BF69"/>
  <c r="BE69"/>
  <c r="BD69"/>
  <c r="BC69"/>
  <c r="BB69"/>
  <c r="BA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Z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Z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X42"/>
  <c r="AW42"/>
  <c r="AV42"/>
  <c r="AC42"/>
  <c r="H42"/>
  <c r="G42"/>
  <c r="BT41"/>
  <c r="BS41"/>
  <c r="BR41"/>
  <c r="BQ41"/>
  <c r="BP41"/>
  <c r="BO41"/>
  <c r="BN41"/>
  <c r="BM41"/>
  <c r="BL41"/>
  <c r="BK41"/>
  <c r="BJ41"/>
  <c r="BI41"/>
  <c r="BH41"/>
  <c r="BG41"/>
  <c r="BF41"/>
  <c r="BE41"/>
  <c r="BD41"/>
  <c r="BC41"/>
  <c r="BB41"/>
  <c r="BA41"/>
  <c r="AX41"/>
  <c r="AW41"/>
  <c r="AV41"/>
  <c r="AC41"/>
  <c r="H41"/>
  <c r="G41"/>
  <c r="BT40"/>
  <c r="BS40"/>
  <c r="BR40"/>
  <c r="BQ40"/>
  <c r="BP40"/>
  <c r="BO40"/>
  <c r="BN40"/>
  <c r="BM40"/>
  <c r="BL40"/>
  <c r="BK40"/>
  <c r="BJ40"/>
  <c r="BI40"/>
  <c r="BH40"/>
  <c r="BG40"/>
  <c r="BF40"/>
  <c r="BE40"/>
  <c r="BD40"/>
  <c r="BC40"/>
  <c r="BB40"/>
  <c r="BA40"/>
  <c r="AZ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X29"/>
  <c r="AW29"/>
  <c r="AV29"/>
  <c r="AC29"/>
  <c r="H29"/>
  <c r="G29"/>
  <c r="BT28"/>
  <c r="BS28"/>
  <c r="BR28"/>
  <c r="BQ28"/>
  <c r="BP28"/>
  <c r="BO28"/>
  <c r="BN28"/>
  <c r="BM28"/>
  <c r="BL28"/>
  <c r="BK28"/>
  <c r="BJ28"/>
  <c r="BI28"/>
  <c r="BH28"/>
  <c r="BG28"/>
  <c r="BF28"/>
  <c r="BE28"/>
  <c r="BD28"/>
  <c r="BC28"/>
  <c r="BB28"/>
  <c r="BA28"/>
  <c r="AX28"/>
  <c r="AW28"/>
  <c r="AV28"/>
  <c r="AC28"/>
  <c r="H28"/>
  <c r="G28"/>
  <c r="BT27"/>
  <c r="BS27"/>
  <c r="BR27"/>
  <c r="BQ27"/>
  <c r="BP27"/>
  <c r="BO27"/>
  <c r="BN27"/>
  <c r="BM27"/>
  <c r="BL27"/>
  <c r="BK27"/>
  <c r="BJ27"/>
  <c r="BI27"/>
  <c r="BH27"/>
  <c r="BG27"/>
  <c r="BF27"/>
  <c r="BE27"/>
  <c r="BD27"/>
  <c r="BC27"/>
  <c r="BB27"/>
  <c r="BA27"/>
  <c r="AZ27"/>
  <c r="AX27"/>
  <c r="AW27"/>
  <c r="AV27"/>
  <c r="AC27"/>
  <c r="H27"/>
  <c r="G27"/>
  <c r="BT26"/>
  <c r="BS26"/>
  <c r="BR26"/>
  <c r="BQ26"/>
  <c r="BP26"/>
  <c r="BO26"/>
  <c r="BN26"/>
  <c r="BM26"/>
  <c r="BL26"/>
  <c r="BK26"/>
  <c r="BJ26"/>
  <c r="BI26"/>
  <c r="BH26"/>
  <c r="BG26"/>
  <c r="BF26"/>
  <c r="BE26"/>
  <c r="BD26"/>
  <c r="BC26"/>
  <c r="BB26"/>
  <c r="BA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Z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X21"/>
  <c r="AW21"/>
  <c r="AV21"/>
  <c r="AC21"/>
  <c r="H21"/>
  <c r="G21"/>
  <c r="BT20"/>
  <c r="BS20"/>
  <c r="BR20"/>
  <c r="BQ20"/>
  <c r="BP20"/>
  <c r="BO20"/>
  <c r="BN20"/>
  <c r="BM20"/>
  <c r="BL20"/>
  <c r="BK20"/>
  <c r="BJ20"/>
  <c r="BI20"/>
  <c r="BH20"/>
  <c r="BG20"/>
  <c r="BF20"/>
  <c r="BE20"/>
  <c r="BD20"/>
  <c r="BC20"/>
  <c r="BB20"/>
  <c r="BA20"/>
  <c r="AX20"/>
  <c r="AW20"/>
  <c r="AV20"/>
  <c r="AC20"/>
  <c r="H20"/>
  <c r="G20"/>
  <c r="BT19"/>
  <c r="BS19"/>
  <c r="BR19"/>
  <c r="BQ19"/>
  <c r="BP19"/>
  <c r="BO19"/>
  <c r="BN19"/>
  <c r="BM19"/>
  <c r="BL19"/>
  <c r="BK19"/>
  <c r="BJ19"/>
  <c r="BI19"/>
  <c r="BH19"/>
  <c r="BG19"/>
  <c r="BF19"/>
  <c r="BE19"/>
  <c r="BD19"/>
  <c r="BC19"/>
  <c r="BB19"/>
  <c r="BA19"/>
  <c r="AX19"/>
  <c r="AW19"/>
  <c r="AV19"/>
  <c r="AC19"/>
  <c r="H19"/>
  <c r="G19"/>
  <c r="BT18"/>
  <c r="BS18"/>
  <c r="BR18"/>
  <c r="BQ18"/>
  <c r="BP18"/>
  <c r="BO18"/>
  <c r="BN18"/>
  <c r="BM18"/>
  <c r="BL18"/>
  <c r="BK18"/>
  <c r="BJ18"/>
  <c r="BI18"/>
  <c r="BH18"/>
  <c r="BG18"/>
  <c r="BF18"/>
  <c r="BE18"/>
  <c r="BD18"/>
  <c r="BC18"/>
  <c r="BB18"/>
  <c r="BA18"/>
  <c r="AZ18"/>
  <c r="AX18"/>
  <c r="AW18"/>
  <c r="AV18"/>
  <c r="AC18"/>
  <c r="H18"/>
  <c r="G18"/>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C202"/>
  <c r="BB202"/>
  <c r="BA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c r="BK198"/>
  <c r="BJ198"/>
  <c r="BI198"/>
  <c r="BH198"/>
  <c r="BG198"/>
  <c r="BF198"/>
  <c r="BE198"/>
  <c r="BD198"/>
  <c r="BC198"/>
  <c r="BB198"/>
  <c r="BA198"/>
  <c r="AX198"/>
  <c r="AW198"/>
  <c r="AV198"/>
  <c r="AC198"/>
  <c r="H198"/>
  <c r="G198"/>
  <c r="BT197"/>
  <c r="BS197"/>
  <c r="BR197"/>
  <c r="BQ197"/>
  <c r="BP197"/>
  <c r="BO197"/>
  <c r="BN197"/>
  <c r="BM197"/>
  <c r="BL197"/>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H190"/>
  <c r="G190"/>
  <c r="BT189"/>
  <c r="BS189"/>
  <c r="BR189"/>
  <c r="BQ189"/>
  <c r="BP189"/>
  <c r="BO189"/>
  <c r="BN189"/>
  <c r="BM189"/>
  <c r="BL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c r="BK182"/>
  <c r="BJ182"/>
  <c r="BI182"/>
  <c r="BH182"/>
  <c r="BG182"/>
  <c r="BF182"/>
  <c r="BE182"/>
  <c r="BD182"/>
  <c r="BC182"/>
  <c r="BB182"/>
  <c r="BA182"/>
  <c r="AX182"/>
  <c r="AW182"/>
  <c r="AV182"/>
  <c r="AC182"/>
  <c r="H182"/>
  <c r="G182"/>
  <c r="BT181"/>
  <c r="BS181"/>
  <c r="BR181"/>
  <c r="BQ181"/>
  <c r="BP181"/>
  <c r="BO181"/>
  <c r="BN181"/>
  <c r="BM181"/>
  <c r="BL18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c r="BK178"/>
  <c r="BJ178"/>
  <c r="BI178"/>
  <c r="BH178"/>
  <c r="BG178"/>
  <c r="BF178"/>
  <c r="BE178"/>
  <c r="BD178"/>
  <c r="BC178"/>
  <c r="BB178"/>
  <c r="BA178"/>
  <c r="AX178"/>
  <c r="AW178"/>
  <c r="AV178"/>
  <c r="AC178"/>
  <c r="H178"/>
  <c r="G178"/>
  <c r="BT177"/>
  <c r="BS177"/>
  <c r="BR177"/>
  <c r="BQ177"/>
  <c r="BP177"/>
  <c r="BO177"/>
  <c r="BN177"/>
  <c r="BM177"/>
  <c r="BL177"/>
  <c r="BK177"/>
  <c r="BJ177"/>
  <c r="BI177"/>
  <c r="BH177"/>
  <c r="BG177"/>
  <c r="BF177"/>
  <c r="BE177"/>
  <c r="BD177"/>
  <c r="BC177"/>
  <c r="BB177"/>
  <c r="BA177"/>
  <c r="AZ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BA169"/>
  <c r="AZ169"/>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BA156"/>
  <c r="AX156"/>
  <c r="AW156"/>
  <c r="AV156"/>
  <c r="AC156"/>
  <c r="H156"/>
  <c r="G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BA153"/>
  <c r="AZ153"/>
  <c r="AX153"/>
  <c r="AW153"/>
  <c r="AV153"/>
  <c r="AC153"/>
  <c r="H153"/>
  <c r="BT152"/>
  <c r="BS152"/>
  <c r="BR152"/>
  <c r="BQ152"/>
  <c r="BP152"/>
  <c r="BO152"/>
  <c r="BN152"/>
  <c r="BM152"/>
  <c r="BK152"/>
  <c r="BJ152"/>
  <c r="BI152"/>
  <c r="BH152"/>
  <c r="BG152"/>
  <c r="BF152"/>
  <c r="BE152"/>
  <c r="BD152"/>
  <c r="BC152"/>
  <c r="BB152"/>
  <c r="BA152"/>
  <c r="AX152"/>
  <c r="AW152"/>
  <c r="AV152"/>
  <c r="AC152"/>
  <c r="H152"/>
  <c r="G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c r="BK150"/>
  <c r="BJ150"/>
  <c r="BI150"/>
  <c r="BH150"/>
  <c r="BG150"/>
  <c r="BF150"/>
  <c r="BE150"/>
  <c r="BD150"/>
  <c r="BC150"/>
  <c r="BB150"/>
  <c r="BA150"/>
  <c r="AX150"/>
  <c r="AW150"/>
  <c r="AV150"/>
  <c r="AC150"/>
  <c r="H150"/>
  <c r="G150"/>
  <c r="BT149"/>
  <c r="BS149"/>
  <c r="BR149"/>
  <c r="BQ149"/>
  <c r="BP149"/>
  <c r="BO149"/>
  <c r="BN149"/>
  <c r="BM149"/>
  <c r="BL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c r="BK146"/>
  <c r="BJ146"/>
  <c r="BI146"/>
  <c r="BH146"/>
  <c r="BG146"/>
  <c r="BF146"/>
  <c r="BE146"/>
  <c r="BD146"/>
  <c r="BC146"/>
  <c r="BB146"/>
  <c r="BA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c r="BK142"/>
  <c r="BJ142"/>
  <c r="BI142"/>
  <c r="BH142"/>
  <c r="BG142"/>
  <c r="BF142"/>
  <c r="BE142"/>
  <c r="BD142"/>
  <c r="BC142"/>
  <c r="BB142"/>
  <c r="BA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c r="BK138"/>
  <c r="BJ138"/>
  <c r="BI138"/>
  <c r="BH138"/>
  <c r="BG138"/>
  <c r="BF138"/>
  <c r="BE138"/>
  <c r="BD138"/>
  <c r="BC138"/>
  <c r="BB138"/>
  <c r="BA138"/>
  <c r="AX138"/>
  <c r="AW138"/>
  <c r="AV138"/>
  <c r="AC138"/>
  <c r="H138"/>
  <c r="G138"/>
  <c r="BT137"/>
  <c r="BS137"/>
  <c r="BR137"/>
  <c r="BQ137"/>
  <c r="BP137"/>
  <c r="BO137"/>
  <c r="BN137"/>
  <c r="BM137"/>
  <c r="BL137"/>
  <c r="BK137"/>
  <c r="BJ137"/>
  <c r="BI137"/>
  <c r="BH137"/>
  <c r="BG137"/>
  <c r="BF137"/>
  <c r="BE137"/>
  <c r="BD137"/>
  <c r="BC137"/>
  <c r="BB137"/>
  <c r="BA137"/>
  <c r="AZ137"/>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N133"/>
  <c r="BM133"/>
  <c r="BL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c r="BK131"/>
  <c r="BJ131"/>
  <c r="BI131"/>
  <c r="BH131"/>
  <c r="BG131"/>
  <c r="BF131"/>
  <c r="BE131"/>
  <c r="BD131"/>
  <c r="BC131"/>
  <c r="BB131"/>
  <c r="AX131"/>
  <c r="AW131"/>
  <c r="AV131"/>
  <c r="AC131"/>
  <c r="H131"/>
  <c r="G131"/>
  <c r="BT130"/>
  <c r="BS130"/>
  <c r="BR130"/>
  <c r="BQ130"/>
  <c r="BP130"/>
  <c r="BO130"/>
  <c r="BN130"/>
  <c r="BM130"/>
  <c r="BL130"/>
  <c r="BK130"/>
  <c r="BJ130"/>
  <c r="BI130"/>
  <c r="BH130"/>
  <c r="BG130"/>
  <c r="BF130"/>
  <c r="BE130"/>
  <c r="BD130"/>
  <c r="BC130"/>
  <c r="BB130"/>
  <c r="BA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M126"/>
  <c r="BL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C121"/>
  <c r="BB121"/>
  <c r="BA121"/>
  <c r="AZ12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c r="BK119"/>
  <c r="BJ119"/>
  <c r="BI119"/>
  <c r="BH119"/>
  <c r="BG119"/>
  <c r="BF119"/>
  <c r="BE119"/>
  <c r="BD119"/>
  <c r="BC119"/>
  <c r="BB119"/>
  <c r="AX119"/>
  <c r="AW119"/>
  <c r="AV119"/>
  <c r="AC119"/>
  <c r="H119"/>
  <c r="G119"/>
  <c r="BT118"/>
  <c r="BS118"/>
  <c r="BR118"/>
  <c r="BQ118"/>
  <c r="BP118"/>
  <c r="BO118"/>
  <c r="BN118"/>
  <c r="BM118"/>
  <c r="BL118"/>
  <c r="BK118"/>
  <c r="BJ118"/>
  <c r="BI118"/>
  <c r="BH118"/>
  <c r="BG118"/>
  <c r="BF118"/>
  <c r="BE118"/>
  <c r="BD118"/>
  <c r="BC118"/>
  <c r="BB118"/>
  <c r="BA118"/>
  <c r="AZ118"/>
  <c r="AX118"/>
  <c r="AW118"/>
  <c r="AV118"/>
  <c r="AC118"/>
  <c r="H118"/>
  <c r="G118"/>
  <c r="BT117"/>
  <c r="BS117"/>
  <c r="BR117"/>
  <c r="BQ117"/>
  <c r="BP117"/>
  <c r="BO117"/>
  <c r="BN117"/>
  <c r="BM117"/>
  <c r="BL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c r="BK114"/>
  <c r="BJ114"/>
  <c r="BI114"/>
  <c r="BH114"/>
  <c r="BG114"/>
  <c r="BF114"/>
  <c r="BE114"/>
  <c r="BD114"/>
  <c r="BC114"/>
  <c r="BB114"/>
  <c r="BA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X297"/>
  <c r="AW297"/>
  <c r="AV297"/>
  <c r="AC297"/>
  <c r="H297"/>
  <c r="G297"/>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X280"/>
  <c r="AW280"/>
  <c r="AV280"/>
  <c r="AC280"/>
  <c r="H280"/>
  <c r="G280"/>
  <c r="BT279"/>
  <c r="BS279"/>
  <c r="BR279"/>
  <c r="BQ279"/>
  <c r="BP279"/>
  <c r="BO279"/>
  <c r="BN279"/>
  <c r="BM279"/>
  <c r="BL279"/>
  <c r="BK279"/>
  <c r="BJ279"/>
  <c r="BI279"/>
  <c r="BH279"/>
  <c r="BG279"/>
  <c r="BF279"/>
  <c r="BE279"/>
  <c r="BD279"/>
  <c r="BC279"/>
  <c r="BB279"/>
  <c r="BA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L234"/>
  <c r="BK234"/>
  <c r="BJ234"/>
  <c r="BI234"/>
  <c r="BH234"/>
  <c r="BG234"/>
  <c r="BF234"/>
  <c r="BE234"/>
  <c r="BD234"/>
  <c r="BC234"/>
  <c r="BB234"/>
  <c r="BA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c r="AZ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Z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X491"/>
  <c r="AW491"/>
  <c r="AV491"/>
  <c r="AC491"/>
  <c r="H491"/>
  <c r="G491"/>
  <c r="BT490"/>
  <c r="BS490"/>
  <c r="BR490"/>
  <c r="BQ490"/>
  <c r="BP490"/>
  <c r="BO490"/>
  <c r="BN490"/>
  <c r="BM490"/>
  <c r="BL490"/>
  <c r="BK490"/>
  <c r="BJ490"/>
  <c r="BI490"/>
  <c r="BH490"/>
  <c r="BG490"/>
  <c r="BF490"/>
  <c r="BE490"/>
  <c r="BD490"/>
  <c r="BC490"/>
  <c r="BB490"/>
  <c r="BA490"/>
  <c r="AX490"/>
  <c r="AW490"/>
  <c r="AV490"/>
  <c r="AC490"/>
  <c r="H490"/>
  <c r="G490"/>
  <c r="BT489"/>
  <c r="BS489"/>
  <c r="BR489"/>
  <c r="BQ489"/>
  <c r="BP489"/>
  <c r="BO489"/>
  <c r="BN489"/>
  <c r="BM489"/>
  <c r="BL489"/>
  <c r="BK489"/>
  <c r="BJ489"/>
  <c r="BI489"/>
  <c r="BH489"/>
  <c r="BG489"/>
  <c r="BF489"/>
  <c r="BE489"/>
  <c r="BD489"/>
  <c r="BC489"/>
  <c r="BB489"/>
  <c r="BA489"/>
  <c r="AZ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AZ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Z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Z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AZ481"/>
  <c r="BK481"/>
  <c r="BJ481"/>
  <c r="BI481"/>
  <c r="BH481"/>
  <c r="BG481"/>
  <c r="BF481"/>
  <c r="BE481"/>
  <c r="BD481"/>
  <c r="BC481"/>
  <c r="BB481"/>
  <c r="BA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Z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AZ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Z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Z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AZ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Z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AZ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AZ459"/>
  <c r="BK459"/>
  <c r="BJ459"/>
  <c r="BI459"/>
  <c r="BH459"/>
  <c r="BG459"/>
  <c r="BF459"/>
  <c r="BE459"/>
  <c r="BD459"/>
  <c r="BC459"/>
  <c r="BB459"/>
  <c r="BA459"/>
  <c r="AX459"/>
  <c r="AW459"/>
  <c r="AV459"/>
  <c r="AC459"/>
  <c r="H459"/>
  <c r="G459"/>
  <c r="BT458"/>
  <c r="BS458"/>
  <c r="BR458"/>
  <c r="BQ458"/>
  <c r="BP458"/>
  <c r="BO458"/>
  <c r="BN458"/>
  <c r="BM458"/>
  <c r="BL458"/>
  <c r="AZ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X457"/>
  <c r="AW457"/>
  <c r="AV457"/>
  <c r="AC457"/>
  <c r="H457"/>
  <c r="G457"/>
  <c r="BT456"/>
  <c r="BS456"/>
  <c r="BR456"/>
  <c r="BQ456"/>
  <c r="BP456"/>
  <c r="BO456"/>
  <c r="BN456"/>
  <c r="BM456"/>
  <c r="BL456"/>
  <c r="BK456"/>
  <c r="BJ456"/>
  <c r="BI456"/>
  <c r="BH456"/>
  <c r="BG456"/>
  <c r="BF456"/>
  <c r="BE456"/>
  <c r="BD456"/>
  <c r="BC456"/>
  <c r="BB456"/>
  <c r="BA456"/>
  <c r="AZ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AZ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AZ451"/>
  <c r="BK451"/>
  <c r="BJ451"/>
  <c r="BI451"/>
  <c r="BH451"/>
  <c r="BG451"/>
  <c r="BF451"/>
  <c r="BE451"/>
  <c r="BD451"/>
  <c r="BC451"/>
  <c r="BB451"/>
  <c r="BA451"/>
  <c r="AX451"/>
  <c r="AW451"/>
  <c r="AV451"/>
  <c r="AC451"/>
  <c r="H451"/>
  <c r="G451"/>
  <c r="BT450"/>
  <c r="BS450"/>
  <c r="BR450"/>
  <c r="BQ450"/>
  <c r="BP450"/>
  <c r="BO450"/>
  <c r="BN450"/>
  <c r="BM450"/>
  <c r="BL450"/>
  <c r="AZ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AZ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AZ443"/>
  <c r="BK443"/>
  <c r="BJ443"/>
  <c r="BI443"/>
  <c r="BH443"/>
  <c r="BG443"/>
  <c r="BF443"/>
  <c r="BE443"/>
  <c r="BD443"/>
  <c r="BC443"/>
  <c r="BB443"/>
  <c r="BA443"/>
  <c r="AX443"/>
  <c r="AW443"/>
  <c r="AV443"/>
  <c r="AC443"/>
  <c r="H443"/>
  <c r="G443"/>
  <c r="BT442"/>
  <c r="BS442"/>
  <c r="BR442"/>
  <c r="BQ442"/>
  <c r="BP442"/>
  <c r="BO442"/>
  <c r="BN442"/>
  <c r="BM442"/>
  <c r="BL442"/>
  <c r="AZ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AZ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AZ435"/>
  <c r="BK435"/>
  <c r="BJ435"/>
  <c r="BI435"/>
  <c r="BH435"/>
  <c r="BG435"/>
  <c r="BF435"/>
  <c r="BE435"/>
  <c r="BD435"/>
  <c r="BC435"/>
  <c r="BB435"/>
  <c r="BA435"/>
  <c r="AX435"/>
  <c r="AW435"/>
  <c r="AV435"/>
  <c r="AC435"/>
  <c r="H435"/>
  <c r="G435"/>
  <c r="BT434"/>
  <c r="BS434"/>
  <c r="BR434"/>
  <c r="BQ434"/>
  <c r="BP434"/>
  <c r="BO434"/>
  <c r="BN434"/>
  <c r="BM434"/>
  <c r="BL434"/>
  <c r="AZ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Z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Z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AZ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AZ419"/>
  <c r="BK419"/>
  <c r="BJ419"/>
  <c r="BI419"/>
  <c r="BH419"/>
  <c r="BG419"/>
  <c r="BF419"/>
  <c r="BE419"/>
  <c r="BD419"/>
  <c r="BC419"/>
  <c r="BB419"/>
  <c r="BA419"/>
  <c r="AX419"/>
  <c r="AW419"/>
  <c r="AV419"/>
  <c r="AC419"/>
  <c r="H419"/>
  <c r="G419"/>
  <c r="BT418"/>
  <c r="BS418"/>
  <c r="BR418"/>
  <c r="BQ418"/>
  <c r="BP418"/>
  <c r="BO418"/>
  <c r="BN418"/>
  <c r="BM418"/>
  <c r="BL418"/>
  <c r="AZ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Z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Z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AZ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AZ403"/>
  <c r="BK403"/>
  <c r="BJ403"/>
  <c r="BI403"/>
  <c r="BH403"/>
  <c r="BG403"/>
  <c r="BF403"/>
  <c r="BE403"/>
  <c r="BD403"/>
  <c r="BC403"/>
  <c r="BB403"/>
  <c r="BA403"/>
  <c r="AX403"/>
  <c r="AW403"/>
  <c r="AV403"/>
  <c r="AC403"/>
  <c r="H403"/>
  <c r="G403"/>
  <c r="BT402"/>
  <c r="BS402"/>
  <c r="BR402"/>
  <c r="BQ402"/>
  <c r="BP402"/>
  <c r="BO402"/>
  <c r="BN402"/>
  <c r="BM402"/>
  <c r="BL402"/>
  <c r="AZ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Z398"/>
  <c r="AX398"/>
  <c r="AW398"/>
  <c r="AV398"/>
  <c r="AC398"/>
  <c r="H398"/>
  <c r="G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C26" i="31"/>
  <c r="Q26"/>
  <c r="E26"/>
  <c r="C27"/>
  <c r="Q27"/>
  <c r="E27"/>
  <c r="C28"/>
  <c r="Q28"/>
  <c r="E28"/>
  <c r="C29"/>
  <c r="Q29"/>
  <c r="E29"/>
  <c r="C30"/>
  <c r="Q30"/>
  <c r="E30"/>
  <c r="C31"/>
  <c r="Q31"/>
  <c r="E31"/>
  <c r="C32"/>
  <c r="Q32"/>
  <c r="E32"/>
  <c r="C33"/>
  <c r="Q33"/>
  <c r="E33"/>
  <c r="C34"/>
  <c r="Q34"/>
  <c r="E34"/>
  <c r="C35"/>
  <c r="Q35"/>
  <c r="E35"/>
  <c r="C36"/>
  <c r="Q36"/>
  <c r="E36"/>
  <c r="C37"/>
  <c r="Q37"/>
  <c r="E37"/>
  <c r="C38"/>
  <c r="Q38"/>
  <c r="E38"/>
  <c r="C39"/>
  <c r="Q39"/>
  <c r="E39"/>
  <c r="C40"/>
  <c r="Q40"/>
  <c r="E40"/>
  <c r="C41"/>
  <c r="Q41"/>
  <c r="E41"/>
  <c r="R42"/>
  <c r="R43"/>
  <c r="S43" s="1"/>
  <c r="R44"/>
  <c r="R45"/>
  <c r="S45" s="1"/>
  <c r="R46"/>
  <c r="R47"/>
  <c r="S47" s="1"/>
  <c r="R48"/>
  <c r="R49"/>
  <c r="S49" s="1"/>
  <c r="R50"/>
  <c r="R51"/>
  <c r="S51" s="1"/>
  <c r="R52"/>
  <c r="R53"/>
  <c r="S53" s="1"/>
  <c r="R54"/>
  <c r="R55"/>
  <c r="S55" s="1"/>
  <c r="R56"/>
  <c r="R57"/>
  <c r="S57" s="1"/>
  <c r="R58"/>
  <c r="R59"/>
  <c r="S59" s="1"/>
  <c r="R60"/>
  <c r="R61"/>
  <c r="S61" s="1"/>
  <c r="R62"/>
  <c r="R63"/>
  <c r="S63" s="1"/>
  <c r="R64"/>
  <c r="R65"/>
  <c r="S65" s="1"/>
  <c r="R66"/>
  <c r="R67"/>
  <c r="S67" s="1"/>
  <c r="R68"/>
  <c r="R69"/>
  <c r="S69" s="1"/>
  <c r="R70"/>
  <c r="R71"/>
  <c r="S71" s="1"/>
  <c r="R72"/>
  <c r="R73"/>
  <c r="S73" s="1"/>
  <c r="R74"/>
  <c r="R75"/>
  <c r="S75" s="1"/>
  <c r="R76"/>
  <c r="R77"/>
  <c r="S77" s="1"/>
  <c r="R78"/>
  <c r="R79"/>
  <c r="R80"/>
  <c r="R81"/>
  <c r="R82"/>
  <c r="R83"/>
  <c r="R84"/>
  <c r="R85"/>
  <c r="R86"/>
  <c r="R87"/>
  <c r="R88"/>
  <c r="R89"/>
  <c r="R90"/>
  <c r="R91"/>
  <c r="R92"/>
  <c r="R93"/>
  <c r="R94"/>
  <c r="R95"/>
  <c r="R96"/>
  <c r="R97"/>
  <c r="R98"/>
  <c r="R99"/>
  <c r="S99" s="1"/>
  <c r="R100"/>
  <c r="R101"/>
  <c r="S101" s="1"/>
  <c r="R102"/>
  <c r="R103"/>
  <c r="S103" s="1"/>
  <c r="R104"/>
  <c r="R105"/>
  <c r="S105" s="1"/>
  <c r="R106"/>
  <c r="R107"/>
  <c r="S107" s="1"/>
  <c r="R108"/>
  <c r="R109"/>
  <c r="S109" s="1"/>
  <c r="R110"/>
  <c r="R111"/>
  <c r="S111" s="1"/>
  <c r="R112"/>
  <c r="R113"/>
  <c r="S113" s="1"/>
  <c r="R114"/>
  <c r="R115"/>
  <c r="S115" s="1"/>
  <c r="R116"/>
  <c r="R117"/>
  <c r="S117" s="1"/>
  <c r="R118"/>
  <c r="R119"/>
  <c r="S119" s="1"/>
  <c r="R120"/>
  <c r="R121"/>
  <c r="S121" s="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S223" s="1"/>
  <c r="R224"/>
  <c r="R225"/>
  <c r="S225" s="1"/>
  <c r="R226"/>
  <c r="R227"/>
  <c r="S227" s="1"/>
  <c r="R228"/>
  <c r="R229"/>
  <c r="S229" s="1"/>
  <c r="R230"/>
  <c r="R231"/>
  <c r="S231" s="1"/>
  <c r="R232"/>
  <c r="R233"/>
  <c r="S233" s="1"/>
  <c r="R234"/>
  <c r="R235"/>
  <c r="S235" s="1"/>
  <c r="R236"/>
  <c r="R237"/>
  <c r="S237" s="1"/>
  <c r="R238"/>
  <c r="R239"/>
  <c r="S239" s="1"/>
  <c r="R240"/>
  <c r="R241"/>
  <c r="S241" s="1"/>
  <c r="R242"/>
  <c r="R243"/>
  <c r="S243" s="1"/>
  <c r="R244"/>
  <c r="R245"/>
  <c r="S245" s="1"/>
  <c r="R246"/>
  <c r="R247"/>
  <c r="S247" s="1"/>
  <c r="R248"/>
  <c r="R249"/>
  <c r="S249" s="1"/>
  <c r="R250"/>
  <c r="R251"/>
  <c r="S251" s="1"/>
  <c r="R252"/>
  <c r="R253"/>
  <c r="S253" s="1"/>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S469" s="1"/>
  <c r="R470"/>
  <c r="R471"/>
  <c r="S471" s="1"/>
  <c r="R472"/>
  <c r="R473"/>
  <c r="S473" s="1"/>
  <c r="R474"/>
  <c r="R475"/>
  <c r="S475" s="1"/>
  <c r="R476"/>
  <c r="R477"/>
  <c r="S477" s="1"/>
  <c r="R478"/>
  <c r="R479"/>
  <c r="S479" s="1"/>
  <c r="R480"/>
  <c r="R481"/>
  <c r="S481" s="1"/>
  <c r="R482"/>
  <c r="R483"/>
  <c r="S483" s="1"/>
  <c r="R484"/>
  <c r="R485"/>
  <c r="S485" s="1"/>
  <c r="R486"/>
  <c r="R487"/>
  <c r="S487" s="1"/>
  <c r="R488"/>
  <c r="R489"/>
  <c r="S489" s="1"/>
  <c r="R490"/>
  <c r="R491"/>
  <c r="S491" s="1"/>
  <c r="R492"/>
  <c r="R493"/>
  <c r="S493" s="1"/>
  <c r="R494"/>
  <c r="R495"/>
  <c r="S495" s="1"/>
  <c r="R496"/>
  <c r="R497"/>
  <c r="S497" s="1"/>
  <c r="R498"/>
  <c r="R499"/>
  <c r="S499" s="1"/>
  <c r="R500"/>
  <c r="R501"/>
  <c r="R502"/>
  <c r="R503"/>
  <c r="S503" s="1"/>
  <c r="R504"/>
  <c r="R505"/>
  <c r="R506"/>
  <c r="R507"/>
  <c r="S507" s="1"/>
  <c r="R508"/>
  <c r="R509"/>
  <c r="S509" s="1"/>
  <c r="R510"/>
  <c r="R511"/>
  <c r="S511" s="1"/>
  <c r="R512"/>
  <c r="R513"/>
  <c r="S513" s="1"/>
  <c r="R514"/>
  <c r="R515"/>
  <c r="S515" s="1"/>
  <c r="R516"/>
  <c r="R517"/>
  <c r="S517" s="1"/>
  <c r="R518"/>
  <c r="R519"/>
  <c r="S519" s="1"/>
  <c r="R520"/>
  <c r="R521"/>
  <c r="S521" s="1"/>
  <c r="R522"/>
  <c r="R523"/>
  <c r="S523" s="1"/>
  <c r="R524"/>
  <c r="C25"/>
  <c r="Q25"/>
  <c r="E25"/>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L22" i="4"/>
  <c r="B61" i="72"/>
  <c r="L20" i="4"/>
  <c r="A5" i="62"/>
  <c r="B72" i="72"/>
  <c r="A4" i="62"/>
  <c r="B70" i="72"/>
  <c r="F33" i="9"/>
  <c r="B37" i="48"/>
  <c r="B2" i="72"/>
  <c r="B13" i="53"/>
  <c r="B29" i="72"/>
  <c r="R35" i="4"/>
  <c r="Q35"/>
  <c r="P35"/>
  <c r="O35"/>
  <c r="N35"/>
  <c r="M35"/>
  <c r="L35"/>
  <c r="K34"/>
  <c r="T34"/>
  <c r="G13" i="1"/>
  <c r="G11"/>
  <c r="I15" i="4"/>
  <c r="H15"/>
  <c r="G15"/>
  <c r="E15"/>
  <c r="D15"/>
  <c r="F7" i="1"/>
  <c r="G7"/>
  <c r="L21" i="4"/>
  <c r="F19"/>
  <c r="F2" i="52"/>
  <c r="B50" i="72"/>
  <c r="D2" i="52"/>
  <c r="B46" i="72"/>
  <c r="B8" i="53"/>
  <c r="B23" i="72"/>
  <c r="L4" i="9"/>
  <c r="B17" i="72"/>
  <c r="B15"/>
  <c r="A3" i="51"/>
  <c r="C8" i="11"/>
  <c r="B2" i="49"/>
  <c r="E17" s="1"/>
  <c r="B40" i="48"/>
  <c r="B3" i="72"/>
  <c r="I2" i="43"/>
  <c r="N1"/>
  <c r="F35" i="4"/>
  <c r="J55" i="39"/>
  <c r="H34" i="43"/>
  <c r="H35"/>
  <c r="H36"/>
  <c r="H37"/>
  <c r="H38"/>
  <c r="H39"/>
  <c r="H33"/>
  <c r="J20"/>
  <c r="C18"/>
  <c r="F15"/>
  <c r="E15"/>
  <c r="D15"/>
  <c r="C15"/>
  <c r="C10"/>
  <c r="C11"/>
  <c r="C9"/>
  <c r="A7"/>
  <c r="F33" i="15"/>
  <c r="F61"/>
  <c r="M19"/>
  <c r="M10" i="1"/>
  <c r="O10"/>
  <c r="B22"/>
  <c r="B23"/>
  <c r="B24"/>
  <c r="B43"/>
  <c r="D78" i="9"/>
  <c r="BQ14" i="3"/>
  <c r="BQ15"/>
  <c r="BQ16"/>
  <c r="BQ17"/>
  <c r="BS14"/>
  <c r="BS15"/>
  <c r="BS16"/>
  <c r="BS17"/>
  <c r="BR14"/>
  <c r="BR15"/>
  <c r="BR16"/>
  <c r="BR17"/>
  <c r="BT14"/>
  <c r="BT15"/>
  <c r="BT16"/>
  <c r="BT17"/>
  <c r="BM14"/>
  <c r="BM15"/>
  <c r="BL15"/>
  <c r="BM16"/>
  <c r="BM17"/>
  <c r="BO14"/>
  <c r="BO15"/>
  <c r="BO16"/>
  <c r="BO17"/>
  <c r="BN14"/>
  <c r="BN15"/>
  <c r="BN16"/>
  <c r="BN17"/>
  <c r="BP14"/>
  <c r="BP15"/>
  <c r="BP16"/>
  <c r="BP17"/>
  <c r="E19" i="6"/>
  <c r="E20"/>
  <c r="E21"/>
  <c r="K8" i="1"/>
  <c r="M8"/>
  <c r="F23" i="15"/>
  <c r="D24"/>
  <c r="O8" i="1"/>
  <c r="P8"/>
  <c r="M13"/>
  <c r="O13"/>
  <c r="P13"/>
  <c r="E22" i="6"/>
  <c r="E23"/>
  <c r="E24"/>
  <c r="E25"/>
  <c r="E26"/>
  <c r="BB14" i="3"/>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AC13"/>
  <c r="H14"/>
  <c r="AC14"/>
  <c r="G14"/>
  <c r="H15"/>
  <c r="AC15"/>
  <c r="H16"/>
  <c r="AC16"/>
  <c r="H17"/>
  <c r="AC17"/>
  <c r="AT5"/>
  <c r="AD5"/>
  <c r="AH5"/>
  <c r="AL5"/>
  <c r="AP5"/>
  <c r="F35" i="11"/>
  <c r="F36"/>
  <c r="F38"/>
  <c r="E37"/>
  <c r="F20"/>
  <c r="F21"/>
  <c r="C21"/>
  <c r="F7"/>
  <c r="C7"/>
  <c r="C5"/>
  <c r="F12" i="12"/>
  <c r="F13"/>
  <c r="F15"/>
  <c r="E14"/>
  <c r="BC11" i="3"/>
  <c r="BD11"/>
  <c r="BB11"/>
  <c r="E19" i="12"/>
  <c r="E20"/>
  <c r="E17"/>
  <c r="F22"/>
  <c r="F23"/>
  <c r="F24"/>
  <c r="C17" i="9"/>
  <c r="D17"/>
  <c r="I55"/>
  <c r="F55"/>
  <c r="O53"/>
  <c r="D89"/>
  <c r="C89"/>
  <c r="C87"/>
  <c r="G12" i="1"/>
  <c r="J55" i="9"/>
  <c r="B31" i="1"/>
  <c r="B52"/>
  <c r="M20" i="15"/>
  <c r="T4" i="1"/>
  <c r="F15" i="15"/>
  <c r="F17"/>
  <c r="F18"/>
  <c r="F20"/>
  <c r="F2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42" i="31"/>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P23"/>
  <c r="N23"/>
  <c r="L23"/>
  <c r="J23"/>
  <c r="H23"/>
  <c r="F23"/>
  <c r="O25"/>
  <c r="M25"/>
  <c r="K25"/>
  <c r="G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2"/>
  <c r="S250"/>
  <c r="S248"/>
  <c r="S246"/>
  <c r="S244"/>
  <c r="S242"/>
  <c r="S240"/>
  <c r="S238"/>
  <c r="S236"/>
  <c r="S234"/>
  <c r="S232"/>
  <c r="S230"/>
  <c r="S228"/>
  <c r="S226"/>
  <c r="S224"/>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6"/>
  <c r="S494"/>
  <c r="S492"/>
  <c r="S490"/>
  <c r="S488"/>
  <c r="S486"/>
  <c r="S484"/>
  <c r="S482"/>
  <c r="S480"/>
  <c r="S478"/>
  <c r="S476"/>
  <c r="S474"/>
  <c r="S472"/>
  <c r="S470"/>
  <c r="S468"/>
  <c r="S444"/>
  <c r="S443"/>
  <c r="S442"/>
  <c r="S441"/>
  <c r="S440"/>
  <c r="S439"/>
  <c r="S438"/>
  <c r="S437"/>
  <c r="S436"/>
  <c r="S435"/>
  <c r="S434"/>
  <c r="S433"/>
  <c r="S432"/>
  <c r="S431"/>
  <c r="S430"/>
  <c r="S122"/>
  <c r="S120"/>
  <c r="S118"/>
  <c r="S116"/>
  <c r="S114"/>
  <c r="S112"/>
  <c r="S506"/>
  <c r="S504"/>
  <c r="S502"/>
  <c r="S500"/>
  <c r="S498"/>
  <c r="S467"/>
  <c r="S466"/>
  <c r="S465"/>
  <c r="S464"/>
  <c r="S463"/>
  <c r="S462"/>
  <c r="S461"/>
  <c r="S460"/>
  <c r="S459"/>
  <c r="S458"/>
  <c r="S457"/>
  <c r="S456"/>
  <c r="S455"/>
  <c r="S454"/>
  <c r="S453"/>
  <c r="S452"/>
  <c r="S451"/>
  <c r="S450"/>
  <c r="S54"/>
  <c r="S52"/>
  <c r="S50"/>
  <c r="S48"/>
  <c r="S46"/>
  <c r="S44"/>
  <c r="S42"/>
  <c r="S76"/>
  <c r="S74"/>
  <c r="S72"/>
  <c r="S70"/>
  <c r="S68"/>
  <c r="S66"/>
  <c r="S64"/>
  <c r="S62"/>
  <c r="S60"/>
  <c r="S58"/>
  <c r="S56"/>
  <c r="S97"/>
  <c r="S96"/>
  <c r="S95"/>
  <c r="S94"/>
  <c r="S93"/>
  <c r="S92"/>
  <c r="S91"/>
  <c r="S90"/>
  <c r="S89"/>
  <c r="S88"/>
  <c r="S87"/>
  <c r="S86"/>
  <c r="S85"/>
  <c r="S84"/>
  <c r="S83"/>
  <c r="S82"/>
  <c r="S81"/>
  <c r="S80"/>
  <c r="S79"/>
  <c r="S78"/>
  <c r="S98"/>
  <c r="S100"/>
  <c r="S102"/>
  <c r="S104"/>
  <c r="S106"/>
  <c r="S108"/>
  <c r="S110"/>
  <c r="S445"/>
  <c r="S446"/>
  <c r="S447"/>
  <c r="S448"/>
  <c r="S449"/>
  <c r="S508"/>
  <c r="S510"/>
  <c r="S512"/>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c r="AZ548"/>
  <c r="BQ548"/>
  <c r="BR548"/>
  <c r="BS548"/>
  <c r="BT548"/>
  <c r="H549"/>
  <c r="AC549"/>
  <c r="BB549"/>
  <c r="BC549"/>
  <c r="BD549"/>
  <c r="BE549"/>
  <c r="BF549"/>
  <c r="BG549"/>
  <c r="BH549"/>
  <c r="BI549"/>
  <c r="BJ549"/>
  <c r="BK549"/>
  <c r="BM549"/>
  <c r="BN549"/>
  <c r="BO549"/>
  <c r="BP549"/>
  <c r="BR549"/>
  <c r="BS549"/>
  <c r="BT549"/>
  <c r="H550"/>
  <c r="AC550"/>
  <c r="BB550"/>
  <c r="BA550"/>
  <c r="BC550"/>
  <c r="BD550"/>
  <c r="BE550"/>
  <c r="BF550"/>
  <c r="BG550"/>
  <c r="BH550"/>
  <c r="BI550"/>
  <c r="BJ550"/>
  <c r="BK550"/>
  <c r="BM550"/>
  <c r="BN550"/>
  <c r="BO550"/>
  <c r="BL550"/>
  <c r="BP550"/>
  <c r="BQ550"/>
  <c r="BR550"/>
  <c r="BS550"/>
  <c r="BT550"/>
  <c r="H551"/>
  <c r="G551"/>
  <c r="AC551"/>
  <c r="BB551"/>
  <c r="BC551"/>
  <c r="BD551"/>
  <c r="BA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0" i="33"/>
  <c r="J41"/>
  <c r="D113"/>
  <c r="F37"/>
  <c r="D111"/>
  <c r="E111"/>
  <c r="F111"/>
  <c r="S516" i="31"/>
  <c r="S518"/>
  <c r="S520"/>
  <c r="S522"/>
  <c r="S524"/>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54"/>
  <c r="F54"/>
  <c r="P49"/>
  <c r="P48"/>
  <c r="V47"/>
  <c r="T47"/>
  <c r="R47"/>
  <c r="P47"/>
  <c r="Q46"/>
  <c r="Z46"/>
  <c r="Q45"/>
  <c r="Z45"/>
  <c r="Q44"/>
  <c r="Z44"/>
  <c r="Q43"/>
  <c r="Z43"/>
  <c r="Q42"/>
  <c r="Z42"/>
  <c r="J42"/>
  <c r="AC42"/>
  <c r="AC41"/>
  <c r="W41"/>
  <c r="Q41"/>
  <c r="Z41"/>
  <c r="Q40"/>
  <c r="Z40"/>
  <c r="J40"/>
  <c r="AC40"/>
  <c r="H40"/>
  <c r="AB40"/>
  <c r="AA40"/>
  <c r="Q39"/>
  <c r="Z39"/>
  <c r="J39"/>
  <c r="AC39"/>
  <c r="Q38"/>
  <c r="Z38"/>
  <c r="J38"/>
  <c r="AC38"/>
  <c r="H38"/>
  <c r="AB38"/>
  <c r="F38"/>
  <c r="AA38"/>
  <c r="Q37"/>
  <c r="Z37"/>
  <c r="Q36"/>
  <c r="Z36"/>
  <c r="Q35"/>
  <c r="Z35"/>
  <c r="H35"/>
  <c r="AB35"/>
  <c r="Q34"/>
  <c r="Z34"/>
  <c r="Q33"/>
  <c r="Z33"/>
  <c r="J33"/>
  <c r="AC33" s="1"/>
  <c r="V48" s="1"/>
  <c r="I48" s="1"/>
  <c r="H33"/>
  <c r="AB33" s="1"/>
  <c r="T48" s="1"/>
  <c r="G48" s="1"/>
  <c r="F33"/>
  <c r="AA33" s="1"/>
  <c r="R48" s="1"/>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J5" i="3"/>
  <c r="BE10"/>
  <c r="BB585"/>
  <c r="BC585"/>
  <c r="BD585"/>
  <c r="BE585"/>
  <c r="BF585"/>
  <c r="BG585"/>
  <c r="BH585"/>
  <c r="BI585"/>
  <c r="BJ585"/>
  <c r="BK585"/>
  <c r="BM585"/>
  <c r="BN585"/>
  <c r="BO585"/>
  <c r="BP585"/>
  <c r="BQ585"/>
  <c r="BR585"/>
  <c r="BS585"/>
  <c r="BL585"/>
  <c r="AZ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H39" i="33"/>
  <c r="AB39"/>
  <c r="F26"/>
  <c r="AA26"/>
  <c r="S9"/>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32" i="33"/>
  <c r="AB32"/>
  <c r="H11" i="21"/>
  <c r="U11"/>
  <c r="J11"/>
  <c r="W11"/>
  <c r="H37" i="40"/>
  <c r="U37"/>
  <c r="H36"/>
  <c r="AB36"/>
  <c r="F35"/>
  <c r="AA35"/>
  <c r="H23"/>
  <c r="AB23"/>
  <c r="H17"/>
  <c r="U17"/>
  <c r="J15"/>
  <c r="W15"/>
  <c r="J11"/>
  <c r="W11"/>
  <c r="AB8" i="39"/>
  <c r="AB12" i="33"/>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F41" i="33"/>
  <c r="AA41"/>
  <c r="S38"/>
  <c r="E113"/>
  <c r="F32"/>
  <c r="AA32"/>
  <c r="J19"/>
  <c r="AC19"/>
  <c r="J15"/>
  <c r="AC15"/>
  <c r="F11"/>
  <c r="AA11"/>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H37"/>
  <c r="AB37"/>
  <c r="H15"/>
  <c r="AB15"/>
  <c r="H11"/>
  <c r="AB11"/>
  <c r="F28" i="40"/>
  <c r="AA28"/>
  <c r="AA29" i="35"/>
  <c r="AA42" i="34"/>
  <c r="S42"/>
  <c r="AC38"/>
  <c r="AA38"/>
  <c r="J37"/>
  <c r="AC37"/>
  <c r="J11" i="33"/>
  <c r="W11"/>
  <c r="S28" i="34"/>
  <c r="U23" i="40"/>
  <c r="G123" i="21"/>
  <c r="H123"/>
  <c r="I123"/>
  <c r="J123"/>
  <c r="K123"/>
  <c r="L123"/>
  <c r="M123"/>
  <c r="J42"/>
  <c r="AC42"/>
  <c r="H42"/>
  <c r="U42"/>
  <c r="J44" i="34"/>
  <c r="F44"/>
  <c r="AA44"/>
  <c r="J10" i="35"/>
  <c r="W10"/>
  <c r="BL587" i="3"/>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H26" i="33"/>
  <c r="U26"/>
  <c r="H28"/>
  <c r="U28"/>
  <c r="F28"/>
  <c r="AA28"/>
  <c r="J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c r="F14"/>
  <c r="S14"/>
  <c r="J14"/>
  <c r="H30"/>
  <c r="AB30"/>
  <c r="F30"/>
  <c r="J30"/>
  <c r="H44"/>
  <c r="J44"/>
  <c r="AC44"/>
  <c r="F44"/>
  <c r="S44"/>
  <c r="J46"/>
  <c r="AC46"/>
  <c r="F46"/>
  <c r="AA46"/>
  <c r="H46"/>
  <c r="AB46"/>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44" i="33"/>
  <c r="AA13" i="35"/>
  <c r="U31" i="34"/>
  <c r="U46" i="33"/>
  <c r="AA14"/>
  <c r="J36" i="37"/>
  <c r="AC36"/>
  <c r="G105"/>
  <c r="AB11" i="36"/>
  <c r="AB11" i="35"/>
  <c r="J10" i="36"/>
  <c r="AC10"/>
  <c r="AB26" i="33"/>
  <c r="AB30" i="21"/>
  <c r="AA14" i="37"/>
  <c r="W31" i="34"/>
  <c r="AC13" i="36"/>
  <c r="W13"/>
  <c r="S11"/>
  <c r="W11"/>
  <c r="W11" i="35"/>
  <c r="AB46" i="34"/>
  <c r="AC30"/>
  <c r="AA14"/>
  <c r="S45" i="33"/>
  <c r="AB45"/>
  <c r="AB31"/>
  <c r="U31"/>
  <c r="W29"/>
  <c r="U13"/>
  <c r="AC28" i="21"/>
  <c r="S44" i="34"/>
  <c r="BA586" i="3"/>
  <c r="BA585"/>
  <c r="F17" i="21"/>
  <c r="AA17"/>
  <c r="H17"/>
  <c r="AB17"/>
  <c r="F15"/>
  <c r="S15"/>
  <c r="AB11"/>
  <c r="J41" i="39"/>
  <c r="W4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c r="BA580"/>
  <c r="AZ580"/>
  <c r="BA578"/>
  <c r="AZ578"/>
  <c r="BA576"/>
  <c r="AZ576"/>
  <c r="BA574"/>
  <c r="AZ574"/>
  <c r="BA572"/>
  <c r="AZ572"/>
  <c r="BA570"/>
  <c r="AZ570"/>
  <c r="BA568"/>
  <c r="AZ568"/>
  <c r="BA566"/>
  <c r="AZ566"/>
  <c r="BA564"/>
  <c r="AZ564"/>
  <c r="BA562"/>
  <c r="AZ562"/>
  <c r="BA560"/>
  <c r="BA558"/>
  <c r="AZ558"/>
  <c r="BA556"/>
  <c r="AZ556"/>
  <c r="BA554"/>
  <c r="AZ554"/>
  <c r="BA552"/>
  <c r="AZ552"/>
  <c r="BA548"/>
  <c r="BA546"/>
  <c r="BA544"/>
  <c r="AZ544"/>
  <c r="BA542"/>
  <c r="AZ542"/>
  <c r="BA540"/>
  <c r="AZ540"/>
  <c r="BA538"/>
  <c r="AZ538"/>
  <c r="BA536"/>
  <c r="AZ536"/>
  <c r="BA534"/>
  <c r="AZ534"/>
  <c r="BA532"/>
  <c r="AZ532"/>
  <c r="BA530"/>
  <c r="BA528"/>
  <c r="AZ528"/>
  <c r="BA526"/>
  <c r="AZ526"/>
  <c r="BA524"/>
  <c r="AZ524"/>
  <c r="BA522"/>
  <c r="BA520"/>
  <c r="BA518"/>
  <c r="AZ518"/>
  <c r="BA516"/>
  <c r="AZ516"/>
  <c r="BA514"/>
  <c r="BA512"/>
  <c r="AZ512"/>
  <c r="BA510"/>
  <c r="AZ510"/>
  <c r="BA508"/>
  <c r="BA506"/>
  <c r="BA504"/>
  <c r="AZ504"/>
  <c r="BA502"/>
  <c r="BA500"/>
  <c r="BA498"/>
  <c r="AZ498"/>
  <c r="BA496"/>
  <c r="BA494"/>
  <c r="BA587"/>
  <c r="AZ587"/>
  <c r="BA583"/>
  <c r="BA581"/>
  <c r="AZ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Z557"/>
  <c r="AC557"/>
  <c r="G557"/>
  <c r="BQ557"/>
  <c r="BL557"/>
  <c r="BQ583"/>
  <c r="BL583"/>
  <c r="AZ583"/>
  <c r="BQ581"/>
  <c r="BL581"/>
  <c r="BQ579"/>
  <c r="BL579"/>
  <c r="AZ579"/>
  <c r="BQ577"/>
  <c r="BL577"/>
  <c r="AZ577"/>
  <c r="BQ575"/>
  <c r="BL575"/>
  <c r="AZ575"/>
  <c r="BQ573"/>
  <c r="BL573"/>
  <c r="AZ573"/>
  <c r="BQ571"/>
  <c r="BL571"/>
  <c r="AZ571"/>
  <c r="BQ569"/>
  <c r="BL569"/>
  <c r="AZ569"/>
  <c r="BQ567"/>
  <c r="BL567"/>
  <c r="AZ567"/>
  <c r="BQ565"/>
  <c r="BL565"/>
  <c r="AZ565"/>
  <c r="BQ563"/>
  <c r="BL563"/>
  <c r="BQ561"/>
  <c r="BL561"/>
  <c r="AZ561"/>
  <c r="BQ559"/>
  <c r="BL559"/>
  <c r="AZ559"/>
  <c r="G559"/>
  <c r="G555"/>
  <c r="G553"/>
  <c r="G549"/>
  <c r="G547"/>
  <c r="G545"/>
  <c r="G543"/>
  <c r="G541"/>
  <c r="G539"/>
  <c r="G537"/>
  <c r="BQ555"/>
  <c r="BL555"/>
  <c r="AZ555"/>
  <c r="BQ553"/>
  <c r="BL553"/>
  <c r="AZ553"/>
  <c r="BQ551"/>
  <c r="BL551"/>
  <c r="BQ549"/>
  <c r="BQ547"/>
  <c r="BL547"/>
  <c r="AZ547"/>
  <c r="BQ545"/>
  <c r="BL545"/>
  <c r="AZ545"/>
  <c r="BQ543"/>
  <c r="BL543"/>
  <c r="AZ543"/>
  <c r="BQ541"/>
  <c r="BL541"/>
  <c r="AZ541"/>
  <c r="BQ539"/>
  <c r="BL539"/>
  <c r="AZ539"/>
  <c r="BQ537"/>
  <c r="BL537"/>
  <c r="AZ537"/>
  <c r="BQ535"/>
  <c r="BL535"/>
  <c r="AZ535"/>
  <c r="BQ533"/>
  <c r="BL533"/>
  <c r="AZ533"/>
  <c r="BQ531"/>
  <c r="BL531"/>
  <c r="AZ531"/>
  <c r="BQ529"/>
  <c r="BL529"/>
  <c r="AZ529"/>
  <c r="BQ527"/>
  <c r="BL527"/>
  <c r="AZ527"/>
  <c r="BQ525"/>
  <c r="BL525"/>
  <c r="AZ525"/>
  <c r="BQ523"/>
  <c r="BL523"/>
  <c r="AZ523"/>
  <c r="BA521"/>
  <c r="AZ521"/>
  <c r="AC521"/>
  <c r="G521"/>
  <c r="BQ521"/>
  <c r="BL521"/>
  <c r="BL520"/>
  <c r="AZ520"/>
  <c r="G519"/>
  <c r="G517"/>
  <c r="G515"/>
  <c r="G513"/>
  <c r="G511"/>
  <c r="BQ519"/>
  <c r="BL519"/>
  <c r="AZ519"/>
  <c r="BQ517"/>
  <c r="BL517"/>
  <c r="AZ517"/>
  <c r="BQ515"/>
  <c r="BL515"/>
  <c r="AZ515"/>
  <c r="BQ513"/>
  <c r="BL513"/>
  <c r="AZ513"/>
  <c r="BQ511"/>
  <c r="BL511"/>
  <c r="AZ511"/>
  <c r="BA509"/>
  <c r="AC509"/>
  <c r="BQ509"/>
  <c r="BL509"/>
  <c r="BL508"/>
  <c r="AZ508"/>
  <c r="G507"/>
  <c r="G505"/>
  <c r="G503"/>
  <c r="G501"/>
  <c r="G499"/>
  <c r="G497"/>
  <c r="G495"/>
  <c r="BQ507"/>
  <c r="BL507"/>
  <c r="AZ507"/>
  <c r="BQ505"/>
  <c r="BL505"/>
  <c r="AZ505"/>
  <c r="BQ503"/>
  <c r="BL503"/>
  <c r="AZ503"/>
  <c r="BQ501"/>
  <c r="BL501"/>
  <c r="BQ499"/>
  <c r="BL499"/>
  <c r="BQ497"/>
  <c r="BL497"/>
  <c r="BQ495"/>
  <c r="BL495"/>
  <c r="AZ495"/>
  <c r="BQ493"/>
  <c r="AZ584"/>
  <c r="S505" i="31"/>
  <c r="S501"/>
  <c r="O27"/>
  <c r="O28"/>
  <c r="O26"/>
  <c r="M27"/>
  <c r="M28"/>
  <c r="M26"/>
  <c r="I26"/>
  <c r="I25"/>
  <c r="K26"/>
  <c r="I27"/>
  <c r="K27"/>
  <c r="I28"/>
  <c r="K28"/>
  <c r="AC28" i="34"/>
  <c r="S21" i="40"/>
  <c r="AA12" i="21"/>
  <c r="H25"/>
  <c r="U25"/>
  <c r="F25"/>
  <c r="S25"/>
  <c r="J25"/>
  <c r="AC25"/>
  <c r="E125" i="33"/>
  <c r="F125"/>
  <c r="H43"/>
  <c r="AB43"/>
  <c r="H17" i="37"/>
  <c r="U17"/>
  <c r="AB27"/>
  <c r="U32" i="33"/>
  <c r="AA36" i="39"/>
  <c r="F39" i="33"/>
  <c r="AA39"/>
  <c r="E123"/>
  <c r="F42"/>
  <c r="AA42"/>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H42"/>
  <c r="AB42"/>
  <c r="G125"/>
  <c r="J43"/>
  <c r="AC43"/>
  <c r="U43"/>
  <c r="U14" i="40"/>
  <c r="AC32" i="36"/>
  <c r="AC33"/>
  <c r="U35" i="35"/>
  <c r="AA12"/>
  <c r="W23"/>
  <c r="W14" i="37"/>
  <c r="AB28"/>
  <c r="U33"/>
  <c r="U39"/>
  <c r="W26"/>
  <c r="AC8"/>
  <c r="U26"/>
  <c r="W47" i="34"/>
  <c r="AB13"/>
  <c r="W37"/>
  <c r="AB37"/>
  <c r="AC36"/>
  <c r="AA13" i="33"/>
  <c r="AC31"/>
  <c r="AC45"/>
  <c r="W44"/>
  <c r="U11"/>
  <c r="U19" i="21"/>
  <c r="W44"/>
  <c r="U26"/>
  <c r="AC46"/>
  <c r="U12"/>
  <c r="AB38"/>
  <c r="F43" i="33"/>
  <c r="AA43"/>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H5"/>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H103" i="9"/>
  <c r="D8" i="53"/>
  <c r="B16"/>
  <c r="B33" i="72"/>
  <c r="C7" i="37"/>
  <c r="C7" i="34"/>
  <c r="C7" i="36"/>
  <c r="W35" i="40"/>
  <c r="A118" i="9"/>
  <c r="A4" i="52"/>
  <c r="B41" i="72"/>
  <c r="J11" i="39"/>
  <c r="W11"/>
  <c r="F11"/>
  <c r="AA11"/>
  <c r="A12" i="52"/>
  <c r="B56" i="72"/>
  <c r="S11" i="39"/>
  <c r="G4" i="4"/>
  <c r="I4"/>
  <c r="K5"/>
  <c r="B47" i="48"/>
  <c r="A2" i="9"/>
  <c r="N2" i="43"/>
  <c r="F59"/>
  <c r="AZ20" i="3"/>
  <c r="AZ24"/>
  <c r="AZ28"/>
  <c r="AZ32"/>
  <c r="AZ497"/>
  <c r="BL549"/>
  <c r="AZ494"/>
  <c r="AZ502"/>
  <c r="AZ514"/>
  <c r="AZ522"/>
  <c r="AZ530"/>
  <c r="AZ546"/>
  <c r="G546"/>
  <c r="G524"/>
  <c r="G303"/>
  <c r="BL304"/>
  <c r="G305"/>
  <c r="BL306"/>
  <c r="BA308"/>
  <c r="AZ308"/>
  <c r="BA309"/>
  <c r="BL309"/>
  <c r="G310"/>
  <c r="BA311"/>
  <c r="G319"/>
  <c r="BL320"/>
  <c r="G321"/>
  <c r="BL322"/>
  <c r="BA324"/>
  <c r="AZ324"/>
  <c r="BA325"/>
  <c r="BL325"/>
  <c r="G326"/>
  <c r="BA327"/>
  <c r="G335"/>
  <c r="BL336"/>
  <c r="G337"/>
  <c r="BL338"/>
  <c r="BA340"/>
  <c r="AZ340"/>
  <c r="BA341"/>
  <c r="BL341"/>
  <c r="BA343"/>
  <c r="BA345"/>
  <c r="BL355"/>
  <c r="G356"/>
  <c r="BL357"/>
  <c r="BA359"/>
  <c r="AZ359"/>
  <c r="BA360"/>
  <c r="BL360"/>
  <c r="G361"/>
  <c r="BA362"/>
  <c r="AZ362"/>
  <c r="G370"/>
  <c r="BL371"/>
  <c r="G372"/>
  <c r="BL373"/>
  <c r="BA375"/>
  <c r="AZ375"/>
  <c r="BA376"/>
  <c r="BL376"/>
  <c r="G377"/>
  <c r="BA378"/>
  <c r="AZ378"/>
  <c r="BL378"/>
  <c r="G379"/>
  <c r="BA380"/>
  <c r="G388"/>
  <c r="BL389"/>
  <c r="G390"/>
  <c r="BL391"/>
  <c r="BA393"/>
  <c r="AZ393"/>
  <c r="BA394"/>
  <c r="BL394"/>
  <c r="G113"/>
  <c r="BA115"/>
  <c r="AZ115"/>
  <c r="BL116"/>
  <c r="AZ116"/>
  <c r="G117"/>
  <c r="BA119"/>
  <c r="AZ119"/>
  <c r="BL120"/>
  <c r="G121"/>
  <c r="BA123"/>
  <c r="AZ123"/>
  <c r="BL124"/>
  <c r="AZ124"/>
  <c r="G125"/>
  <c r="BA127"/>
  <c r="AZ127"/>
  <c r="BL128"/>
  <c r="G129"/>
  <c r="BA131"/>
  <c r="AZ131"/>
  <c r="BL132"/>
  <c r="AZ132"/>
  <c r="G133"/>
  <c r="BA135"/>
  <c r="AZ135"/>
  <c r="BL136"/>
  <c r="G137"/>
  <c r="BA139"/>
  <c r="AZ139"/>
  <c r="BL140"/>
  <c r="AZ140"/>
  <c r="G141"/>
  <c r="BA143"/>
  <c r="AZ143"/>
  <c r="BL144"/>
  <c r="G145"/>
  <c r="BA147"/>
  <c r="AZ147"/>
  <c r="BL148"/>
  <c r="AZ148"/>
  <c r="G149"/>
  <c r="BA151"/>
  <c r="AZ151"/>
  <c r="BL152"/>
  <c r="G153"/>
  <c r="BA155"/>
  <c r="AZ155"/>
  <c r="BL156"/>
  <c r="AZ156"/>
  <c r="G157"/>
  <c r="BA159"/>
  <c r="AZ159"/>
  <c r="BL160"/>
  <c r="G161"/>
  <c r="BA163"/>
  <c r="AZ163"/>
  <c r="BL164"/>
  <c r="AZ164"/>
  <c r="G165"/>
  <c r="BA167"/>
  <c r="AZ167"/>
  <c r="BL168"/>
  <c r="G169"/>
  <c r="BA171"/>
  <c r="AZ171"/>
  <c r="BL172"/>
  <c r="AZ172"/>
  <c r="G173"/>
  <c r="BA175"/>
  <c r="AZ175"/>
  <c r="BL176"/>
  <c r="G177"/>
  <c r="BA179"/>
  <c r="AZ179"/>
  <c r="BL180"/>
  <c r="AZ180"/>
  <c r="G181"/>
  <c r="BA183"/>
  <c r="AZ183"/>
  <c r="BL184"/>
  <c r="G185"/>
  <c r="BA187"/>
  <c r="AZ187"/>
  <c r="BL188"/>
  <c r="AZ188"/>
  <c r="G189"/>
  <c r="BA191"/>
  <c r="AZ191"/>
  <c r="BL192"/>
  <c r="G193"/>
  <c r="BA195"/>
  <c r="AZ195"/>
  <c r="BL196"/>
  <c r="AZ196"/>
  <c r="G197"/>
  <c r="BA199"/>
  <c r="AZ199"/>
  <c r="BL200"/>
  <c r="G201"/>
  <c r="BA203"/>
  <c r="AZ203"/>
  <c r="BL204"/>
  <c r="AZ204"/>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G16"/>
  <c r="G15"/>
  <c r="BA304"/>
  <c r="AZ304"/>
  <c r="BA305"/>
  <c r="AZ305"/>
  <c r="BL305"/>
  <c r="G306"/>
  <c r="G309"/>
  <c r="BL310"/>
  <c r="BA312"/>
  <c r="AZ312"/>
  <c r="BA313"/>
  <c r="BL313"/>
  <c r="AZ313"/>
  <c r="G314"/>
  <c r="G317"/>
  <c r="BL318"/>
  <c r="BA320"/>
  <c r="AZ320"/>
  <c r="BA321"/>
  <c r="AZ321"/>
  <c r="BL321"/>
  <c r="G322"/>
  <c r="G325"/>
  <c r="BL326"/>
  <c r="BA328"/>
  <c r="AZ328"/>
  <c r="BA329"/>
  <c r="BL329"/>
  <c r="AZ329"/>
  <c r="G330"/>
  <c r="G333"/>
  <c r="BL334"/>
  <c r="BA336"/>
  <c r="AZ336"/>
  <c r="BA337"/>
  <c r="AZ337"/>
  <c r="BL337"/>
  <c r="G338"/>
  <c r="G341"/>
  <c r="BA342"/>
  <c r="BL342"/>
  <c r="AZ342"/>
  <c r="BA344"/>
  <c r="BL344"/>
  <c r="AZ344"/>
  <c r="BA346"/>
  <c r="AZ346"/>
  <c r="BA347"/>
  <c r="AZ347"/>
  <c r="BL347"/>
  <c r="G350"/>
  <c r="BA351"/>
  <c r="AZ351"/>
  <c r="BL351"/>
  <c r="G352"/>
  <c r="G354"/>
  <c r="BA355"/>
  <c r="AZ355"/>
  <c r="BA356"/>
  <c r="BL356"/>
  <c r="G357"/>
  <c r="G360"/>
  <c r="BL361"/>
  <c r="BA363"/>
  <c r="AZ363"/>
  <c r="BA364"/>
  <c r="BL364"/>
  <c r="G365"/>
  <c r="G368"/>
  <c r="BL369"/>
  <c r="BA371"/>
  <c r="AZ371"/>
  <c r="BA372"/>
  <c r="AZ372"/>
  <c r="BL372"/>
  <c r="G373"/>
  <c r="G376"/>
  <c r="BL377"/>
  <c r="BL379"/>
  <c r="BA381"/>
  <c r="AZ381"/>
  <c r="BA382"/>
  <c r="BL382"/>
  <c r="G383"/>
  <c r="G386"/>
  <c r="BL387"/>
  <c r="BA389"/>
  <c r="AZ389"/>
  <c r="BA390"/>
  <c r="BL390"/>
  <c r="G391"/>
  <c r="G394"/>
  <c r="AZ138"/>
  <c r="AZ142"/>
  <c r="AZ146"/>
  <c r="AZ150"/>
  <c r="AZ154"/>
  <c r="AZ158"/>
  <c r="AZ162"/>
  <c r="AZ166"/>
  <c r="AZ170"/>
  <c r="AZ174"/>
  <c r="AZ178"/>
  <c r="AZ182"/>
  <c r="AZ186"/>
  <c r="AZ190"/>
  <c r="AZ194"/>
  <c r="AZ198"/>
  <c r="AZ202"/>
  <c r="AZ206"/>
  <c r="AZ500"/>
  <c r="BA16"/>
  <c r="AZ16"/>
  <c r="BL303"/>
  <c r="G304"/>
  <c r="BA306"/>
  <c r="AZ306"/>
  <c r="BL307"/>
  <c r="AZ307"/>
  <c r="G308"/>
  <c r="BA310"/>
  <c r="AZ310"/>
  <c r="BL311"/>
  <c r="AZ311"/>
  <c r="G312"/>
  <c r="BA314"/>
  <c r="AZ314"/>
  <c r="BL315"/>
  <c r="AZ315"/>
  <c r="G316"/>
  <c r="BA318"/>
  <c r="AZ318"/>
  <c r="BL319"/>
  <c r="G320"/>
  <c r="BA322"/>
  <c r="AZ322"/>
  <c r="BL323"/>
  <c r="AZ323"/>
  <c r="G324"/>
  <c r="BA326"/>
  <c r="AZ326"/>
  <c r="BL327"/>
  <c r="AZ327"/>
  <c r="G328"/>
  <c r="BA330"/>
  <c r="AZ330"/>
  <c r="BL331"/>
  <c r="AZ331"/>
  <c r="G332"/>
  <c r="BA334"/>
  <c r="AZ334"/>
  <c r="BL335"/>
  <c r="G336"/>
  <c r="BA338"/>
  <c r="AZ338"/>
  <c r="BL339"/>
  <c r="AZ339"/>
  <c r="G340"/>
  <c r="BL343"/>
  <c r="G344"/>
  <c r="G348"/>
  <c r="G355"/>
  <c r="AZ209"/>
  <c r="AZ214"/>
  <c r="AZ218"/>
  <c r="AZ222"/>
  <c r="AZ303"/>
  <c r="AZ319"/>
  <c r="AZ335"/>
  <c r="G342"/>
  <c r="BL345"/>
  <c r="AZ345"/>
  <c r="G346"/>
  <c r="AZ348"/>
  <c r="BL349"/>
  <c r="AZ349"/>
  <c r="BL352"/>
  <c r="G353"/>
  <c r="BA357"/>
  <c r="AZ357"/>
  <c r="BL358"/>
  <c r="AZ358"/>
  <c r="G359"/>
  <c r="BA361"/>
  <c r="AZ361"/>
  <c r="BL362"/>
  <c r="G363"/>
  <c r="BA365"/>
  <c r="AZ365"/>
  <c r="BL366"/>
  <c r="AZ366"/>
  <c r="G367"/>
  <c r="BA369"/>
  <c r="AZ369"/>
  <c r="BL370"/>
  <c r="G371"/>
  <c r="BA373"/>
  <c r="AZ373"/>
  <c r="BL374"/>
  <c r="AZ374"/>
  <c r="G375"/>
  <c r="BA377"/>
  <c r="AZ377"/>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O5"/>
  <c r="BM5"/>
  <c r="F29" i="6"/>
  <c r="BJ5" i="3"/>
  <c r="BH5"/>
  <c r="BF5"/>
  <c r="BD5"/>
  <c r="AZ309"/>
  <c r="AZ317"/>
  <c r="AZ325"/>
  <c r="AZ333"/>
  <c r="AZ341"/>
  <c r="BQ5"/>
  <c r="AC5"/>
  <c r="AZ549"/>
  <c r="AZ506"/>
  <c r="AZ496"/>
  <c r="G548"/>
  <c r="G538"/>
  <c r="G520"/>
  <c r="G502"/>
  <c r="BS5"/>
  <c r="BP5"/>
  <c r="BN5"/>
  <c r="AZ343"/>
  <c r="BK5"/>
  <c r="BI5"/>
  <c r="BG5"/>
  <c r="BE5"/>
  <c r="BC5"/>
  <c r="G17"/>
  <c r="BA17"/>
  <c r="BT5"/>
  <c r="AZ350"/>
  <c r="AZ352"/>
  <c r="AZ356"/>
  <c r="AZ360"/>
  <c r="AZ364"/>
  <c r="AZ368"/>
  <c r="BA15"/>
  <c r="AZ15"/>
  <c r="BB5"/>
  <c r="BR5"/>
  <c r="G28" i="6"/>
  <c r="AZ380" i="3"/>
  <c r="AZ384"/>
  <c r="AZ388"/>
  <c r="AZ392"/>
  <c r="AZ396"/>
  <c r="AZ394"/>
  <c r="AZ499"/>
  <c r="AZ509"/>
  <c r="E8" i="6"/>
  <c r="F27"/>
  <c r="G509" i="3"/>
  <c r="BL493"/>
  <c r="AZ491"/>
  <c r="AZ376"/>
  <c r="AZ390"/>
  <c r="AZ382"/>
  <c r="AZ493"/>
  <c r="U36" i="40"/>
  <c r="N4" i="43"/>
  <c r="F36"/>
  <c r="F81"/>
  <c r="H83"/>
  <c r="H113"/>
  <c r="F48"/>
  <c r="H52"/>
  <c r="N7"/>
  <c r="F70"/>
  <c r="H73"/>
  <c r="M6"/>
  <c r="M11"/>
  <c r="E17"/>
  <c r="F39"/>
  <c r="I17"/>
  <c r="F35"/>
  <c r="J17"/>
  <c r="F6" i="1"/>
  <c r="U17" i="39"/>
  <c r="S14" i="35"/>
  <c r="U43" i="21"/>
  <c r="U35"/>
  <c r="AC35"/>
  <c r="U10"/>
  <c r="G8" i="1"/>
  <c r="G9"/>
  <c r="G10"/>
  <c r="F48" i="9"/>
  <c r="O52"/>
  <c r="AC11" i="39"/>
  <c r="AZ563" i="3"/>
  <c r="AZ501"/>
  <c r="W37" i="37"/>
  <c r="W44" i="34"/>
  <c r="AC44"/>
  <c r="S15" i="37"/>
  <c r="U13"/>
  <c r="U12" i="40"/>
  <c r="AA12"/>
  <c r="J37" i="33"/>
  <c r="W37"/>
  <c r="AC17" i="34"/>
  <c r="F106" i="33"/>
  <c r="G106"/>
  <c r="H106"/>
  <c r="I106"/>
  <c r="J106"/>
  <c r="K106"/>
  <c r="L106"/>
  <c r="M106"/>
  <c r="J34"/>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F10" i="33"/>
  <c r="S10"/>
  <c r="F34"/>
  <c r="S34"/>
  <c r="H34"/>
  <c r="U34"/>
  <c r="F35"/>
  <c r="S35"/>
  <c r="F39" i="34"/>
  <c r="S39"/>
  <c r="J39"/>
  <c r="W39"/>
  <c r="F40"/>
  <c r="S40"/>
  <c r="F43"/>
  <c r="AA43"/>
  <c r="H44"/>
  <c r="AB44"/>
  <c r="AC38" i="39"/>
  <c r="F39"/>
  <c r="S39"/>
  <c r="J39"/>
  <c r="AC39"/>
  <c r="E97"/>
  <c r="F97"/>
  <c r="G97"/>
  <c r="AZ353" i="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74"/>
  <c r="H50"/>
  <c r="H49"/>
  <c r="H48"/>
  <c r="F23" i="39"/>
  <c r="AA23"/>
  <c r="H27" i="36"/>
  <c r="U27"/>
  <c r="F27"/>
  <c r="AA27"/>
  <c r="H33" i="34"/>
  <c r="U33"/>
  <c r="F32" i="37"/>
  <c r="AA32"/>
  <c r="G96"/>
  <c r="H96"/>
  <c r="I96"/>
  <c r="J96"/>
  <c r="K96"/>
  <c r="L96"/>
  <c r="M96"/>
  <c r="F20" i="36"/>
  <c r="AA20"/>
  <c r="J33" i="34"/>
  <c r="AC33"/>
  <c r="H23" i="39"/>
  <c r="U23"/>
  <c r="D48" i="9"/>
  <c r="M52"/>
  <c r="H86" i="43"/>
  <c r="H82"/>
  <c r="H87"/>
  <c r="K9" i="1"/>
  <c r="M9"/>
  <c r="O9"/>
  <c r="P9"/>
  <c r="AE9"/>
  <c r="D93" i="9"/>
  <c r="E12" i="6"/>
  <c r="E15"/>
  <c r="E60" i="40"/>
  <c r="K6" i="1"/>
  <c r="E13" i="6"/>
  <c r="E58" i="40"/>
  <c r="G29" i="6"/>
  <c r="E29"/>
  <c r="AC26" i="33"/>
  <c r="W26"/>
  <c r="W27" i="34"/>
  <c r="AC27"/>
  <c r="AB34" i="36"/>
  <c r="U34"/>
  <c r="AB33"/>
  <c r="U33"/>
  <c r="AC12" i="39"/>
  <c r="W12"/>
  <c r="AC39" i="40"/>
  <c r="W39"/>
  <c r="AZ401" i="3"/>
  <c r="AZ412"/>
  <c r="AZ417"/>
  <c r="AZ428"/>
  <c r="AZ433"/>
  <c r="AZ465"/>
  <c r="AZ586"/>
  <c r="F22" i="43"/>
  <c r="B113"/>
  <c r="B115"/>
  <c r="C115"/>
  <c r="K101"/>
  <c r="K103"/>
  <c r="F101"/>
  <c r="F104"/>
  <c r="N101"/>
  <c r="N102"/>
  <c r="E22"/>
  <c r="G101"/>
  <c r="G105"/>
  <c r="C101"/>
  <c r="C104"/>
  <c r="J101"/>
  <c r="J104"/>
  <c r="N104" i="46"/>
  <c r="W12" i="33"/>
  <c r="AC12"/>
  <c r="AA32" i="36"/>
  <c r="S32"/>
  <c r="AZ551" i="3"/>
  <c r="AZ550"/>
  <c r="AZ408"/>
  <c r="AZ437"/>
  <c r="AZ441"/>
  <c r="AZ457"/>
  <c r="AZ473"/>
  <c r="AZ490"/>
  <c r="AA39" i="34"/>
  <c r="F28" i="6"/>
  <c r="BL14" i="3"/>
  <c r="AZ266"/>
  <c r="U30" i="33"/>
  <c r="AC13" i="34"/>
  <c r="AA47"/>
  <c r="W28" i="37"/>
  <c r="S19" i="39"/>
  <c r="F12" i="33"/>
  <c r="H12" i="39"/>
  <c r="AB12"/>
  <c r="F39" i="40"/>
  <c r="BA14" i="3"/>
  <c r="AZ14"/>
  <c r="AZ367"/>
  <c r="AZ213"/>
  <c r="AZ224"/>
  <c r="AZ234"/>
  <c r="AZ238"/>
  <c r="AZ250"/>
  <c r="AZ254"/>
  <c r="AZ281"/>
  <c r="AZ286"/>
  <c r="AZ297"/>
  <c r="AZ149"/>
  <c r="AZ157"/>
  <c r="AZ165"/>
  <c r="AZ173"/>
  <c r="AZ181"/>
  <c r="AZ189"/>
  <c r="AZ197"/>
  <c r="AZ19"/>
  <c r="AZ26"/>
  <c r="AZ35"/>
  <c r="AZ41"/>
  <c r="S12" i="1"/>
  <c r="R12"/>
  <c r="B12"/>
  <c r="E12"/>
  <c r="S10"/>
  <c r="AQ10"/>
  <c r="R10"/>
  <c r="B10"/>
  <c r="E10"/>
  <c r="D1" i="66"/>
  <c r="E10"/>
  <c r="AZ80" i="3"/>
  <c r="AZ84"/>
  <c r="AZ88"/>
  <c r="AZ107"/>
  <c r="AZ111"/>
  <c r="K12" i="1"/>
  <c r="M12"/>
  <c r="O12"/>
  <c r="P12"/>
  <c r="S13"/>
  <c r="AR13"/>
  <c r="R13"/>
  <c r="S11"/>
  <c r="AQ11"/>
  <c r="R11"/>
  <c r="S9"/>
  <c r="AR9"/>
  <c r="R9"/>
  <c r="J51" i="67"/>
  <c r="C42" i="1"/>
  <c r="H100" i="43"/>
  <c r="C30" i="66"/>
  <c r="E26"/>
  <c r="AC34" i="33"/>
  <c r="AA34"/>
  <c r="D117" i="43"/>
  <c r="E117"/>
  <c r="F117"/>
  <c r="G117"/>
  <c r="H117"/>
  <c r="B41" i="1"/>
  <c r="F53" i="9"/>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AA35"/>
  <c r="S27"/>
  <c r="S32"/>
  <c r="AA29"/>
  <c r="AB29"/>
  <c r="W38"/>
  <c r="H41"/>
  <c r="F121"/>
  <c r="G121"/>
  <c r="H121"/>
  <c r="I121"/>
  <c r="J121"/>
  <c r="K121"/>
  <c r="L121"/>
  <c r="M121"/>
  <c r="U42"/>
  <c r="S42"/>
  <c r="F36"/>
  <c r="G111"/>
  <c r="G108"/>
  <c r="H108"/>
  <c r="I108"/>
  <c r="J108"/>
  <c r="K108"/>
  <c r="L108"/>
  <c r="M108"/>
  <c r="J35"/>
  <c r="S37"/>
  <c r="AA37"/>
  <c r="S39"/>
  <c r="F101"/>
  <c r="G101"/>
  <c r="H101"/>
  <c r="I101"/>
  <c r="J101"/>
  <c r="K101"/>
  <c r="L101"/>
  <c r="M101"/>
  <c r="J32"/>
  <c r="S46"/>
  <c r="W43"/>
  <c r="S43"/>
  <c r="F91"/>
  <c r="H27"/>
  <c r="F87"/>
  <c r="H25"/>
  <c r="F25"/>
  <c r="J23"/>
  <c r="F85"/>
  <c r="H23"/>
  <c r="F81"/>
  <c r="F19"/>
  <c r="S19"/>
  <c r="W19"/>
  <c r="J17"/>
  <c r="F79"/>
  <c r="S15"/>
  <c r="W15"/>
  <c r="U9"/>
  <c r="I66"/>
  <c r="J10"/>
  <c r="H10"/>
  <c r="AA10"/>
  <c r="AC11"/>
  <c r="AB14"/>
  <c r="W43" i="21"/>
  <c r="W36"/>
  <c r="W41"/>
  <c r="AB39"/>
  <c r="AA43"/>
  <c r="S39"/>
  <c r="AA38"/>
  <c r="AA36"/>
  <c r="AC40"/>
  <c r="J15"/>
  <c r="W15"/>
  <c r="F77"/>
  <c r="G77"/>
  <c r="F23"/>
  <c r="S23"/>
  <c r="E85"/>
  <c r="AC11"/>
  <c r="AA14"/>
  <c r="AB8"/>
  <c r="S8"/>
  <c r="M3" i="43"/>
  <c r="N10"/>
  <c r="M1"/>
  <c r="M8"/>
  <c r="N8"/>
  <c r="N9"/>
  <c r="D120" i="9"/>
  <c r="C18"/>
  <c r="D18"/>
  <c r="F34" i="67"/>
  <c r="F62"/>
  <c r="M20"/>
  <c r="F34" i="15"/>
  <c r="F62"/>
  <c r="E10" i="6"/>
  <c r="BA5" i="3"/>
  <c r="E27" i="6"/>
  <c r="E11"/>
  <c r="E61" i="39"/>
  <c r="BL17" i="3"/>
  <c r="AZ17"/>
  <c r="E65" i="39"/>
  <c r="G30" i="6"/>
  <c r="G31"/>
  <c r="J56" i="9"/>
  <c r="J57"/>
  <c r="A24" i="51"/>
  <c r="B18" i="72"/>
  <c r="U29" i="34"/>
  <c r="C106" i="43"/>
  <c r="E14" i="6"/>
  <c r="E64" i="39"/>
  <c r="E5" i="6"/>
  <c r="D9" i="11"/>
  <c r="C9"/>
  <c r="J105" i="43"/>
  <c r="I115"/>
  <c r="J115"/>
  <c r="K115"/>
  <c r="L115"/>
  <c r="M115"/>
  <c r="G102"/>
  <c r="P10" i="1"/>
  <c r="H22" i="43"/>
  <c r="L101"/>
  <c r="L109"/>
  <c r="H101"/>
  <c r="D101"/>
  <c r="D109"/>
  <c r="M101"/>
  <c r="M109"/>
  <c r="I101"/>
  <c r="I109"/>
  <c r="E101"/>
  <c r="G22"/>
  <c r="D22"/>
  <c r="E32" i="6"/>
  <c r="L19"/>
  <c r="G1" i="68"/>
  <c r="K1" i="12"/>
  <c r="F30" i="6"/>
  <c r="F31"/>
  <c r="E28"/>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D102"/>
  <c r="E102"/>
  <c r="H102"/>
  <c r="I102"/>
  <c r="L102"/>
  <c r="M102"/>
  <c r="D103"/>
  <c r="E103"/>
  <c r="F103"/>
  <c r="H103"/>
  <c r="I103"/>
  <c r="L103"/>
  <c r="M103"/>
  <c r="D104"/>
  <c r="E104"/>
  <c r="H104"/>
  <c r="I104"/>
  <c r="L104"/>
  <c r="M104"/>
  <c r="N104"/>
  <c r="D105"/>
  <c r="E105"/>
  <c r="F105"/>
  <c r="H105"/>
  <c r="I105"/>
  <c r="L105"/>
  <c r="M105"/>
  <c r="D106"/>
  <c r="E106"/>
  <c r="H106"/>
  <c r="I106"/>
  <c r="J106"/>
  <c r="L106"/>
  <c r="M106"/>
  <c r="D107"/>
  <c r="E107"/>
  <c r="H107"/>
  <c r="I107"/>
  <c r="L107"/>
  <c r="M107"/>
  <c r="N107"/>
  <c r="S2"/>
  <c r="E56" i="40"/>
  <c r="AR12" i="1"/>
  <c r="AQ12"/>
  <c r="T12"/>
  <c r="AR10"/>
  <c r="T10"/>
  <c r="E19" i="69"/>
  <c r="E19" i="68"/>
  <c r="E19" i="11"/>
  <c r="E1" i="73"/>
  <c r="G41" i="69"/>
  <c r="G22"/>
  <c r="G41" i="68"/>
  <c r="G22"/>
  <c r="G27" i="12"/>
  <c r="G26"/>
  <c r="G41" i="11"/>
  <c r="G22"/>
  <c r="G25" i="12"/>
  <c r="C109" i="43"/>
  <c r="J109"/>
  <c r="C100"/>
  <c r="K109"/>
  <c r="E11"/>
  <c r="E10"/>
  <c r="E9"/>
  <c r="E8"/>
  <c r="C7"/>
  <c r="E81"/>
  <c r="B79"/>
  <c r="F109"/>
  <c r="AJ11"/>
  <c r="AJ13"/>
  <c r="AH11"/>
  <c r="AH13"/>
  <c r="AF11"/>
  <c r="AF13"/>
  <c r="AD11"/>
  <c r="AD13"/>
  <c r="AB11"/>
  <c r="AB13"/>
  <c r="Z11"/>
  <c r="Z13"/>
  <c r="Z7"/>
  <c r="S5"/>
  <c r="AI11"/>
  <c r="AI13"/>
  <c r="AG11"/>
  <c r="AG13"/>
  <c r="AE11"/>
  <c r="AE13"/>
  <c r="AC11"/>
  <c r="AC13"/>
  <c r="AA11"/>
  <c r="AA13"/>
  <c r="Y11"/>
  <c r="Y13"/>
  <c r="E48"/>
  <c r="B46"/>
  <c r="E70"/>
  <c r="B68"/>
  <c r="G109"/>
  <c r="N109"/>
  <c r="F100"/>
  <c r="H17"/>
  <c r="D9" i="53"/>
  <c r="B25" i="72"/>
  <c r="B24"/>
  <c r="G6" i="1"/>
  <c r="H85" i="43"/>
  <c r="H81"/>
  <c r="H84"/>
  <c r="H88"/>
  <c r="H53"/>
  <c r="H54"/>
  <c r="H78"/>
  <c r="H70"/>
  <c r="H71"/>
  <c r="C17"/>
  <c r="F33"/>
  <c r="G17"/>
  <c r="F34"/>
  <c r="M7"/>
  <c r="N6"/>
  <c r="M2"/>
  <c r="C6"/>
  <c r="M10"/>
  <c r="N3"/>
  <c r="N11"/>
  <c r="F38"/>
  <c r="F37"/>
  <c r="M9"/>
  <c r="N12"/>
  <c r="N5"/>
  <c r="M5"/>
  <c r="M12"/>
  <c r="M4"/>
  <c r="B19" i="53"/>
  <c r="B37" i="72"/>
  <c r="C7" i="39"/>
  <c r="C68"/>
  <c r="C70"/>
  <c r="C7" i="35"/>
  <c r="C7" i="33"/>
  <c r="C58"/>
  <c r="D58"/>
  <c r="E58"/>
  <c r="F58"/>
  <c r="G58"/>
  <c r="H58"/>
  <c r="I58"/>
  <c r="J58"/>
  <c r="K58"/>
  <c r="L58"/>
  <c r="M58"/>
  <c r="N58"/>
  <c r="O58"/>
  <c r="C7" i="21"/>
  <c r="C7" i="40"/>
  <c r="C63"/>
  <c r="M47" i="9"/>
  <c r="T35" i="4"/>
  <c r="A19" i="51"/>
  <c r="B14" i="72"/>
  <c r="C46" i="36"/>
  <c r="D46"/>
  <c r="E46"/>
  <c r="C59" i="34"/>
  <c r="D59"/>
  <c r="C52" i="37"/>
  <c r="D52"/>
  <c r="A4" i="51"/>
  <c r="B6" i="72"/>
  <c r="C48" i="35"/>
  <c r="D48"/>
  <c r="C58" i="21"/>
  <c r="D58"/>
  <c r="C94" i="9"/>
  <c r="C4" i="12"/>
  <c r="C92" i="9"/>
  <c r="H62" i="43"/>
  <c r="H66"/>
  <c r="H61"/>
  <c r="H65"/>
  <c r="H60"/>
  <c r="H64"/>
  <c r="H59"/>
  <c r="H63"/>
  <c r="H67"/>
  <c r="H55"/>
  <c r="H51"/>
  <c r="H56"/>
  <c r="H76"/>
  <c r="H72"/>
  <c r="H77"/>
  <c r="L20" i="6"/>
  <c r="E62" i="39"/>
  <c r="E56"/>
  <c r="E51" i="40"/>
  <c r="B6" i="1"/>
  <c r="E6"/>
  <c r="K21" i="6"/>
  <c r="S8" i="1"/>
  <c r="K11"/>
  <c r="M11"/>
  <c r="O11"/>
  <c r="P11"/>
  <c r="AP6"/>
  <c r="B9"/>
  <c r="E9"/>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E4" i="4"/>
  <c r="C4"/>
  <c r="K4"/>
  <c r="B46" i="48"/>
  <c r="B4" i="72"/>
  <c r="AQ13" i="1"/>
  <c r="M6"/>
  <c r="O6"/>
  <c r="P6"/>
  <c r="F30" i="68"/>
  <c r="C30"/>
  <c r="F30" i="11"/>
  <c r="C48"/>
  <c r="F28" i="67"/>
  <c r="C28"/>
  <c r="F31" i="12"/>
  <c r="F52" i="9"/>
  <c r="C31" i="12"/>
  <c r="M18" i="67"/>
  <c r="F32"/>
  <c r="F60"/>
  <c r="F30" i="69"/>
  <c r="C48"/>
  <c r="F32" i="15"/>
  <c r="F60"/>
  <c r="M18"/>
  <c r="F28"/>
  <c r="E63" i="39"/>
  <c r="T11" i="1"/>
  <c r="D9" i="69"/>
  <c r="C9" s="1"/>
  <c r="D19" i="12"/>
  <c r="C19" s="1"/>
  <c r="AQ9" i="1"/>
  <c r="AR11"/>
  <c r="E59" i="40"/>
  <c r="D68" i="39"/>
  <c r="D70"/>
  <c r="C28" i="15"/>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48" i="68"/>
  <c r="C77" i="9"/>
  <c r="C74"/>
  <c r="E66" i="39"/>
  <c r="C30" i="69"/>
  <c r="D9" i="68"/>
  <c r="C9" s="1"/>
  <c r="K20" i="6"/>
  <c r="S7" i="1"/>
  <c r="E7" i="70"/>
  <c r="C24" i="12"/>
  <c r="AA39" i="40"/>
  <c r="S39"/>
  <c r="S12" i="33"/>
  <c r="AA12"/>
  <c r="C16" i="43"/>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c r="J111"/>
  <c r="K111"/>
  <c r="L111"/>
  <c r="M111"/>
  <c r="J36"/>
  <c r="H36"/>
  <c r="S36"/>
  <c r="AA36"/>
  <c r="AC32"/>
  <c r="W32"/>
  <c r="U27"/>
  <c r="AB27"/>
  <c r="G91"/>
  <c r="H91"/>
  <c r="I91"/>
  <c r="J91"/>
  <c r="K91"/>
  <c r="L91"/>
  <c r="M91"/>
  <c r="J27"/>
  <c r="U25"/>
  <c r="AB25"/>
  <c r="S25"/>
  <c r="AA25"/>
  <c r="G87"/>
  <c r="H87"/>
  <c r="I87"/>
  <c r="J87"/>
  <c r="K87"/>
  <c r="L87"/>
  <c r="M87"/>
  <c r="J25"/>
  <c r="AB23"/>
  <c r="U23"/>
  <c r="F23"/>
  <c r="G85"/>
  <c r="AC23"/>
  <c r="W23"/>
  <c r="AA19"/>
  <c r="H19"/>
  <c r="G81"/>
  <c r="G79"/>
  <c r="H17"/>
  <c r="F17"/>
  <c r="W17"/>
  <c r="AC17"/>
  <c r="U10"/>
  <c r="AB10"/>
  <c r="AC10"/>
  <c r="W10"/>
  <c r="AC37" i="21"/>
  <c r="U33"/>
  <c r="S37"/>
  <c r="AA23"/>
  <c r="AB15"/>
  <c r="J23"/>
  <c r="F85"/>
  <c r="G85"/>
  <c r="H23"/>
  <c r="S13"/>
  <c r="D6" i="52"/>
  <c r="D121" i="9"/>
  <c r="D7" i="52"/>
  <c r="K120" i="9"/>
  <c r="S6" i="43"/>
  <c r="S4"/>
  <c r="S3"/>
  <c r="S7"/>
  <c r="D113"/>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K14" i="1"/>
  <c r="M14"/>
  <c r="O14"/>
  <c r="P14"/>
  <c r="BL5" i="3"/>
  <c r="J59" i="9"/>
  <c r="J61"/>
  <c r="M21" i="6"/>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K19"/>
  <c r="S6" i="1"/>
  <c r="AQ6"/>
  <c r="K25" i="6"/>
  <c r="M25"/>
  <c r="I25"/>
  <c r="S25"/>
  <c r="K23"/>
  <c r="M23"/>
  <c r="I23"/>
  <c r="S23"/>
  <c r="E109" i="43"/>
  <c r="H109"/>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Q7"/>
  <c r="O19" i="43"/>
  <c r="C5"/>
  <c r="E52" i="37"/>
  <c r="F52"/>
  <c r="G52"/>
  <c r="H52"/>
  <c r="I52"/>
  <c r="J52"/>
  <c r="K52"/>
  <c r="L52"/>
  <c r="M52"/>
  <c r="N52"/>
  <c r="O52"/>
  <c r="F46" i="36"/>
  <c r="G46"/>
  <c r="H46"/>
  <c r="I46"/>
  <c r="J46"/>
  <c r="K46"/>
  <c r="L46"/>
  <c r="M46"/>
  <c r="N46"/>
  <c r="O46"/>
  <c r="E58" i="21"/>
  <c r="F58"/>
  <c r="E48" i="35"/>
  <c r="F48"/>
  <c r="G48"/>
  <c r="H48"/>
  <c r="I48"/>
  <c r="J48"/>
  <c r="K48"/>
  <c r="L48"/>
  <c r="M48"/>
  <c r="N48"/>
  <c r="O48"/>
  <c r="E59" i="34"/>
  <c r="F59"/>
  <c r="C65" i="40"/>
  <c r="D63"/>
  <c r="B5" i="62"/>
  <c r="B73" i="72"/>
  <c r="M19" i="6"/>
  <c r="S21"/>
  <c r="L27"/>
  <c r="S26"/>
  <c r="S22"/>
  <c r="M20"/>
  <c r="I20"/>
  <c r="G16" i="1"/>
  <c r="H10" i="40"/>
  <c r="U10"/>
  <c r="AP7" i="1"/>
  <c r="M7"/>
  <c r="O7"/>
  <c r="Q16"/>
  <c r="F27" i="69"/>
  <c r="C29" s="1"/>
  <c r="D27" s="1"/>
  <c r="H16" i="1"/>
  <c r="K16"/>
  <c r="AB45" i="21"/>
  <c r="AC33"/>
  <c r="W33"/>
  <c r="S33"/>
  <c r="AA33"/>
  <c r="W32"/>
  <c r="AC32"/>
  <c r="AB9"/>
  <c r="U9"/>
  <c r="AA32"/>
  <c r="S32"/>
  <c r="W9"/>
  <c r="AC9"/>
  <c r="AB32"/>
  <c r="U32"/>
  <c r="AA10"/>
  <c r="S10"/>
  <c r="C36" i="69"/>
  <c r="T7" i="1"/>
  <c r="AR7"/>
  <c r="C30" i="11"/>
  <c r="E6" i="70"/>
  <c r="K27" i="6"/>
  <c r="A18" i="62"/>
  <c r="B64" i="72"/>
  <c r="B1" i="74"/>
  <c r="D3" i="34"/>
  <c r="D3" i="21"/>
  <c r="D3" i="33"/>
  <c r="E36" i="43"/>
  <c r="U32" i="39"/>
  <c r="AB32"/>
  <c r="AC32"/>
  <c r="W32"/>
  <c r="W19" i="37"/>
  <c r="AC19"/>
  <c r="W23"/>
  <c r="AC23"/>
  <c r="AB11"/>
  <c r="U11"/>
  <c r="H63"/>
  <c r="I63"/>
  <c r="J63"/>
  <c r="K63"/>
  <c r="L63"/>
  <c r="M63"/>
  <c r="J11"/>
  <c r="W10"/>
  <c r="AC10"/>
  <c r="U11" i="34"/>
  <c r="AB11"/>
  <c r="AC10"/>
  <c r="W10"/>
  <c r="H70"/>
  <c r="I70"/>
  <c r="J70"/>
  <c r="K70"/>
  <c r="L70"/>
  <c r="M70"/>
  <c r="J11"/>
  <c r="AC36" i="33"/>
  <c r="W36"/>
  <c r="U36"/>
  <c r="AB36"/>
  <c r="W27"/>
  <c r="AC27"/>
  <c r="W25"/>
  <c r="AC25"/>
  <c r="AA23"/>
  <c r="S23"/>
  <c r="AB19"/>
  <c r="U19"/>
  <c r="AA17"/>
  <c r="S17"/>
  <c r="U17"/>
  <c r="AB17"/>
  <c r="U23" i="21"/>
  <c r="AB23"/>
  <c r="AC23"/>
  <c r="W23"/>
  <c r="T6" i="1"/>
  <c r="F7" i="36"/>
  <c r="S7"/>
  <c r="H7" i="37"/>
  <c r="U7"/>
  <c r="H6" i="3"/>
  <c r="AC6"/>
  <c r="E6" i="6"/>
  <c r="D19" i="11"/>
  <c r="C19"/>
  <c r="C20"/>
  <c r="C17" i="4"/>
  <c r="B4" i="52"/>
  <c r="B43" i="72"/>
  <c r="D37" i="11"/>
  <c r="L18" i="9"/>
  <c r="D14" i="12"/>
  <c r="D17" s="1"/>
  <c r="C17" s="1"/>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7" i="68"/>
  <c r="C29" s="1"/>
  <c r="D27" s="1"/>
  <c r="F28" i="12"/>
  <c r="C29" s="1"/>
  <c r="D28" s="1"/>
  <c r="P7" i="1"/>
  <c r="O16"/>
  <c r="I38" i="43"/>
  <c r="T11"/>
  <c r="V11"/>
  <c r="T16"/>
  <c r="V16"/>
  <c r="T14"/>
  <c r="V14"/>
  <c r="T12"/>
  <c r="V12"/>
  <c r="T9"/>
  <c r="V9"/>
  <c r="T3"/>
  <c r="V3"/>
  <c r="T7"/>
  <c r="V7"/>
  <c r="T2"/>
  <c r="V2"/>
  <c r="T8"/>
  <c r="V8"/>
  <c r="T15"/>
  <c r="V15"/>
  <c r="T13"/>
  <c r="V13"/>
  <c r="T10"/>
  <c r="V10"/>
  <c r="T5"/>
  <c r="V5"/>
  <c r="T6"/>
  <c r="V6"/>
  <c r="T4"/>
  <c r="V4"/>
  <c r="E39"/>
  <c r="I37"/>
  <c r="H7" i="35"/>
  <c r="F7" i="37"/>
  <c r="AB10" i="40"/>
  <c r="F10" i="39"/>
  <c r="S10"/>
  <c r="J7" i="35"/>
  <c r="F7"/>
  <c r="J7" i="36"/>
  <c r="H7"/>
  <c r="U7"/>
  <c r="J7" i="37"/>
  <c r="G59" i="34"/>
  <c r="H59"/>
  <c r="I59"/>
  <c r="J59"/>
  <c r="K59"/>
  <c r="L59"/>
  <c r="M59"/>
  <c r="N59"/>
  <c r="O59"/>
  <c r="G58" i="21"/>
  <c r="H58"/>
  <c r="I58"/>
  <c r="J58"/>
  <c r="K58"/>
  <c r="L58"/>
  <c r="M58"/>
  <c r="N58"/>
  <c r="O58"/>
  <c r="E63" i="40"/>
  <c r="D65"/>
  <c r="J7" i="34"/>
  <c r="I39" i="43"/>
  <c r="E68" i="39"/>
  <c r="F68"/>
  <c r="G68"/>
  <c r="H68"/>
  <c r="I68"/>
  <c r="J68"/>
  <c r="K68"/>
  <c r="L68"/>
  <c r="M68"/>
  <c r="N68"/>
  <c r="O68"/>
  <c r="J10" i="40"/>
  <c r="W10"/>
  <c r="C5" i="68"/>
  <c r="F10" i="40"/>
  <c r="AA10"/>
  <c r="S20" i="6"/>
  <c r="I19"/>
  <c r="M27"/>
  <c r="H10" i="39"/>
  <c r="J10"/>
  <c r="M16" i="1"/>
  <c r="N16"/>
  <c r="F27" i="11"/>
  <c r="F1" i="67"/>
  <c r="Q52"/>
  <c r="E37" i="43"/>
  <c r="AA7" i="36"/>
  <c r="R36"/>
  <c r="E36"/>
  <c r="E40"/>
  <c r="F40"/>
  <c r="AC11" i="37"/>
  <c r="W11"/>
  <c r="AB7"/>
  <c r="T42"/>
  <c r="G42"/>
  <c r="G46"/>
  <c r="H46"/>
  <c r="W11" i="34"/>
  <c r="AC11"/>
  <c r="H20" i="6"/>
  <c r="B2" i="74"/>
  <c r="AB7" i="36"/>
  <c r="T36"/>
  <c r="E38" i="43"/>
  <c r="E6" i="3"/>
  <c r="AA10" i="39"/>
  <c r="D10" i="68"/>
  <c r="D10" i="11"/>
  <c r="C10"/>
  <c r="D20" i="12"/>
  <c r="C20" s="1"/>
  <c r="D19" i="6"/>
  <c r="D25"/>
  <c r="D26"/>
  <c r="D15"/>
  <c r="C18" i="4"/>
  <c r="D22" i="6"/>
  <c r="D8"/>
  <c r="D21"/>
  <c r="D23"/>
  <c r="D24"/>
  <c r="D14"/>
  <c r="D20"/>
  <c r="R20"/>
  <c r="R7" i="1"/>
  <c r="D5" i="6"/>
  <c r="D6"/>
  <c r="D12"/>
  <c r="D9"/>
  <c r="D11"/>
  <c r="D10"/>
  <c r="D13"/>
  <c r="L19" i="9"/>
  <c r="D28" i="6"/>
  <c r="D29"/>
  <c r="E61" i="40"/>
  <c r="H25" i="6"/>
  <c r="R25"/>
  <c r="H22"/>
  <c r="H23"/>
  <c r="H21"/>
  <c r="H26"/>
  <c r="H24"/>
  <c r="C13" i="12"/>
  <c r="P16" i="1"/>
  <c r="C11" i="12"/>
  <c r="C12" s="1"/>
  <c r="F34" i="11"/>
  <c r="C37"/>
  <c r="F11" i="12"/>
  <c r="C23" s="1"/>
  <c r="F34" i="68"/>
  <c r="C36" s="1"/>
  <c r="AC10" i="40"/>
  <c r="I35" i="43"/>
  <c r="E35"/>
  <c r="I36"/>
  <c r="I34"/>
  <c r="E34"/>
  <c r="J7" i="21"/>
  <c r="AC7"/>
  <c r="V48"/>
  <c r="I48"/>
  <c r="F7" i="34"/>
  <c r="S7"/>
  <c r="AB7" i="35"/>
  <c r="T38"/>
  <c r="G38"/>
  <c r="G42"/>
  <c r="H42"/>
  <c r="U7"/>
  <c r="S7" i="37"/>
  <c r="AA7"/>
  <c r="R42"/>
  <c r="F7" i="21"/>
  <c r="S7"/>
  <c r="AA7" i="35"/>
  <c r="R38"/>
  <c r="S7"/>
  <c r="W7" i="36"/>
  <c r="AC7"/>
  <c r="V36"/>
  <c r="I36"/>
  <c r="I41"/>
  <c r="J41"/>
  <c r="AC7" i="35"/>
  <c r="V38"/>
  <c r="I38"/>
  <c r="W7"/>
  <c r="H7" i="21"/>
  <c r="AB7"/>
  <c r="T48"/>
  <c r="H7" i="34"/>
  <c r="U7"/>
  <c r="W7" i="37"/>
  <c r="AC7"/>
  <c r="V42"/>
  <c r="I42"/>
  <c r="W7" i="34"/>
  <c r="AC7"/>
  <c r="V49"/>
  <c r="I49"/>
  <c r="I53"/>
  <c r="J53"/>
  <c r="AA7"/>
  <c r="R49"/>
  <c r="F63" i="40"/>
  <c r="E65"/>
  <c r="E70" i="39"/>
  <c r="F70"/>
  <c r="S10" i="40"/>
  <c r="H19" i="6"/>
  <c r="S19"/>
  <c r="S27"/>
  <c r="I27"/>
  <c r="W10" i="39"/>
  <c r="AC10"/>
  <c r="U10"/>
  <c r="AB10"/>
  <c r="F50" i="11"/>
  <c r="F50" i="69"/>
  <c r="F50" i="68"/>
  <c r="C47" i="11"/>
  <c r="D45"/>
  <c r="C29"/>
  <c r="D27"/>
  <c r="C28"/>
  <c r="C27"/>
  <c r="L16" i="1"/>
  <c r="C34" i="11"/>
  <c r="C36"/>
  <c r="G36" i="36"/>
  <c r="R37"/>
  <c r="AB7" i="34"/>
  <c r="T49"/>
  <c r="G49"/>
  <c r="G53"/>
  <c r="H53"/>
  <c r="W7" i="21"/>
  <c r="AA7"/>
  <c r="R48"/>
  <c r="E48"/>
  <c r="E52"/>
  <c r="F52"/>
  <c r="R26" i="6"/>
  <c r="R23"/>
  <c r="R24"/>
  <c r="R21"/>
  <c r="R8" i="1"/>
  <c r="R22" i="6"/>
  <c r="D30"/>
  <c r="D16"/>
  <c r="A7" i="51"/>
  <c r="B7" i="72"/>
  <c r="C4" i="52"/>
  <c r="B45" i="72"/>
  <c r="A10" i="51"/>
  <c r="B9" i="72"/>
  <c r="D27" i="6"/>
  <c r="U7" i="21"/>
  <c r="I52"/>
  <c r="J52"/>
  <c r="I40" i="36"/>
  <c r="J40"/>
  <c r="R43" i="37"/>
  <c r="E42"/>
  <c r="I47"/>
  <c r="J47"/>
  <c r="G43" i="35"/>
  <c r="H43"/>
  <c r="I42"/>
  <c r="J42"/>
  <c r="R39"/>
  <c r="E38"/>
  <c r="I43"/>
  <c r="J43"/>
  <c r="G47" i="37"/>
  <c r="H47"/>
  <c r="I46"/>
  <c r="J46"/>
  <c r="G63" i="40"/>
  <c r="F65"/>
  <c r="G48" i="21"/>
  <c r="R50" i="34"/>
  <c r="E49"/>
  <c r="G70" i="39"/>
  <c r="H27" i="6"/>
  <c r="R19"/>
  <c r="C35" i="11"/>
  <c r="C38"/>
  <c r="D31" i="6"/>
  <c r="I6"/>
  <c r="R49" i="21"/>
  <c r="C48"/>
  <c r="G54" i="34"/>
  <c r="H54"/>
  <c r="I53" i="21"/>
  <c r="J53"/>
  <c r="C37" i="36"/>
  <c r="C36"/>
  <c r="G40"/>
  <c r="H40"/>
  <c r="E41"/>
  <c r="F41"/>
  <c r="G41"/>
  <c r="H41"/>
  <c r="R27" i="6"/>
  <c r="E47" i="37"/>
  <c r="F47"/>
  <c r="E46"/>
  <c r="F46"/>
  <c r="C43"/>
  <c r="C42"/>
  <c r="C39" i="35"/>
  <c r="C38"/>
  <c r="E43"/>
  <c r="F43"/>
  <c r="E42"/>
  <c r="F42"/>
  <c r="E54" i="34"/>
  <c r="F54"/>
  <c r="I54"/>
  <c r="J54"/>
  <c r="E53"/>
  <c r="F53"/>
  <c r="G52" i="21"/>
  <c r="H52"/>
  <c r="G53"/>
  <c r="H53"/>
  <c r="E53"/>
  <c r="F53"/>
  <c r="C49" i="34"/>
  <c r="C50"/>
  <c r="H63" i="40"/>
  <c r="G65"/>
  <c r="H70" i="39"/>
  <c r="C33" i="11"/>
  <c r="I5" i="6"/>
  <c r="C49" i="21"/>
  <c r="I63" i="40"/>
  <c r="H65"/>
  <c r="C39" i="11"/>
  <c r="I70" i="39"/>
  <c r="J63" i="40"/>
  <c r="I65"/>
  <c r="C46" i="11"/>
  <c r="C45"/>
  <c r="J70" i="39"/>
  <c r="K63" i="40"/>
  <c r="J65"/>
  <c r="K70" i="39"/>
  <c r="L63" i="40"/>
  <c r="K65"/>
  <c r="L70" i="39"/>
  <c r="E2" i="70"/>
  <c r="C34" i="69"/>
  <c r="C38" s="1"/>
  <c r="M63" i="40"/>
  <c r="L65"/>
  <c r="M70" i="39"/>
  <c r="D10" i="69"/>
  <c r="C10" s="1"/>
  <c r="N63" i="40"/>
  <c r="M65"/>
  <c r="O70" i="39"/>
  <c r="N70"/>
  <c r="O63" i="40"/>
  <c r="O65"/>
  <c r="N65"/>
  <c r="F7"/>
  <c r="H7"/>
  <c r="J7"/>
  <c r="W7"/>
  <c r="AC7"/>
  <c r="V42"/>
  <c r="I42"/>
  <c r="AB7"/>
  <c r="T42"/>
  <c r="G42"/>
  <c r="U7"/>
  <c r="AA7"/>
  <c r="R42"/>
  <c r="S7"/>
  <c r="I46"/>
  <c r="J46"/>
  <c r="E42"/>
  <c r="I47"/>
  <c r="J47"/>
  <c r="R43"/>
  <c r="G47"/>
  <c r="H47"/>
  <c r="G46"/>
  <c r="H46"/>
  <c r="C42"/>
  <c r="C43"/>
  <c r="E46"/>
  <c r="F46"/>
  <c r="E47"/>
  <c r="F47"/>
  <c r="B55"/>
  <c r="F55"/>
  <c r="B53"/>
  <c r="F53"/>
  <c r="B60"/>
  <c r="F60"/>
  <c r="F61"/>
  <c r="B2"/>
  <c r="B3"/>
  <c r="B57"/>
  <c r="F57"/>
  <c r="B58"/>
  <c r="F58"/>
  <c r="B59"/>
  <c r="F59"/>
  <c r="B52"/>
  <c r="F52"/>
  <c r="B56"/>
  <c r="F56"/>
  <c r="B51"/>
  <c r="F51"/>
  <c r="B54"/>
  <c r="F54"/>
  <c r="S16" i="1"/>
  <c r="AE7"/>
  <c r="T16"/>
  <c r="AE8"/>
  <c r="AG6"/>
  <c r="H109" i="9"/>
  <c r="H110"/>
  <c r="D18" i="53"/>
  <c r="B35" i="72"/>
  <c r="D124" i="9"/>
  <c r="D16" i="53"/>
  <c r="B34" i="72"/>
  <c r="D10" i="52"/>
  <c r="H14" i="74"/>
  <c r="D17" i="53"/>
  <c r="B36" i="72"/>
  <c r="D125" i="9"/>
  <c r="D11" i="52"/>
  <c r="B7" i="74"/>
  <c r="D7"/>
  <c r="C7"/>
  <c r="J7" i="33"/>
  <c r="W7"/>
  <c r="F7"/>
  <c r="S7"/>
  <c r="H7"/>
  <c r="AB7"/>
  <c r="AA7"/>
  <c r="U7"/>
  <c r="AC7"/>
  <c r="J7" i="39"/>
  <c r="AC7"/>
  <c r="V47"/>
  <c r="I47"/>
  <c r="F7"/>
  <c r="S7"/>
  <c r="H7"/>
  <c r="AB7"/>
  <c r="T47"/>
  <c r="G47"/>
  <c r="G52"/>
  <c r="H52"/>
  <c r="G51"/>
  <c r="H51"/>
  <c r="I51"/>
  <c r="J51"/>
  <c r="W7"/>
  <c r="U7"/>
  <c r="AA7"/>
  <c r="R47"/>
  <c r="R48"/>
  <c r="E47"/>
  <c r="C48"/>
  <c r="C47"/>
  <c r="E51"/>
  <c r="F51"/>
  <c r="E52"/>
  <c r="F52"/>
  <c r="I52"/>
  <c r="J52"/>
  <c r="B61"/>
  <c r="F61"/>
  <c r="B60"/>
  <c r="F60"/>
  <c r="B56"/>
  <c r="F56"/>
  <c r="B58"/>
  <c r="F58"/>
  <c r="B59"/>
  <c r="F59"/>
  <c r="B64"/>
  <c r="F64"/>
  <c r="B65"/>
  <c r="F65"/>
  <c r="B57"/>
  <c r="F57"/>
  <c r="B63"/>
  <c r="F63"/>
  <c r="B62"/>
  <c r="F62"/>
  <c r="F66"/>
  <c r="B2"/>
  <c r="B3"/>
  <c r="H112" i="9"/>
  <c r="D21" i="53"/>
  <c r="B39" i="72"/>
  <c r="H111" i="9"/>
  <c r="D126"/>
  <c r="D19" i="53"/>
  <c r="D59" i="9"/>
  <c r="M55"/>
  <c r="B38" i="72"/>
  <c r="D20" i="53"/>
  <c r="B40" i="72"/>
  <c r="I14" i="74"/>
  <c r="B8"/>
  <c r="D127" i="9"/>
  <c r="D13" i="52"/>
  <c r="D12"/>
  <c r="D8" i="74"/>
  <c r="C8"/>
  <c r="AD3" i="71"/>
  <c r="P21" i="43"/>
  <c r="P22"/>
  <c r="P23"/>
  <c r="B71" i="39"/>
  <c r="P24" i="43"/>
  <c r="B66" i="40"/>
  <c r="P25" i="43"/>
  <c r="K1" i="73"/>
  <c r="F31" i="15"/>
  <c r="F31" i="67"/>
  <c r="E14" i="49"/>
  <c r="E11"/>
  <c r="B15"/>
  <c r="E16"/>
  <c r="B11"/>
  <c r="E4"/>
  <c r="E21"/>
  <c r="B5"/>
  <c r="B8"/>
  <c r="E5"/>
  <c r="E8"/>
  <c r="E6"/>
  <c r="B10"/>
  <c r="B4" i="62"/>
  <c r="B71" i="72"/>
  <c r="C47" i="69"/>
  <c r="D45" s="1"/>
  <c r="M17" i="67"/>
  <c r="F59" i="15"/>
  <c r="F59" i="67"/>
  <c r="M17" i="15"/>
  <c r="C23" i="43"/>
  <c r="C21"/>
  <c r="C29"/>
  <c r="E29"/>
  <c r="C26"/>
  <c r="B2"/>
  <c r="C30"/>
  <c r="E30"/>
  <c r="C27"/>
  <c r="B3"/>
  <c r="F6" i="15"/>
  <c r="F7"/>
  <c r="F35"/>
  <c r="D5" i="73"/>
  <c r="F36" i="15"/>
  <c r="F13"/>
  <c r="F37"/>
  <c r="F38"/>
  <c r="F42"/>
  <c r="L48"/>
  <c r="M6"/>
  <c r="D2" i="33"/>
  <c r="E8" i="76"/>
  <c r="E12"/>
  <c r="B10"/>
  <c r="F5" i="73"/>
  <c r="D6"/>
  <c r="D4"/>
  <c r="AO13" i="1"/>
  <c r="C76" i="67"/>
  <c r="M22" i="15"/>
  <c r="F26" i="67"/>
  <c r="M28" i="15"/>
  <c r="L47"/>
  <c r="L47" i="67"/>
  <c r="F40"/>
  <c r="M26" i="15"/>
  <c r="M29"/>
  <c r="E7" i="76"/>
  <c r="E11"/>
  <c r="B8"/>
  <c r="B13"/>
  <c r="F7" i="73"/>
  <c r="D7"/>
  <c r="AO10" i="1"/>
  <c r="F6" i="67"/>
  <c r="F8"/>
  <c r="J15" i="15"/>
  <c r="F43" i="67"/>
  <c r="F16"/>
  <c r="M22"/>
  <c r="F36"/>
  <c r="M8"/>
  <c r="M21"/>
  <c r="AO7" i="1"/>
  <c r="F20" i="31"/>
  <c r="D34" i="9"/>
  <c r="M27" i="15"/>
  <c r="D2" i="21"/>
  <c r="F35" i="67"/>
  <c r="M27"/>
  <c r="D2" i="37"/>
  <c r="D35" i="9"/>
  <c r="F8" i="15"/>
  <c r="F9"/>
  <c r="F4" i="73"/>
  <c r="C14" i="15"/>
  <c r="F16"/>
  <c r="F43"/>
  <c r="G1" i="73"/>
  <c r="F26" i="15"/>
  <c r="F40"/>
  <c r="M8"/>
  <c r="M9"/>
  <c r="E10" i="76"/>
  <c r="B9"/>
  <c r="F3" i="73"/>
  <c r="AO12" i="1"/>
  <c r="M26" i="67"/>
  <c r="L48"/>
  <c r="F38"/>
  <c r="F9"/>
  <c r="E9" i="76"/>
  <c r="B11"/>
  <c r="F6" i="73"/>
  <c r="M24" i="15"/>
  <c r="F7" i="67"/>
  <c r="M6"/>
  <c r="F37"/>
  <c r="F42"/>
  <c r="E2" i="68"/>
  <c r="E2" i="69"/>
  <c r="D2" i="34"/>
  <c r="D2" i="35"/>
  <c r="B6" i="76"/>
  <c r="B12"/>
  <c r="D3" i="73"/>
  <c r="AO9" i="1"/>
  <c r="M24" i="67"/>
  <c r="F13"/>
  <c r="J15"/>
  <c r="M28"/>
  <c r="M23"/>
  <c r="E13" i="76"/>
  <c r="B7"/>
  <c r="AO11" i="1"/>
  <c r="M23" i="15"/>
  <c r="M9" i="67"/>
  <c r="C76" i="15"/>
  <c r="M29" i="67"/>
  <c r="F41"/>
  <c r="D2" i="36"/>
  <c r="M21" i="15"/>
  <c r="AO8" i="1"/>
  <c r="E6" i="76"/>
  <c r="G52" i="33" l="1"/>
  <c r="H52" s="1"/>
  <c r="G53"/>
  <c r="H53" s="1"/>
  <c r="E48"/>
  <c r="I53" s="1"/>
  <c r="J53" s="1"/>
  <c r="R49"/>
  <c r="I52"/>
  <c r="J52" s="1"/>
  <c r="E7" i="49"/>
  <c r="B13"/>
  <c r="E10"/>
  <c r="B4"/>
  <c r="B7"/>
  <c r="B9"/>
  <c r="B6"/>
  <c r="E22"/>
  <c r="B14"/>
  <c r="B16"/>
  <c r="E13"/>
  <c r="E15"/>
  <c r="C47" i="68"/>
  <c r="D45" s="1"/>
  <c r="D19" i="69"/>
  <c r="C19" s="1"/>
  <c r="C14" i="12"/>
  <c r="R16" i="1"/>
  <c r="C34" i="68"/>
  <c r="C35" s="1"/>
  <c r="C35" i="69"/>
  <c r="E2" i="76"/>
  <c r="B8" i="70"/>
  <c r="J20" i="15"/>
  <c r="B2" i="36"/>
  <c r="B3" s="1"/>
  <c r="F69" i="67"/>
  <c r="Q71" i="15"/>
  <c r="B11" i="70"/>
  <c r="B9"/>
  <c r="B2" i="76"/>
  <c r="B3" s="1"/>
  <c r="B2" i="35"/>
  <c r="B3" s="1"/>
  <c r="B2" i="34"/>
  <c r="B3" s="1"/>
  <c r="F70" i="67"/>
  <c r="F65"/>
  <c r="M7"/>
  <c r="J6" s="1"/>
  <c r="F50"/>
  <c r="F66"/>
  <c r="L56"/>
  <c r="J57"/>
  <c r="J55" s="1"/>
  <c r="J58" s="1"/>
  <c r="Q50" s="1"/>
  <c r="I54"/>
  <c r="B12" i="70"/>
  <c r="F68" i="15"/>
  <c r="C27"/>
  <c r="B40" i="1"/>
  <c r="F71" i="15"/>
  <c r="C15"/>
  <c r="C18"/>
  <c r="I1" i="73"/>
  <c r="B39" i="1" s="1"/>
  <c r="F51" i="15"/>
  <c r="B2" i="37"/>
  <c r="B3" s="1"/>
  <c r="F63" i="67"/>
  <c r="C62" s="1"/>
  <c r="C34"/>
  <c r="B2" i="21"/>
  <c r="B3" s="1"/>
  <c r="B7" i="70"/>
  <c r="J20" i="67"/>
  <c r="F64"/>
  <c r="F71"/>
  <c r="F51"/>
  <c r="C6"/>
  <c r="B10" i="70"/>
  <c r="F68" i="67"/>
  <c r="L59"/>
  <c r="M59"/>
  <c r="N59"/>
  <c r="L58"/>
  <c r="N59" i="15"/>
  <c r="L58"/>
  <c r="M59"/>
  <c r="L59"/>
  <c r="C27" i="67"/>
  <c r="Q71"/>
  <c r="B13" i="70"/>
  <c r="E20" i="43"/>
  <c r="J60" i="15"/>
  <c r="Q48" s="1"/>
  <c r="J59"/>
  <c r="L57"/>
  <c r="L60"/>
  <c r="L56"/>
  <c r="I54"/>
  <c r="J53"/>
  <c r="J57"/>
  <c r="J55" s="1"/>
  <c r="J58" s="1"/>
  <c r="Q50" s="1"/>
  <c r="F66"/>
  <c r="F65"/>
  <c r="F64"/>
  <c r="C34"/>
  <c r="F63"/>
  <c r="C62" s="1"/>
  <c r="M7"/>
  <c r="J6" s="1"/>
  <c r="F50"/>
  <c r="C6"/>
  <c r="C18" i="12"/>
  <c r="C15"/>
  <c r="C10" i="68"/>
  <c r="D19"/>
  <c r="D37" i="69"/>
  <c r="C37" s="1"/>
  <c r="C33" s="1"/>
  <c r="C8"/>
  <c r="C5" s="1"/>
  <c r="E9" i="49"/>
  <c r="B22"/>
  <c r="C14" i="67"/>
  <c r="C17" i="15"/>
  <c r="C16"/>
  <c r="C16" i="67"/>
  <c r="C17"/>
  <c r="E53" i="33" l="1"/>
  <c r="F53" s="1"/>
  <c r="E52"/>
  <c r="F52" s="1"/>
  <c r="C49"/>
  <c r="C48"/>
  <c r="C16" i="12"/>
  <c r="C38" i="68"/>
  <c r="C21" i="12"/>
  <c r="C49" i="67"/>
  <c r="C18"/>
  <c r="C15"/>
  <c r="C22" i="12"/>
  <c r="C30" s="1"/>
  <c r="C28" s="1"/>
  <c r="C19" i="15"/>
  <c r="C39" i="69"/>
  <c r="Q61" i="15"/>
  <c r="Q74"/>
  <c r="Q60"/>
  <c r="Q73"/>
  <c r="Q73" i="67"/>
  <c r="Q60"/>
  <c r="F11" i="15"/>
  <c r="C53" s="1"/>
  <c r="M11"/>
  <c r="J10" s="1"/>
  <c r="J5" s="1"/>
  <c r="M11" i="67"/>
  <c r="J10" s="1"/>
  <c r="J5" s="1"/>
  <c r="F11"/>
  <c r="F1" i="15"/>
  <c r="Q52"/>
  <c r="P17" i="43"/>
  <c r="M17"/>
  <c r="O17"/>
  <c r="N17"/>
  <c r="C20" i="69"/>
  <c r="C28" s="1"/>
  <c r="C27" s="1"/>
  <c r="C19" i="68"/>
  <c r="D37"/>
  <c r="C37" s="1"/>
  <c r="C33" s="1"/>
  <c r="Q57" i="15"/>
  <c r="Q66"/>
  <c r="Q74" i="67"/>
  <c r="Q61"/>
  <c r="F25" i="12"/>
  <c r="C26" s="1"/>
  <c r="D25" s="1"/>
  <c r="F22" i="69"/>
  <c r="F24" i="15"/>
  <c r="C24" s="1"/>
  <c r="F24" i="67"/>
  <c r="C24" s="1"/>
  <c r="F22" i="11"/>
  <c r="F22" i="68"/>
  <c r="L46" i="15"/>
  <c r="C49"/>
  <c r="AE6" i="1"/>
  <c r="F41" i="15" s="1"/>
  <c r="B3" i="33" l="1"/>
  <c r="B2"/>
  <c r="C19" i="67"/>
  <c r="C48" i="15"/>
  <c r="C66" s="1"/>
  <c r="C10"/>
  <c r="C5" s="1"/>
  <c r="C33" s="1"/>
  <c r="F69"/>
  <c r="J26"/>
  <c r="J29" s="1"/>
  <c r="J24"/>
  <c r="J18"/>
  <c r="J24" i="67"/>
  <c r="J26"/>
  <c r="J29" s="1"/>
  <c r="J18"/>
  <c r="C26" i="68"/>
  <c r="D22" s="1"/>
  <c r="C44"/>
  <c r="D41" s="1"/>
  <c r="C23"/>
  <c r="C26" i="69"/>
  <c r="D22" s="1"/>
  <c r="C44"/>
  <c r="D41" s="1"/>
  <c r="C24"/>
  <c r="C42" i="68"/>
  <c r="C39"/>
  <c r="C43" s="1"/>
  <c r="C20" i="67"/>
  <c r="C26" s="1"/>
  <c r="C23" i="69"/>
  <c r="C42"/>
  <c r="C43"/>
  <c r="C27" i="12"/>
  <c r="C25" s="1"/>
  <c r="C32" s="1"/>
  <c r="B2" s="1"/>
  <c r="B3" s="1"/>
  <c r="C42" i="11"/>
  <c r="C44"/>
  <c r="D41" s="1"/>
  <c r="C23"/>
  <c r="C43"/>
  <c r="C26"/>
  <c r="D22" s="1"/>
  <c r="C25"/>
  <c r="C24"/>
  <c r="C24" i="68"/>
  <c r="C20"/>
  <c r="C25" s="1"/>
  <c r="C10" i="67"/>
  <c r="C5" s="1"/>
  <c r="C53"/>
  <c r="C48" s="1"/>
  <c r="C20" i="15"/>
  <c r="C26" s="1"/>
  <c r="C25" i="69"/>
  <c r="C46"/>
  <c r="C45" s="1"/>
  <c r="C19" i="9"/>
  <c r="C20"/>
  <c r="C103" l="1"/>
  <c r="C102"/>
  <c r="C21"/>
  <c r="C60" i="15"/>
  <c r="C23" i="67"/>
  <c r="C29" s="1"/>
  <c r="C32" i="15"/>
  <c r="C31" s="1"/>
  <c r="C23"/>
  <c r="C29" s="1"/>
  <c r="C38"/>
  <c r="C28" i="68"/>
  <c r="C27" s="1"/>
  <c r="C60" i="67"/>
  <c r="C66"/>
  <c r="C22" i="11"/>
  <c r="C31" s="1"/>
  <c r="C41"/>
  <c r="C49" s="1"/>
  <c r="C51" s="1"/>
  <c r="C22" i="69"/>
  <c r="C31" s="1"/>
  <c r="C41" i="68"/>
  <c r="C46"/>
  <c r="C45" s="1"/>
  <c r="C22"/>
  <c r="C38" i="67"/>
  <c r="C32"/>
  <c r="C41" i="69"/>
  <c r="C49" s="1"/>
  <c r="C51" s="1"/>
  <c r="C31" i="68" l="1"/>
  <c r="J19" i="67"/>
  <c r="J17" s="1"/>
  <c r="J59"/>
  <c r="J60" s="1"/>
  <c r="L46" s="1"/>
  <c r="C13"/>
  <c r="Q70" s="1"/>
  <c r="C33"/>
  <c r="Q49"/>
  <c r="C31"/>
  <c r="C49" i="68"/>
  <c r="C51" s="1"/>
  <c r="C57" i="67"/>
  <c r="C61" s="1"/>
  <c r="C59" s="1"/>
  <c r="J14"/>
  <c r="J22" s="1"/>
  <c r="C36"/>
  <c r="C52" i="69"/>
  <c r="B2" s="1"/>
  <c r="B3" s="1"/>
  <c r="C52" i="11"/>
  <c r="B2" s="1"/>
  <c r="B3" s="1"/>
  <c r="J19" i="15"/>
  <c r="J17" s="1"/>
  <c r="Q49"/>
  <c r="C57"/>
  <c r="C36"/>
  <c r="C13"/>
  <c r="J14"/>
  <c r="Q48" i="67" l="1"/>
  <c r="C64"/>
  <c r="C57" i="69"/>
  <c r="C56" s="1"/>
  <c r="J13" i="67"/>
  <c r="J23" s="1"/>
  <c r="C52" i="68"/>
  <c r="B2" s="1"/>
  <c r="B3" s="1"/>
  <c r="C56" i="11"/>
  <c r="C57" s="1"/>
  <c r="C37" i="67"/>
  <c r="C30" s="1"/>
  <c r="C39" s="1"/>
  <c r="C56"/>
  <c r="C65" s="1"/>
  <c r="C58" s="1"/>
  <c r="C67" s="1"/>
  <c r="C68" s="1"/>
  <c r="C75"/>
  <c r="J16"/>
  <c r="J25" s="1"/>
  <c r="Q69"/>
  <c r="Q68" s="1"/>
  <c r="C75" i="15"/>
  <c r="C37"/>
  <c r="C30" s="1"/>
  <c r="C39" s="1"/>
  <c r="Q70"/>
  <c r="C56"/>
  <c r="C65" s="1"/>
  <c r="C61"/>
  <c r="C59" s="1"/>
  <c r="C64"/>
  <c r="J13"/>
  <c r="J23" s="1"/>
  <c r="J22"/>
  <c r="L51" i="67"/>
  <c r="L51" i="15"/>
  <c r="C80" i="67" l="1"/>
  <c r="C79" s="1"/>
  <c r="C57" i="68"/>
  <c r="C56" s="1"/>
  <c r="L57" i="67"/>
  <c r="L60" s="1"/>
  <c r="Q57" s="1"/>
  <c r="Q67"/>
  <c r="C40"/>
  <c r="C43" s="1"/>
  <c r="J16" i="15"/>
  <c r="J25" s="1"/>
  <c r="C58"/>
  <c r="C67" s="1"/>
  <c r="C68" s="1"/>
  <c r="C71" s="1"/>
  <c r="Q67"/>
  <c r="C40"/>
  <c r="Q69"/>
  <c r="Q68" s="1"/>
  <c r="C45" i="67"/>
  <c r="C46" s="1"/>
  <c r="C71"/>
  <c r="C80" i="15"/>
  <c r="C79" s="1"/>
  <c r="Q66" i="67" l="1"/>
  <c r="Q56"/>
  <c r="Q62" s="1"/>
  <c r="C83"/>
  <c r="C82" s="1"/>
  <c r="D2"/>
  <c r="B2" s="1"/>
  <c r="Q65"/>
  <c r="Q47"/>
  <c r="Q53" s="1"/>
  <c r="Q75"/>
  <c r="B2" i="15"/>
  <c r="C43"/>
  <c r="Q47"/>
  <c r="Q53" s="1"/>
  <c r="Q56"/>
  <c r="Q62" s="1"/>
  <c r="Q65"/>
  <c r="Q75" s="1"/>
  <c r="C83"/>
  <c r="C82" s="1"/>
  <c r="B3" i="67"/>
  <c r="C46" i="15"/>
  <c r="AO6" i="1"/>
  <c r="D19" i="9"/>
  <c r="D21" l="1"/>
  <c r="D102"/>
  <c r="G19"/>
  <c r="D22"/>
  <c r="B6" i="70"/>
  <c r="B2" s="1"/>
  <c r="B3" s="1"/>
  <c r="B3" i="15"/>
  <c r="D20" i="9"/>
  <c r="D103" l="1"/>
  <c r="G20"/>
  <c r="R24" i="31" s="1"/>
  <c r="C32" i="9"/>
  <c r="G21"/>
  <c r="R25" i="31" l="1"/>
  <c r="S25" s="1"/>
  <c r="R26"/>
  <c r="S26" s="1"/>
  <c r="R27"/>
  <c r="S27" s="1"/>
  <c r="R28"/>
  <c r="S28" s="1"/>
  <c r="R29"/>
  <c r="S29" s="1"/>
  <c r="R30"/>
  <c r="S30" s="1"/>
  <c r="R31"/>
  <c r="S31" s="1"/>
  <c r="R32"/>
  <c r="S32" s="1"/>
  <c r="R33"/>
  <c r="S33" s="1"/>
  <c r="R34"/>
  <c r="S34" s="1"/>
  <c r="R35"/>
  <c r="S35" s="1"/>
  <c r="R36"/>
  <c r="S36" s="1"/>
  <c r="R37"/>
  <c r="S37" s="1"/>
  <c r="R38"/>
  <c r="S38" s="1"/>
  <c r="R39"/>
  <c r="S39" s="1"/>
  <c r="R40"/>
  <c r="S40" s="1"/>
  <c r="R41"/>
  <c r="S41" s="1"/>
  <c r="S24"/>
  <c r="C35" i="9"/>
  <c r="F118" s="1"/>
  <c r="H118"/>
  <c r="C34" l="1"/>
  <c r="D118" s="1"/>
  <c r="D4" i="52" s="1"/>
  <c r="B47" i="72" s="1"/>
  <c r="H101" i="9"/>
  <c r="H119"/>
  <c r="H5" i="52" s="1"/>
  <c r="H4"/>
  <c r="I118" i="9"/>
  <c r="C104"/>
  <c r="F4" i="52"/>
  <c r="B51" i="72" s="1"/>
  <c r="F119" i="9"/>
  <c r="F5" i="52" s="1"/>
  <c r="B53" i="72" s="1"/>
  <c r="G118" i="9"/>
  <c r="G4" i="52" s="1"/>
  <c r="B52" i="72" s="1"/>
  <c r="S22" i="31"/>
  <c r="D119" i="9" l="1"/>
  <c r="D5" i="52" s="1"/>
  <c r="B49" i="72" s="1"/>
  <c r="I4" i="52"/>
  <c r="C105" i="9"/>
  <c r="E118"/>
  <c r="E4" i="52" s="1"/>
  <c r="B48" i="72" s="1"/>
  <c r="H102" i="9"/>
  <c r="D7" i="53" s="1"/>
  <c r="B21" i="72" s="1"/>
  <c r="R22" i="31"/>
  <c r="B21" s="1"/>
  <c r="B20"/>
  <c r="D45" i="9"/>
  <c r="M48"/>
  <c r="H107"/>
  <c r="D5" i="53"/>
  <c r="D6" l="1"/>
  <c r="B22" i="72" s="1"/>
  <c r="B20"/>
  <c r="M49" i="9"/>
  <c r="D122"/>
  <c r="H108"/>
  <c r="D15" i="53" s="1"/>
  <c r="B31" i="72" s="1"/>
  <c r="D13" i="53"/>
  <c r="C78" i="9"/>
  <c r="C73" s="1"/>
  <c r="C85"/>
  <c r="D53"/>
  <c r="C72"/>
  <c r="D55"/>
  <c r="M53" s="1"/>
  <c r="C93"/>
  <c r="C86" s="1"/>
  <c r="C64"/>
  <c r="C63" s="1"/>
  <c r="C67" s="1"/>
  <c r="C68" s="1"/>
  <c r="D54" s="1"/>
  <c r="D52"/>
  <c r="G14" i="74"/>
  <c r="B6" s="1"/>
  <c r="D14"/>
  <c r="D6" l="1"/>
  <c r="C6"/>
  <c r="L68" i="9"/>
  <c r="M68" s="1"/>
  <c r="L66"/>
  <c r="M66" s="1"/>
  <c r="L63"/>
  <c r="M63" s="1"/>
  <c r="L65"/>
  <c r="M65" s="1"/>
  <c r="L64"/>
  <c r="M64" s="1"/>
  <c r="L67"/>
  <c r="M67" s="1"/>
  <c r="E14" i="74"/>
  <c r="B5"/>
  <c r="F14"/>
  <c r="D14" i="53"/>
  <c r="B32" i="72" s="1"/>
  <c r="B30"/>
  <c r="D123" i="9"/>
  <c r="D9" i="52" s="1"/>
  <c r="D8"/>
  <c r="C79" i="9"/>
  <c r="C95"/>
  <c r="C5" i="74" l="1"/>
  <c r="D5"/>
  <c r="M69" i="9"/>
  <c r="N69" s="1"/>
  <c r="C96"/>
  <c r="E96" s="1"/>
  <c r="E97" s="1"/>
  <c r="C80"/>
  <c r="E80" s="1"/>
  <c r="E81" s="1"/>
  <c r="C81" l="1"/>
  <c r="C97"/>
  <c r="D58" s="1"/>
  <c r="D56" s="1"/>
  <c r="M54" s="1"/>
  <c r="N57" s="1"/>
  <c r="P57" l="1"/>
  <c r="N58"/>
  <c r="N59"/>
  <c r="N61" l="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<sst xmlns="http://schemas.openxmlformats.org/spreadsheetml/2006/main" count="7361" uniqueCount="3113">
  <si>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</si>
  <si>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</si>
  <si>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</si>
  <si>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</si>
  <si>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</si>
  <si>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</si>
  <si>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</si>
  <si>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</si>
  <si>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</si>
  <si>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</si>
  <si>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</si>
  <si>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</si>
  <si>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</si>
  <si>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</si>
  <si>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</si>
  <si>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</si>
  <si>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</si>
  <si>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</si>
  <si>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</si>
  <si>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</si>
  <si>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</si>
  <si>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</si>
  <si>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</si>
  <si>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</si>
  <si>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</si>
  <si>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</si>
  <si>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</si>
  <si>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</si>
  <si>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</si>
  <si>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</si>
  <si>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</si>
  <si>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</si>
  <si>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</si>
  <si>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</si>
  <si>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</si>
  <si>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</si>
  <si>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</si>
  <si>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</si>
  <si>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</si>
  <si>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</si>
  <si>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</si>
  <si>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</si>
  <si>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</si>
  <si>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</si>
  <si>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</si>
  <si>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</si>
  <si>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</si>
  <si>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</si>
  <si>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</si>
  <si>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</si>
  <si>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</si>
  <si>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</si>
  <si>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</si>
  <si>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</si>
  <si>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</si>
  <si>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</si>
  <si>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</si>
  <si>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</si>
  <si>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</si>
  <si>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</si>
  <si>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</si>
  <si>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</si>
  <si>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</si>
  <si>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</si>
  <si>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</si>
  <si>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</si>
  <si>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</si>
  <si>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</si>
  <si>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</si>
  <si>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</si>
  <si>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</si>
  <si>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</si>
  <si>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</si>
  <si>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</si>
  <si>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</si>
  <si>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</si>
  <si>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</si>
  <si>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</si>
  <si>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</si>
  <si>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</si>
  <si>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</si>
  <si>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</si>
  <si>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</si>
  <si>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</si>
  <si>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</si>
  <si>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</si>
  <si>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</si>
  <si>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</si>
  <si>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</si>
  <si>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</si>
  <si>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</si>
  <si>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</si>
  <si>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</si>
  <si>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</si>
  <si>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</si>
  <si>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</si>
  <si>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</si>
  <si>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</si>
  <si>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</si>
  <si>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</si>
  <si>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</si>
  <si>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</si>
  <si>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</si>
  <si>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</si>
  <si>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</si>
  <si>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</si>
  <si>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</si>
  <si>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</si>
  <si>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</si>
  <si>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</si>
  <si>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</si>
  <si>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</si>
  <si>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</si>
  <si>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</si>
  <si>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</si>
  <si>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</si>
  <si>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</si>
  <si>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</si>
  <si>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</si>
  <si>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</si>
  <si>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</si>
  <si>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</si>
  <si>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</si>
  <si>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</si>
  <si>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</si>
  <si>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</si>
  <si>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</si>
  <si>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</si>
  <si>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</si>
  <si>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</si>
  <si>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</si>
  <si>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</si>
  <si>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</si>
  <si>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</si>
  <si>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</si>
  <si>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</si>
  <si>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</si>
  <si>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</si>
  <si>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</si>
  <si>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</si>
  <si>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</si>
  <si>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</si>
  <si>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</si>
  <si>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</si>
  <si>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</si>
  <si>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</si>
  <si>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</si>
  <si>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</si>
  <si>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</si>
  <si>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</si>
  <si>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</si>
  <si>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</si>
  <si>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</si>
  <si>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</si>
  <si>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</si>
  <si>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</si>
  <si>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</si>
  <si>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</si>
  <si>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</si>
  <si>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</si>
  <si>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</si>
  <si>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</si>
  <si>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</si>
  <si>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</si>
  <si>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</si>
  <si>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</si>
  <si>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</si>
  <si>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</si>
  <si>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</si>
  <si>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</si>
  <si>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</si>
  <si>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</si>
  <si>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</si>
  <si>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</si>
  <si>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</si>
  <si>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</si>
  <si>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</si>
  <si>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</si>
  <si>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</si>
  <si>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</si>
  <si>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</si>
  <si>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</si>
  <si>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</si>
  <si>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</si>
  <si>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</si>
  <si>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</si>
  <si>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</si>
  <si>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</si>
  <si>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</si>
  <si>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</si>
  <si>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</si>
  <si>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</si>
  <si>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</si>
  <si>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</si>
  <si>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</si>
  <si>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</si>
  <si>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</si>
  <si>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</si>
  <si>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</si>
  <si>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</si>
  <si>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</si>
  <si>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</si>
  <si>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</si>
  <si>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</si>
  <si>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</si>
  <si>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</si>
  <si>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</si>
  <si>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</si>
  <si>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</si>
  <si>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</si>
  <si>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</si>
  <si>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</si>
  <si>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</si>
  <si>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</si>
  <si>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</si>
  <si>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</si>
  <si>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</si>
  <si>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</si>
  <si>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</si>
  <si>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</si>
  <si>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</si>
  <si>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</si>
  <si>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</si>
  <si>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</si>
  <si>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</si>
  <si>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</si>
  <si>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</si>
  <si>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</si>
  <si>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</si>
  <si>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</si>
  <si>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</si>
  <si>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</si>
  <si>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</si>
  <si>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</si>
  <si>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</si>
  <si>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</si>
  <si>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</si>
  <si>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</si>
  <si>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</si>
  <si>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</si>
  <si>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</si>
  <si>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</si>
  <si>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</si>
  <si>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</si>
  <si>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</si>
  <si>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</si>
  <si>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</si>
  <si>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</si>
  <si>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</si>
  <si>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</si>
  <si>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</si>
  <si>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</si>
  <si>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</si>
  <si>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</si>
  <si>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</si>
  <si>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</si>
  <si>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</si>
  <si>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</si>
  <si>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</si>
  <si>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</si>
  <si>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</si>
  <si>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</si>
  <si>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</si>
  <si>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</si>
  <si>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</si>
  <si>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</si>
  <si>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</si>
  <si>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</si>
  <si>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</si>
  <si>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</si>
  <si>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</si>
  <si>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</si>
  <si>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</si>
  <si>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</si>
  <si>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</si>
  <si>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</si>
  <si>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</si>
  <si>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</si>
  <si>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</si>
  <si>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</si>
  <si>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</si>
  <si>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</si>
  <si>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</si>
  <si>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</si>
  <si>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</si>
  <si>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</si>
  <si>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</si>
  <si>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</si>
  <si>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</si>
  <si>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</si>
  <si>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</si>
  <si>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</si>
  <si>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</si>
  <si>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</si>
  <si>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</si>
  <si>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</si>
  <si>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</si>
  <si>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</si>
  <si>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</si>
  <si>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</si>
  <si>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</si>
  <si>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</si>
  <si>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</si>
  <si>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</si>
  <si>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</si>
  <si>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</si>
  <si>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</si>
  <si>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</si>
  <si>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</si>
  <si>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</si>
  <si>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</si>
  <si>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</si>
  <si>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</si>
  <si>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</si>
  <si>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</si>
  <si>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</si>
  <si>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</si>
  <si>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</si>
  <si>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</si>
  <si>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</si>
  <si>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</si>
  <si>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</si>
  <si>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</si>
  <si>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</si>
  <si>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</si>
  <si>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</si>
  <si>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</si>
  <si>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</si>
  <si>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</si>
  <si>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</si>
  <si>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</si>
  <si>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</si>
  <si>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</si>
  <si>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</si>
  <si>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</si>
  <si>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</si>
  <si>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</si>
  <si>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</si>
  <si>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</si>
  <si>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</si>
  <si>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</si>
  <si>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</si>
  <si>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</si>
  <si>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</si>
  <si>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</si>
  <si>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</si>
  <si>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</si>
  <si>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</si>
  <si>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</si>
  <si>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</si>
  <si>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</si>
  <si>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</si>
  <si>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</si>
  <si>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</si>
  <si>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</si>
  <si>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</si>
  <si>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</si>
  <si>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</si>
  <si>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</si>
  <si>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</si>
  <si>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</si>
  <si>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</si>
  <si>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</si>
  <si>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</si>
  <si>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</si>
  <si>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</si>
  <si>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</si>
  <si>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</si>
  <si>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</si>
  <si>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</si>
  <si>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</si>
  <si>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</si>
  <si>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</si>
  <si>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</si>
  <si>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</si>
  <si>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</si>
  <si>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</si>
  <si>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</si>
  <si>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</si>
  <si>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</si>
  <si>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</si>
  <si>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</si>
  <si>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</si>
  <si>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</si>
  <si>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</si>
  <si>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</si>
  <si>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</si>
  <si>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</si>
  <si>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</si>
  <si>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</si>
  <si>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</si>
  <si>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</si>
  <si>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</si>
  <si>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</si>
  <si>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</si>
  <si>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</si>
  <si>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</si>
  <si>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</si>
  <si>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</si>
  <si>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</si>
  <si>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</si>
  <si>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</si>
  <si>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</si>
  <si>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</si>
  <si>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</si>
  <si>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</si>
  <si>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</si>
  <si>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</si>
  <si>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</si>
  <si>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</si>
  <si>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</si>
  <si>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</si>
  <si>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</si>
  <si>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</si>
  <si>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</si>
  <si>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</si>
  <si>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</si>
  <si>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</si>
  <si>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</si>
  <si>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</si>
  <si>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</si>
  <si>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</si>
  <si>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</si>
  <si>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</si>
  <si>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</si>
  <si>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</si>
  <si>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</si>
  <si>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</si>
  <si>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</si>
  <si>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</si>
  <si>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</si>
  <si>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</si>
  <si>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</si>
  <si>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</si>
  <si>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</si>
  <si>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</si>
  <si>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</si>
  <si>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</si>
  <si>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</si>
  <si>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</si>
  <si>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</si>
  <si>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</si>
  <si>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</si>
  <si>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</si>
  <si>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</si>
  <si>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</si>
  <si>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</si>
  <si>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</si>
  <si>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</si>
  <si>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</si>
  <si>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</si>
  <si>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</si>
  <si>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</si>
  <si>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</si>
  <si>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</si>
  <si>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</si>
  <si>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</si>
  <si>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</si>
  <si>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</si>
  <si>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</si>
  <si>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</si>
  <si>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</si>
  <si>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</si>
  <si>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</si>
  <si>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</si>
  <si>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</si>
  <si>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</si>
  <si>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</si>
  <si>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</si>
  <si>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</si>
  <si>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</si>
  <si>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</si>
  <si>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</si>
  <si>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</si>
  <si>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</si>
  <si>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</si>
  <si>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</si>
  <si>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</si>
  <si>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</si>
  <si>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</si>
  <si>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</si>
  <si>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</si>
  <si>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</si>
  <si>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</si>
  <si>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</si>
  <si>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</si>
  <si>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</si>
  <si>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</si>
  <si>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</si>
  <si>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</si>
  <si>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</si>
  <si>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</si>
  <si>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</si>
  <si>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</si>
  <si>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</si>
  <si>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</si>
  <si>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</si>
  <si>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</si>
  <si>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</si>
  <si>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</si>
  <si>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</si>
  <si>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</si>
  <si>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</si>
  <si>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</si>
  <si>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</si>
  <si>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</si>
  <si>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</si>
  <si>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</si>
  <si>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</si>
  <si>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</si>
  <si>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</si>
  <si>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</si>
  <si>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</si>
  <si>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</si>
  <si>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</si>
  <si>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</si>
  <si>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</si>
  <si>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</si>
  <si>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</si>
  <si>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</si>
  <si>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</si>
  <si>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</si>
  <si>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</si>
  <si>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</si>
  <si>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</si>
  <si>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</si>
  <si>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</si>
  <si>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</si>
  <si>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</si>
  <si>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</si>
  <si>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</si>
  <si>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</si>
  <si>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</si>
  <si>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</si>
  <si>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</si>
  <si>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</si>
  <si>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</si>
  <si>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</si>
  <si>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</si>
  <si>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</si>
  <si>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</si>
  <si>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</si>
  <si>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</si>
  <si>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</si>
  <si>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</si>
  <si>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</si>
  <si>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</si>
  <si>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</si>
  <si>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</si>
  <si>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</si>
  <si>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</si>
  <si>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</si>
  <si>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</si>
  <si>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</si>
  <si>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</si>
  <si>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</si>
  <si>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</si>
  <si>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</si>
  <si>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</si>
  <si>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</si>
  <si>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</si>
  <si>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</si>
  <si>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</si>
  <si>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</si>
  <si>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</si>
  <si>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</si>
  <si>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</si>
  <si>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</si>
  <si>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</si>
  <si>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</si>
  <si>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</si>
  <si>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</si>
  <si>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</si>
  <si>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</si>
  <si>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</si>
  <si>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</si>
  <si>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</si>
  <si>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</si>
  <si>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</si>
  <si>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</si>
  <si>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</si>
  <si>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</si>
  <si>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</si>
  <si>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</si>
  <si>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</si>
  <si>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</si>
  <si>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</si>
  <si>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</si>
  <si>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</si>
  <si>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</si>
  <si>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</si>
  <si>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</si>
  <si>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</si>
  <si>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</si>
  <si>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</si>
  <si>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</si>
  <si>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</si>
  <si>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</si>
  <si>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</si>
  <si>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</si>
  <si>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</si>
  <si>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</si>
  <si>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</si>
  <si>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</si>
  <si>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</si>
  <si>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</si>
  <si>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</si>
  <si>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</si>
  <si>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</si>
  <si>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</si>
  <si>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</si>
  <si>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</si>
  <si>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</si>
  <si>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</si>
  <si>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</si>
  <si>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</si>
  <si>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</si>
  <si>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</si>
  <si>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</si>
  <si>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</si>
  <si>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</si>
  <si>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</si>
  <si>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</si>
  <si>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</si>
  <si>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</si>
  <si>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</si>
  <si>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</si>
  <si>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</si>
  <si>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</si>
  <si>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</si>
  <si>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</si>
  <si>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</si>
  <si>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</si>
  <si>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</si>
  <si>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</si>
  <si>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</si>
  <si>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</si>
  <si>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</si>
  <si>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</si>
  <si>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</si>
  <si>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</si>
  <si>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</si>
  <si>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</si>
  <si>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</si>
  <si>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</si>
  <si>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</si>
  <si>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</si>
  <si>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</si>
  <si>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</si>
  <si>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</si>
  <si>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</si>
  <si>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</si>
  <si>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</si>
  <si>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</si>
  <si>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</si>
  <si>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</si>
  <si>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</si>
  <si>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</si>
  <si>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</si>
  <si>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</si>
  <si>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</si>
  <si>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</si>
  <si>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</si>
  <si>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</si>
  <si>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</si>
  <si>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</si>
  <si>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</si>
  <si>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</si>
  <si>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</si>
  <si>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</si>
  <si>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</si>
  <si>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</si>
  <si>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</si>
  <si>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</si>
  <si>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</si>
  <si>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</si>
  <si>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</si>
  <si>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</si>
  <si>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</si>
  <si>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</si>
  <si>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</si>
  <si>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</si>
  <si>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</si>
  <si>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</si>
  <si>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</si>
  <si>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</si>
  <si>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</si>
  <si>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</si>
  <si>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</si>
  <si>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</si>
  <si>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</si>
  <si>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</si>
  <si>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</si>
  <si>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</si>
  <si>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</si>
  <si>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</si>
  <si>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</si>
  <si>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</si>
  <si>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</si>
  <si>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</si>
  <si>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</si>
  <si>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</si>
  <si>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</si>
  <si>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</si>
  <si>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</si>
  <si>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</si>
  <si>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</si>
  <si>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</si>
  <si>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</si>
  <si>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</si>
  <si>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</si>
  <si>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</si>
  <si>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</si>
  <si>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</si>
  <si>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</si>
  <si>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</si>
  <si>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</si>
  <si>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</si>
  <si>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</si>
  <si>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</si>
  <si>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</si>
  <si>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</si>
  <si>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</si>
  <si>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</si>
  <si>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</si>
  <si>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</si>
  <si>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</si>
  <si>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</si>
  <si>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</si>
  <si>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</si>
  <si>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</si>
  <si>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</si>
  <si>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</si>
  <si>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</si>
  <si>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</si>
  <si>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</si>
  <si>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</si>
  <si>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</si>
  <si>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</si>
  <si>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</si>
  <si>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</si>
  <si>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</si>
  <si>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</si>
  <si>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</si>
  <si>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</si>
  <si>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</si>
  <si>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</si>
  <si>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</si>
  <si>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</si>
  <si>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</si>
  <si>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</si>
  <si>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</si>
  <si>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</si>
  <si>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</si>
  <si>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</si>
  <si>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</si>
  <si>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</si>
  <si>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</si>
  <si>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</si>
  <si>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</si>
  <si>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</si>
  <si>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</si>
  <si>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</si>
  <si>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</si>
  <si>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</si>
  <si>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</si>
  <si>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</si>
  <si>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</si>
  <si>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</si>
  <si>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</si>
  <si>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</si>
  <si>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</si>
  <si>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</si>
  <si>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</si>
  <si>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</si>
  <si>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</si>
  <si>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</si>
  <si>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</si>
  <si>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</si>
  <si>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</si>
  <si>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</si>
  <si>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</si>
  <si>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</si>
  <si>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</si>
  <si>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</si>
  <si>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</si>
  <si>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</si>
  <si>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</si>
  <si>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</si>
  <si>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</si>
  <si>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</si>
  <si>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</si>
  <si>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</si>
  <si>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</si>
  <si>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</si>
  <si>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</si>
  <si>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</si>
  <si>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</si>
  <si>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</si>
  <si>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</si>
  <si>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</si>
  <si>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</si>
  <si>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</si>
  <si>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</si>
  <si>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</si>
  <si>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</si>
  <si>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</si>
  <si>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</si>
  <si>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</si>
  <si>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</si>
  <si>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</si>
  <si>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</si>
  <si>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</si>
  <si>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</si>
  <si>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</si>
  <si>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</si>
  <si>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</si>
  <si>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</si>
  <si>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</si>
  <si>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</si>
  <si>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</si>
  <si>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</si>
  <si>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</si>
  <si>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</si>
  <si>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</si>
  <si>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</si>
  <si>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</si>
  <si>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</si>
  <si>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</si>
  <si>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</si>
  <si>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</si>
  <si>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</si>
  <si>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</si>
  <si>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</si>
  <si>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</si>
  <si>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</si>
  <si>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</si>
  <si>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</si>
  <si>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</si>
  <si>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</si>
  <si>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</si>
  <si>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</si>
  <si>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</si>
  <si>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</si>
  <si>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</si>
  <si>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</si>
  <si>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</si>
  <si>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</si>
  <si>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</si>
  <si>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</si>
  <si>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</si>
  <si>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</si>
  <si>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</si>
  <si>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</si>
  <si>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</si>
  <si>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</si>
  <si>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</si>
  <si>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</si>
  <si>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</si>
  <si>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</si>
  <si>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</si>
  <si>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</si>
  <si>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</si>
  <si>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</si>
  <si>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</si>
  <si>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</si>
  <si>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</si>
  <si>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</si>
  <si>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</si>
  <si>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</si>
  <si>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</si>
  <si>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</si>
  <si>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</si>
  <si>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</si>
  <si>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</si>
  <si>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</si>
  <si>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</si>
  <si>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</si>
  <si>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</si>
  <si>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</si>
  <si>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</si>
  <si>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</si>
  <si>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</si>
  <si>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</si>
  <si>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</si>
  <si>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</si>
  <si>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</si>
  <si>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</si>
  <si>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</si>
  <si>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</si>
  <si>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</si>
  <si>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</si>
  <si>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</si>
  <si>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</si>
  <si>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</si>
  <si>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</si>
  <si>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</si>
  <si>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</si>
  <si>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</si>
  <si>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</si>
  <si>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</si>
  <si>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</si>
  <si>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</si>
  <si>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</si>
  <si>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</si>
  <si>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</si>
  <si>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</si>
  <si>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</si>
  <si>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</si>
  <si>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</si>
  <si>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</si>
  <si>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</si>
  <si>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</si>
  <si>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</si>
  <si>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</si>
  <si>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</si>
  <si>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</si>
  <si>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</si>
  <si>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</si>
  <si>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</si>
  <si>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</si>
  <si>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</si>
  <si>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</si>
  <si>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</si>
  <si>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</si>
  <si>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</si>
  <si>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</si>
  <si>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</si>
  <si>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</si>
  <si>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</si>
  <si>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</si>
  <si>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</si>
  <si>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</si>
  <si>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</si>
  <si>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</si>
  <si>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</si>
  <si>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</si>
  <si>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</si>
  <si>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</si>
  <si>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</si>
  <si>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</si>
  <si>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</si>
  <si>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</si>
  <si>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</si>
  <si>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</si>
  <si>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</si>
  <si>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</si>
  <si>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</si>
  <si>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</si>
  <si>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</si>
  <si>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</si>
  <si>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</si>
  <si>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</si>
  <si>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</si>
  <si>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</si>
  <si>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</si>
  <si>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</si>
  <si>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</si>
  <si>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</si>
  <si>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</si>
  <si>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</si>
  <si>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</si>
  <si>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</si>
  <si>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</si>
  <si>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</si>
  <si>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</si>
  <si>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</si>
  <si>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</si>
  <si>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</si>
  <si>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</si>
  <si>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</si>
  <si>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</si>
  <si>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</si>
  <si>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</si>
  <si>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</si>
  <si>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</si>
  <si>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</si>
  <si>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</si>
  <si>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</si>
  <si>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</si>
  <si>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</si>
  <si>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</si>
  <si>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</si>
  <si>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</si>
  <si>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</si>
  <si>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</si>
  <si>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</si>
  <si>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</si>
  <si>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</si>
  <si>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</si>
  <si>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</si>
  <si>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</si>
  <si>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</si>
  <si>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</si>
  <si>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</si>
  <si>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</si>
  <si>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</si>
  <si>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</si>
  <si>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</si>
  <si>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</si>
  <si>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</si>
  <si>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</si>
  <si>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</si>
  <si>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</si>
  <si>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</si>
  <si>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</si>
  <si>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</si>
  <si>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</si>
  <si>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</si>
  <si>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</si>
  <si>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</si>
  <si>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</si>
  <si>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</si>
  <si>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</si>
  <si>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</si>
  <si>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</si>
  <si>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</si>
  <si>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</si>
  <si>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</si>
  <si>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</si>
  <si>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</si>
  <si>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</si>
  <si>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</si>
  <si>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</si>
  <si>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</si>
  <si>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</si>
  <si>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</si>
  <si>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</si>
  <si>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</si>
  <si>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</si>
  <si>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</si>
  <si>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</si>
  <si>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</si>
  <si>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</si>
  <si>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</si>
  <si>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</si>
  <si>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</si>
  <si>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</si>
  <si>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</si>
  <si>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</si>
  <si>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</si>
  <si>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</si>
  <si>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</si>
  <si>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</si>
  <si>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</si>
  <si>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</si>
  <si>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</si>
  <si>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</si>
  <si>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</si>
  <si>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</si>
  <si>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</si>
  <si>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</si>
  <si>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</si>
  <si>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</si>
  <si>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</si>
  <si>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</si>
  <si>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</si>
  <si>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</si>
  <si>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</si>
  <si>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</si>
  <si>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</si>
  <si>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</si>
  <si>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</si>
  <si>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</si>
  <si>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</si>
  <si>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</si>
  <si>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</si>
  <si>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</si>
  <si>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</si>
  <si>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</si>
  <si>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</si>
  <si>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</si>
  <si>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</si>
  <si>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</si>
  <si>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</si>
  <si>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</si>
  <si>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</si>
  <si>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</si>
  <si>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</si>
  <si>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</si>
  <si>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</si>
  <si>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</si>
  <si>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</si>
  <si>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</si>
  <si>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</si>
  <si>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</si>
  <si>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</si>
  <si>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</si>
  <si>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</si>
  <si>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</si>
  <si>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</si>
  <si>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</si>
  <si>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</si>
  <si>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</si>
  <si>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</si>
  <si>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</si>
  <si>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</si>
  <si>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</si>
  <si>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</si>
  <si>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</si>
  <si>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</si>
  <si>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</si>
  <si>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</si>
  <si>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</si>
  <si>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</si>
  <si>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</si>
  <si>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</si>
  <si>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</si>
  <si>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</si>
  <si>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</si>
  <si>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</si>
  <si>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</si>
  <si>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</si>
  <si>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</si>
  <si>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</si>
  <si>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</si>
  <si>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</si>
  <si>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</si>
  <si>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</si>
  <si>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</si>
  <si>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</si>
  <si>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</si>
  <si>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</si>
  <si>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</si>
  <si>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</si>
  <si>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</si>
  <si>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</si>
  <si>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</si>
  <si>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</si>
  <si>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</si>
  <si>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</si>
  <si>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</si>
  <si>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</si>
  <si>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</si>
  <si>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</si>
  <si>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</si>
  <si>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</si>
  <si>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</si>
  <si>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</si>
  <si>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</si>
  <si>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</si>
  <si>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</si>
  <si>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</si>
  <si>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</si>
  <si>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</si>
  <si>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</si>
  <si>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</si>
  <si>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</si>
  <si>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</si>
  <si>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</si>
  <si>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</si>
  <si>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</si>
  <si>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</si>
  <si>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</si>
  <si>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</si>
  <si>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</si>
  <si>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</si>
  <si>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</si>
  <si>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</si>
  <si>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</si>
  <si>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</si>
  <si>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</si>
  <si>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</si>
  <si>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</si>
  <si>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</si>
  <si>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</si>
  <si>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</si>
  <si>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</si>
  <si>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</si>
  <si>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</si>
  <si>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</si>
  <si>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</si>
  <si>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</si>
  <si>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</si>
  <si>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</si>
  <si>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</si>
  <si>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</si>
  <si>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</si>
  <si>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</si>
  <si>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</si>
  <si>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</si>
  <si>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</si>
  <si>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</si>
  <si>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</si>
  <si>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</si>
  <si>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</si>
  <si>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</si>
  <si>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</si>
  <si>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</si>
  <si>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</si>
  <si>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</si>
  <si>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</si>
  <si>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</si>
  <si>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</si>
  <si>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</si>
  <si>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</si>
  <si>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</si>
  <si>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</si>
  <si>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</si>
  <si>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</si>
  <si>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</si>
  <si>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</si>
  <si>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</si>
  <si>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</si>
  <si>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</si>
  <si>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</si>
  <si>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</si>
  <si>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</si>
  <si>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</si>
  <si>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</si>
  <si>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</si>
  <si>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</si>
  <si>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</si>
  <si>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</si>
  <si>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</si>
  <si>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</si>
  <si>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</si>
  <si>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</si>
  <si>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</si>
  <si>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</si>
  <si>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</si>
  <si>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</si>
  <si>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</si>
  <si>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</si>
  <si>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</si>
  <si>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</si>
  <si>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</si>
  <si>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</si>
  <si>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</si>
  <si>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</si>
  <si>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</si>
  <si>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</si>
  <si>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</si>
  <si>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</si>
  <si>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</si>
  <si>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</si>
  <si>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</si>
  <si>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</si>
  <si>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</si>
  <si>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</si>
  <si>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</si>
  <si>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</si>
  <si>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</si>
  <si>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</si>
  <si>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</si>
  <si>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</si>
  <si>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</si>
  <si>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</si>
  <si>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</si>
  <si>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</si>
  <si>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</si>
  <si>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</si>
  <si>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</si>
  <si>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</si>
  <si>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</si>
  <si>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</si>
  <si>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</si>
  <si>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</si>
  <si>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</si>
  <si>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</si>
  <si>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</si>
  <si>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</si>
  <si>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</si>
  <si>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</si>
  <si>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</si>
  <si>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</si>
  <si>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</si>
  <si>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</si>
  <si>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</si>
  <si>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</si>
  <si>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</si>
  <si>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</si>
  <si>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</si>
  <si>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</si>
  <si>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</si>
  <si>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</si>
  <si>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</si>
  <si>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</si>
  <si>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</si>
  <si>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</si>
  <si>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</si>
  <si>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</si>
  <si>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</si>
  <si>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</si>
  <si>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</si>
  <si>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</si>
  <si>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</si>
  <si>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</si>
  <si>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</si>
  <si>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</si>
  <si>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</si>
  <si>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</si>
  <si>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</si>
  <si>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</si>
  <si>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</si>
  <si>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</si>
  <si>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</si>
  <si>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</si>
  <si>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</si>
  <si>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</si>
  <si>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</si>
  <si>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</si>
  <si>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</si>
  <si>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</si>
  <si>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</si>
  <si>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</si>
  <si>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</si>
  <si>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</si>
  <si>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</si>
  <si>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</si>
  <si>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</si>
  <si>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</si>
  <si>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</si>
  <si>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</si>
  <si>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</si>
  <si>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</si>
  <si>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</si>
  <si>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</si>
  <si>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</si>
  <si>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</si>
  <si>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</si>
  <si>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</si>
  <si>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</si>
  <si>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</si>
  <si>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</si>
  <si>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</si>
  <si>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</si>
  <si>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</si>
  <si>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</si>
  <si>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</si>
  <si>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</si>
  <si>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</si>
  <si>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</si>
  <si>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</si>
  <si>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</si>
  <si>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</si>
  <si>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</si>
  <si>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</si>
  <si>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</si>
  <si>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</si>
  <si>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</si>
  <si>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</si>
  <si>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</si>
  <si>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</si>
  <si>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</si>
  <si>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</si>
  <si>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</si>
  <si>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</si>
  <si>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</si>
  <si>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</si>
  <si>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</si>
  <si>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</si>
  <si>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</si>
  <si>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</si>
  <si>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</si>
  <si>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</si>
  <si>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</si>
  <si>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</si>
  <si>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</si>
  <si>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</si>
  <si>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</si>
  <si>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</si>
  <si>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</si>
  <si>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</si>
  <si>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</si>
  <si>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</si>
  <si>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</si>
  <si>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</si>
  <si>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</si>
  <si>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</si>
  <si>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</si>
  <si>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</si>
  <si>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</si>
  <si>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</si>
  <si>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</si>
  <si>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</si>
  <si>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</si>
  <si>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</si>
  <si>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</si>
  <si>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</si>
  <si>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</si>
  <si>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</si>
  <si>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</si>
  <si>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</si>
  <si>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</si>
  <si>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</si>
  <si>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</si>
  <si>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</si>
  <si>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</si>
  <si>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</si>
  <si>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</si>
  <si>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</si>
  <si>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</si>
  <si>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</si>
  <si>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</si>
  <si>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</si>
  <si>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</si>
  <si>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</si>
  <si>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</si>
  <si>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</si>
  <si>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</si>
  <si>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</si>
  <si>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</si>
  <si>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</si>
  <si>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</si>
  <si>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</si>
  <si>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</si>
  <si>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</si>
  <si>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</si>
  <si>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</si>
  <si>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</si>
  <si>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</si>
  <si>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</si>
  <si>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</si>
  <si>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</si>
  <si>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</si>
  <si>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</si>
  <si>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</si>
  <si>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</si>
  <si>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</si>
  <si>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</si>
  <si>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</si>
  <si>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</si>
  <si>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</si>
  <si>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</si>
  <si>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</si>
  <si>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</si>
  <si>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</si>
  <si>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</si>
  <si>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</si>
  <si>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</si>
  <si>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</si>
  <si>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</si>
  <si>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</si>
  <si>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</si>
  <si>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</si>
  <si>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</si>
  <si>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</si>
  <si>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</si>
  <si>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</si>
  <si>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</si>
  <si>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</si>
  <si>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</si>
  <si>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</si>
  <si>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</si>
  <si>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</si>
  <si>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</si>
  <si>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</si>
  <si>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</si>
  <si>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</si>
  <si>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</si>
  <si>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</si>
  <si>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</si>
  <si>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</si>
  <si>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</si>
  <si>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</si>
  <si>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</si>
  <si>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</si>
  <si>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</si>
  <si>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</si>
  <si>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</si>
  <si>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</si>
  <si>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</si>
  <si>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</si>
  <si>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</si>
  <si>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</si>
  <si>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</si>
  <si>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</si>
  <si>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</si>
  <si>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</si>
  <si>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</si>
  <si>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</si>
  <si>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</si>
  <si>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</si>
  <si>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</si>
  <si>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</si>
  <si>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</si>
  <si>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</si>
  <si>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</si>
  <si>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</si>
  <si>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</si>
  <si>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</si>
  <si>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</si>
  <si>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</si>
  <si>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</si>
  <si>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</si>
  <si>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</si>
  <si>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</si>
  <si>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</si>
  <si>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</si>
  <si>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</si>
  <si>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</si>
  <si>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</si>
  <si>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</si>
  <si>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</si>
  <si>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</si>
  <si>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</si>
  <si>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</si>
  <si>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</si>
  <si>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</si>
  <si>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</si>
  <si>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</si>
  <si>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</si>
  <si>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</si>
  <si>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</si>
  <si>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</si>
  <si>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</si>
  <si>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</si>
  <si>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</si>
  <si>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</si>
  <si>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</si>
  <si>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</si>
  <si>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</si>
  <si>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</si>
  <si>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</si>
  <si>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</si>
  <si>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</si>
  <si>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</si>
  <si>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</si>
  <si>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</si>
  <si>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</si>
  <si>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</si>
  <si>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</si>
  <si>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</si>
  <si>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</si>
  <si>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</si>
  <si>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</si>
  <si>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</si>
  <si>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</si>
  <si>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</si>
  <si>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</si>
  <si>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</si>
  <si>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</si>
  <si>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</si>
  <si>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</si>
  <si>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</si>
  <si>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</si>
  <si>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</si>
  <si>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</si>
  <si>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</si>
  <si>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</si>
  <si>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</si>
  <si>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</si>
  <si>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</si>
  <si>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</si>
  <si>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</si>
  <si>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</si>
  <si>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</si>
  <si>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</si>
  <si>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</si>
  <si>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</si>
  <si>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</si>
  <si>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</si>
  <si>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</si>
  <si>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</si>
  <si>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</si>
  <si>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</si>
  <si>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</si>
  <si>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</si>
  <si>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</si>
  <si>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</si>
  <si>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</si>
  <si>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</si>
  <si>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</si>
  <si>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</si>
  <si>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</si>
  <si>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</si>
  <si>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</si>
  <si>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</si>
  <si>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</si>
  <si>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</si>
  <si>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</si>
  <si>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</si>
  <si>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</si>
  <si>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</si>
  <si>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</si>
  <si>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</si>
  <si>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</si>
  <si>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</si>
  <si>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</si>
  <si>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</si>
  <si>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</si>
  <si>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</si>
  <si>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</si>
  <si>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</si>
  <si>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</si>
  <si>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</si>
  <si>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</si>
  <si>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</si>
  <si>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</si>
  <si>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</si>
  <si>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</si>
  <si>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</si>
  <si>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</si>
  <si>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</si>
  <si>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</si>
  <si>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</si>
  <si>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</si>
  <si>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</si>
  <si>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</si>
  <si>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</si>
  <si>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</si>
  <si>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</si>
  <si>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</si>
  <si>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</si>
  <si>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</si>
  <si>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</si>
  <si>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</si>
  <si>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</si>
  <si>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</si>
  <si>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</si>
  <si>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</si>
  <si>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</si>
  <si>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</si>
  <si>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</si>
  <si>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</si>
  <si>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</si>
  <si>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</si>
  <si>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</si>
  <si>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</si>
  <si>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</si>
  <si>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</si>
  <si>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</si>
  <si>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</si>
  <si>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</si>
  <si>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</si>
  <si>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</si>
  <si>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</si>
  <si>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</si>
  <si>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</si>
  <si>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</si>
  <si>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</si>
  <si>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</si>
  <si>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</si>
  <si>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</si>
  <si>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</si>
  <si>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</si>
  <si>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</si>
  <si>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</si>
  <si>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</si>
  <si>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</si>
  <si>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</si>
  <si>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</si>
  <si>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</si>
  <si>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</si>
  <si>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</si>
  <si>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</si>
  <si>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</si>
  <si>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</si>
  <si>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</si>
  <si>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</si>
  <si>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</si>
  <si>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</si>
  <si>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</si>
  <si>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</si>
  <si>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</si>
  <si>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</si>
  <si>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</si>
  <si>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</si>
  <si>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</si>
  <si>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</si>
  <si>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</si>
  <si>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</si>
  <si>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</si>
  <si>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</si>
  <si>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</si>
  <si>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</si>
  <si>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</si>
  <si>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</si>
  <si>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</si>
  <si>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</si>
  <si>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</si>
  <si>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</si>
  <si>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</si>
  <si>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</si>
  <si>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</si>
  <si>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</si>
  <si>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</si>
  <si>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</si>
  <si>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</si>
  <si>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</si>
  <si>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</si>
  <si>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</si>
  <si>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</si>
  <si>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</si>
  <si>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</si>
  <si>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</si>
  <si>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</si>
  <si>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</si>
  <si>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</si>
  <si>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</si>
  <si>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</si>
  <si>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</si>
  <si>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</si>
  <si>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</si>
  <si>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</si>
  <si>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</si>
  <si>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</si>
  <si>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</si>
  <si>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</si>
  <si>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</si>
  <si>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</si>
  <si>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</si>
  <si>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</si>
  <si>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</si>
  <si>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</si>
  <si>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</si>
  <si>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</si>
  <si>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</si>
  <si>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</si>
  <si>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</si>
  <si>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</si>
  <si>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</si>
  <si>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</si>
  <si>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</si>
  <si>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</si>
  <si>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</si>
  <si>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</si>
  <si>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</si>
  <si>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</si>
  <si>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</si>
  <si>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</si>
  <si>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</si>
  <si>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</si>
  <si>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</si>
  <si>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</si>
  <si>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</si>
  <si>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</si>
  <si>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</si>
  <si>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</si>
  <si>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</si>
  <si>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</si>
  <si>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</si>
  <si>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</si>
  <si>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</si>
  <si>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</si>
  <si>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</si>
  <si>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</si>
  <si>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</si>
  <si>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</si>
  <si>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</si>
  <si>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</si>
  <si>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</si>
  <si>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</si>
  <si>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</si>
  <si>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</si>
  <si>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</si>
  <si>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</si>
  <si>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</si>
  <si>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</si>
  <si>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</si>
  <si>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</si>
  <si>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</si>
  <si>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</si>
  <si>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</si>
  <si>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</si>
  <si>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</si>
  <si>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</si>
  <si>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</si>
  <si>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</si>
  <si>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</si>
  <si>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</si>
  <si>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</si>
  <si>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</si>
  <si>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</si>
  <si>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</si>
  <si>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</si>
  <si>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</si>
  <si>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</si>
  <si>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</si>
  <si>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</si>
  <si>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</si>
  <si>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</si>
  <si>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</si>
  <si>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</si>
  <si>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</si>
  <si>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</si>
  <si>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</si>
  <si>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</si>
  <si>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</si>
  <si>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</si>
  <si>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</si>
  <si>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</si>
  <si>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</si>
  <si>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</si>
  <si>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</si>
  <si>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</si>
  <si>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</si>
  <si>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</si>
  <si>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</si>
  <si>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</si>
  <si>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</si>
  <si>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</si>
  <si>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</si>
  <si>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</si>
  <si>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</si>
  <si>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</si>
  <si>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</si>
  <si>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</si>
  <si>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</si>
  <si>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</si>
  <si>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</si>
  <si>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</si>
  <si>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</si>
  <si>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</si>
  <si>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</si>
  <si>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</si>
  <si>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</si>
  <si>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</si>
  <si>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</si>
  <si>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</si>
  <si>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</si>
  <si>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</si>
  <si>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</si>
  <si>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</si>
  <si>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</si>
  <si>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</si>
  <si>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</si>
  <si>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</si>
  <si>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</si>
  <si>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</si>
  <si>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</si>
  <si>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</si>
  <si>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</si>
  <si>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</si>
  <si>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</si>
  <si>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</si>
  <si>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</si>
  <si>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</si>
  <si>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</si>
  <si>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</si>
  <si>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</si>
  <si>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</si>
  <si>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</si>
  <si>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</si>
  <si>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</si>
  <si>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</si>
  <si>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</si>
  <si>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</si>
  <si>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</si>
  <si>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</si>
  <si>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</si>
  <si>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</si>
  <si>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</si>
  <si>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</si>
  <si>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</si>
  <si>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</si>
  <si>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</si>
  <si>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</si>
  <si>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</si>
  <si>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</si>
  <si>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</si>
  <si>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</si>
  <si>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</si>
  <si>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</si>
  <si>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</si>
  <si>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</si>
  <si>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</si>
  <si>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</si>
  <si>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</si>
  <si>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</si>
  <si>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</si>
  <si>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</si>
  <si>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</si>
  <si>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</si>
  <si>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</si>
  <si>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</si>
  <si>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</si>
  <si>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</si>
  <si>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</si>
  <si>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</si>
  <si>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</si>
  <si>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</si>
  <si>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</si>
  <si>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</si>
  <si>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</si>
  <si>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</si>
  <si>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</si>
  <si>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</si>
  <si>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</si>
  <si>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</si>
  <si>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</si>
  <si>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</si>
  <si>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</si>
  <si>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</si>
  <si>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</si>
  <si>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</si>
  <si>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</si>
  <si>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</si>
  <si>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</si>
  <si>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</si>
  <si>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</si>
  <si>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</si>
  <si>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</si>
  <si>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</si>
  <si>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</si>
  <si>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</si>
  <si>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</si>
  <si>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</si>
  <si>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</si>
  <si>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</si>
  <si>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</si>
  <si>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</si>
  <si>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</si>
  <si>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</si>
  <si>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</si>
  <si>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</si>
  <si>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</si>
  <si>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</si>
  <si>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</si>
  <si>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</si>
  <si>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</si>
  <si>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</si>
  <si>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</si>
  <si>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</si>
  <si>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</si>
  <si>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</si>
  <si>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</si>
  <si>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</si>
  <si>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</si>
  <si>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</si>
  <si>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</si>
  <si>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</si>
  <si>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</si>
  <si>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</si>
  <si>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</si>
  <si>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</si>
  <si>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</si>
  <si>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</si>
  <si>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</si>
  <si>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</si>
  <si>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</si>
  <si>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</si>
  <si>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</si>
  <si>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</si>
  <si>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</si>
  <si>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</si>
  <si>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</si>
  <si>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</si>
  <si>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</si>
  <si>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</si>
  <si>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</si>
  <si>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</si>
  <si>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</si>
  <si>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</si>
  <si>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</si>
  <si>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</si>
  <si>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</si>
  <si>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</si>
  <si>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</si>
  <si>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</si>
  <si>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</si>
  <si>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</si>
  <si>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</si>
  <si>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</si>
  <si>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</si>
  <si>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</si>
  <si>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</si>
  <si>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</si>
  <si>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</si>
  <si>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</si>
  <si>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</si>
  <si>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</si>
  <si>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</si>
  <si>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</si>
  <si>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</si>
  <si>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</si>
  <si>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</si>
  <si>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</si>
  <si>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</si>
  <si>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</si>
  <si>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</si>
  <si>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</si>
  <si>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</si>
  <si>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</si>
  <si>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</si>
  <si>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</si>
  <si>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</si>
  <si>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</si>
  <si>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</si>
  <si>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</si>
  <si>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</si>
  <si>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</si>
  <si>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</si>
  <si>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</si>
  <si>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</si>
  <si>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</si>
  <si>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</si>
  <si>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</si>
  <si>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</si>
  <si>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</si>
  <si>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</si>
  <si>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</si>
  <si>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</si>
  <si>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</si>
  <si>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</si>
  <si>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</si>
  <si>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</si>
  <si>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</si>
  <si>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</si>
  <si>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</si>
  <si>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</si>
  <si>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</si>
  <si>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</si>
  <si>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</si>
  <si>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</si>
  <si>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</si>
  <si>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</si>
  <si>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</si>
  <si>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</si>
  <si>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</si>
  <si>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</si>
  <si>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</si>
  <si>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</si>
  <si>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</si>
  <si>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</si>
  <si>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</si>
  <si>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</si>
  <si>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</si>
  <si>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</si>
  <si>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</si>
  <si>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</si>
  <si>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</si>
  <si>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</si>
  <si>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</si>
  <si>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</si>
  <si>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</si>
  <si>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</si>
  <si>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</si>
  <si>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</si>
  <si>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</si>
  <si>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</si>
  <si>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</si>
  <si>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</si>
  <si>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</si>
  <si>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</si>
  <si>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</si>
  <si>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</si>
  <si>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</si>
  <si>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</si>
  <si>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</si>
  <si>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</si>
  <si>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</si>
  <si>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</si>
  <si>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</si>
  <si>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</si>
  <si>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</si>
  <si>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</si>
  <si>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</si>
  <si>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</si>
  <si>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</si>
  <si>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</si>
  <si>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</si>
  <si>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</si>
  <si>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</si>
  <si>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</si>
  <si>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</si>
  <si>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</si>
  <si>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</si>
  <si>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</si>
  <si>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</si>
  <si>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</si>
  <si>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</si>
  <si>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</si>
  <si>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</si>
  <si>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</si>
  <si>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</si>
  <si>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</si>
  <si>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</si>
  <si>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</si>
  <si>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</si>
  <si>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</si>
  <si>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</si>
  <si>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</si>
  <si>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</si>
  <si>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</si>
  <si>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</si>
  <si>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</si>
  <si>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</si>
  <si>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</si>
  <si>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</si>
  <si>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</si>
  <si>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</si>
  <si>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</si>
  <si>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</si>
  <si>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</si>
  <si>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</si>
  <si>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</si>
  <si>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</si>
  <si>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</si>
  <si>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</si>
  <si>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</si>
  <si>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</si>
  <si>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</si>
  <si>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</si>
  <si>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</si>
  <si>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</si>
  <si>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</si>
  <si>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</si>
  <si>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</si>
  <si>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</si>
  <si>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</si>
  <si>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</si>
  <si>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</si>
  <si>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</si>
  <si>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</si>
  <si>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</si>
  <si>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</si>
  <si>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</si>
  <si>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</si>
  <si>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</si>
  <si>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</si>
  <si>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</si>
  <si>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</si>
  <si>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</si>
  <si>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</si>
  <si>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</si>
  <si>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</si>
  <si>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</si>
  <si>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</si>
  <si>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</si>
  <si>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</si>
  <si>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</si>
  <si>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</si>
  <si>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</si>
  <si>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</si>
  <si>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</si>
  <si>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</si>
  <si>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</si>
  <si>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</si>
  <si>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</si>
  <si>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</si>
  <si>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</si>
  <si>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</si>
  <si>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</si>
  <si>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</si>
  <si>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</si>
  <si>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</si>
  <si>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</si>
  <si>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</si>
  <si>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</si>
  <si>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</si>
  <si>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</si>
  <si>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</si>
  <si>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</si>
  <si>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</si>
  <si>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</si>
  <si>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</si>
  <si>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</si>
  <si>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</si>
  <si>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</si>
  <si>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</si>
  <si>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</si>
  <si>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</si>
  <si>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</si>
  <si>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</si>
  <si>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</si>
  <si>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</si>
  <si>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</si>
  <si>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</si>
  <si>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</si>
  <si>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</si>
  <si>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</si>
  <si>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</si>
  <si>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</si>
  <si>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</si>
  <si>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</si>
  <si>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</si>
  <si>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</si>
  <si>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</si>
  <si>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</si>
  <si>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</si>
  <si>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</si>
  <si>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</si>
  <si>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</si>
  <si>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</si>
  <si>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</si>
  <si>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</si>
  <si>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</si>
  <si>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</si>
  <si>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</si>
  <si>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</si>
  <si>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</si>
  <si>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</si>
  <si>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</si>
  <si>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</si>
  <si>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</si>
  <si>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</si>
  <si>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</si>
  <si>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</si>
  <si>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</si>
  <si>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</si>
  <si>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</si>
  <si>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</si>
  <si>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</si>
  <si>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</si>
  <si>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</si>
  <si>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</si>
  <si>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</si>
  <si>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</si>
  <si>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</si>
  <si>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</si>
  <si>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</si>
  <si>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</si>
  <si>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</si>
  <si>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</si>
  <si>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</si>
  <si>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</si>
  <si>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</si>
  <si>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</si>
  <si>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</si>
  <si>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</si>
  <si>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</si>
  <si>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</si>
  <si>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</si>
  <si>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</si>
  <si>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</si>
  <si>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</si>
  <si>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</si>
  <si>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</si>
  <si>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</si>
  <si>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</si>
  <si>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</si>
  <si>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</si>
  <si>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</si>
  <si>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</si>
  <si>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</si>
  <si>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</si>
  <si>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</si>
  <si>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</si>
  <si>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</si>
  <si>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</si>
  <si>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</si>
  <si>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</si>
  <si>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</si>
  <si>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</si>
  <si>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</si>
  <si>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</si>
  <si>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</si>
  <si>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</si>
  <si>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</si>
  <si>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</si>
  <si>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</si>
  <si>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</si>
  <si>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</si>
  <si>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</si>
  <si>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</si>
  <si>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</si>
  <si>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</si>
  <si>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</si>
  <si>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</si>
  <si>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</si>
  <si>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</si>
  <si>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</si>
  <si>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</si>
  <si>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</si>
  <si>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</si>
  <si>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</si>
  <si>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</si>
  <si>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</si>
  <si>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</si>
  <si>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</si>
  <si>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</si>
  <si>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</si>
  <si>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</si>
  <si>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</si>
  <si>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</si>
  <si>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</si>
  <si>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</si>
  <si>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</si>
  <si>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</si>
  <si>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</si>
  <si>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</si>
  <si>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</si>
  <si>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</si>
  <si>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</si>
  <si>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</si>
  <si>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</si>
  <si>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</si>
  <si>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</si>
  <si>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</si>
  <si>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</si>
  <si>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</si>
  <si>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</si>
  <si>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</si>
  <si>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</si>
  <si>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</si>
  <si>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</si>
  <si>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</si>
  <si>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</si>
  <si>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</si>
  <si>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</si>
  <si>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</si>
  <si>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</si>
  <si>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</si>
  <si>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</si>
  <si>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</si>
  <si>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</si>
  <si>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</si>
  <si>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</si>
  <si>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</si>
  <si>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</si>
  <si>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</si>
  <si>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</si>
  <si>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</si>
  <si>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</si>
  <si>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</si>
  <si>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</si>
  <si>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</si>
  <si>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</si>
  <si>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</si>
  <si>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</si>
  <si>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</si>
  <si>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</si>
  <si>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</si>
  <si>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</si>
  <si>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</si>
  <si>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</si>
  <si>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</si>
  <si>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</si>
  <si>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</si>
  <si>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</si>
  <si>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</si>
  <si>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</si>
  <si>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</si>
  <si>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</si>
  <si>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</si>
  <si>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</si>
  <si>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</si>
  <si>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</si>
  <si>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</si>
  <si>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</si>
  <si>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</si>
  <si>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</si>
  <si>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</si>
  <si>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</si>
  <si>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</si>
  <si>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</si>
  <si>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</si>
  <si>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</si>
  <si>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</si>
  <si>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</si>
  <si>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</si>
  <si>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</si>
  <si>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</si>
  <si>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</si>
  <si>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</si>
  <si>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</si>
  <si>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</si>
  <si>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</si>
  <si>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</si>
  <si>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</si>
  <si>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</si>
  <si>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</si>
  <si>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</si>
  <si>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</si>
  <si>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</si>
  <si>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</si>
  <si>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</si>
  <si>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</si>
  <si>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</si>
  <si>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</si>
  <si>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</si>
  <si>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</si>
  <si>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</si>
  <si>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</si>
  <si>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</si>
  <si>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</si>
  <si>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</si>
  <si>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</si>
  <si>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</si>
  <si>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</si>
  <si>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</si>
  <si>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</si>
  <si>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</si>
  <si>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</si>
  <si>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</si>
  <si>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</si>
  <si>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</si>
  <si>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</si>
  <si>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</si>
  <si>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</si>
  <si>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</si>
  <si>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</si>
  <si>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</si>
  <si>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</si>
  <si>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</si>
  <si>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</si>
  <si>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</si>
  <si>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</si>
  <si>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</si>
  <si>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</si>
  <si>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</si>
  <si>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</si>
  <si>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</si>
  <si>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</si>
  <si>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</si>
  <si>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</si>
  <si>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</si>
  <si>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</si>
  <si>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</si>
  <si>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</si>
  <si>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</si>
  <si>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</si>
  <si>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</si>
  <si>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</si>
  <si>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</si>
  <si>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</si>
  <si>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</si>
  <si>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</si>
  <si>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</si>
  <si>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</si>
  <si>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</si>
  <si>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</si>
  <si>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</si>
  <si>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</si>
  <si>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</si>
  <si>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</si>
  <si>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</si>
  <si>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</si>
  <si>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</si>
  <si>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</si>
  <si>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</si>
  <si>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</si>
  <si>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</si>
  <si>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</si>
  <si>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</si>
  <si>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</si>
  <si>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</si>
  <si>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</si>
  <si>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</si>
  <si>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</si>
  <si>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</si>
  <si>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</si>
  <si>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</si>
  <si>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</si>
  <si>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</si>
  <si>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</si>
  <si>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</si>
  <si>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</si>
  <si>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</si>
  <si>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</si>
  <si>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</si>
  <si>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</si>
  <si>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</si>
  <si>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</si>
  <si>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</si>
  <si>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</si>
  <si>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</si>
  <si>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</si>
  <si>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</si>
  <si>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</si>
  <si>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</si>
  <si>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</si>
  <si>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</si>
  <si>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</si>
  <si>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</si>
  <si>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</si>
  <si>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</si>
  <si>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</si>
  <si>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</si>
  <si>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</si>
  <si>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</si>
  <si>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</si>
  <si>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</si>
  <si>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</si>
  <si>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</si>
  <si>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</si>
  <si>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</si>
  <si>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</si>
  <si>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</si>
  <si>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</si>
  <si>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</si>
  <si>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</si>
  <si>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</si>
  <si>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</si>
  <si>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</si>
  <si>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</si>
  <si>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</si>
  <si>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</si>
  <si>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</si>
  <si>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</si>
  <si>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</si>
  <si>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</si>
  <si>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</si>
  <si>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</si>
  <si>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</si>
  <si>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</si>
  <si>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</si>
  <si>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</si>
  <si>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</si>
  <si>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</si>
  <si>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</si>
  <si>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</si>
  <si>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</si>
  <si>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</si>
  <si>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</si>
  <si>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</si>
  <si>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</si>
  <si>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</si>
  <si>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</si>
  <si>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</si>
  <si>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</si>
  <si>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</si>
  <si>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</si>
  <si>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</si>
  <si>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</si>
  <si>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</si>
  <si>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</si>
  <si>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</si>
  <si>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</si>
  <si>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</si>
  <si>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</si>
  <si>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</si>
  <si>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</si>
  <si>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</si>
  <si>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</si>
  <si>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</si>
  <si>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</si>
  <si>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</si>
  <si>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</si>
  <si>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</si>
  <si>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</si>
  <si>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</si>
  <si>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</si>
  <si>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</si>
  <si>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</si>
  <si>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</si>
  <si>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</si>
  <si>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</si>
  <si>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</si>
  <si>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</si>
  <si>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</si>
  <si>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</si>
  <si>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</si>
  <si>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</si>
  <si>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</si>
  <si>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</si>
  <si>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</si>
  <si>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</si>
  <si>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</si>
  <si>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</si>
  <si>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</si>
  <si>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</si>
  <si>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</si>
  <si>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</si>
  <si>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</si>
  <si>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</si>
  <si>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</si>
  <si>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</si>
  <si>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</si>
  <si>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</si>
  <si>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</si>
  <si>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</si>
  <si>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</si>
  <si>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</si>
  <si>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</si>
  <si>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</si>
  <si>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</si>
  <si>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</si>
  <si>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</si>
  <si>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</si>
  <si>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</si>
  <si>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</si>
  <si>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</si>
  <si>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</si>
  <si>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</si>
  <si>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</si>
  <si>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</si>
  <si>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</si>
  <si>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</si>
  <si>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</si>
  <si>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</si>
  <si>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</si>
  <si>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</si>
  <si>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</si>
  <si>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</si>
  <si>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</si>
  <si>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</si>
  <si>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</si>
  <si>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</si>
  <si>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</si>
  <si>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</si>
  <si>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</si>
  <si>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</si>
  <si>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</si>
  <si>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</si>
  <si>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</si>
  <si>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</si>
  <si>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</si>
  <si>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</si>
  <si>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</si>
  <si>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</si>
  <si>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</si>
  <si>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</si>
  <si>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</si>
  <si>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</si>
  <si>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</si>
  <si>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</si>
  <si>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</si>
  <si>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</si>
  <si>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</si>
  <si>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</si>
  <si>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</si>
  <si>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</si>
  <si>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</si>
  <si>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</si>
  <si>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</si>
  <si>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</si>
  <si>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</si>
  <si>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</si>
  <si>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</si>
  <si>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</si>
  <si>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</si>
  <si>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</si>
  <si>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</si>
  <si>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</si>
  <si>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</si>
  <si>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</si>
  <si>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</si>
  <si>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</si>
  <si>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</si>
  <si>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</si>
  <si>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</si>
  <si>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</si>
  <si>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</si>
  <si>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</si>
  <si>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</si>
  <si>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</si>
  <si>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</si>
  <si>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</si>
  <si>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</si>
  <si>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</si>
  <si>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</si>
  <si>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</si>
  <si>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</si>
  <si>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</si>
  <si>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</si>
  <si>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</si>
  <si>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</si>
  <si>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</si>
  <si>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</si>
  <si>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</si>
  <si>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</si>
  <si>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</si>
  <si>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</si>
  <si>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</si>
  <si>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</si>
  <si>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</si>
  <si>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</si>
  <si>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</si>
  <si>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</si>
  <si>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</si>
  <si>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</si>
  <si>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</si>
  <si>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</si>
  <si>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</si>
  <si>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</si>
  <si>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</si>
  <si>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</si>
  <si>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</si>
  <si>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</si>
  <si>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</si>
  <si>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</si>
  <si>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</si>
  <si>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</si>
  <si>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</si>
  <si>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</si>
  <si>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</si>
  <si>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</si>
  <si>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</si>
  <si>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</si>
  <si>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</si>
  <si>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</si>
  <si>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</si>
  <si>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</si>
  <si>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</si>
  <si>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</si>
  <si>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</si>
  <si>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</si>
  <si>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</si>
  <si>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</si>
  <si>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</si>
  <si>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</si>
  <si>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</si>
  <si>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</si>
  <si>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</si>
  <si>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</si>
  <si>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</si>
  <si>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</si>
  <si>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</si>
  <si>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</si>
  <si>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</si>
  <si>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</si>
  <si>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</si>
  <si>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</si>
  <si>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</si>
  <si>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</si>
  <si>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</si>
  <si>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</si>
  <si>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</si>
  <si>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</si>
  <si>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</si>
  <si>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</si>
  <si>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</si>
  <si>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</si>
  <si>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</si>
  <si>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</si>
  <si>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</si>
  <si>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</si>
  <si>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</si>
  <si>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</si>
  <si>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</si>
  <si>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</si>
  <si>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</si>
  <si>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</si>
  <si>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</si>
  <si>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</si>
  <si>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</si>
  <si>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</si>
  <si>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</si>
  <si>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</si>
  <si>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</si>
  <si>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</si>
  <si>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</si>
  <si>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</si>
  <si>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</si>
  <si>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</si>
  <si>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</si>
  <si>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</si>
  <si>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</si>
  <si>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</si>
  <si>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</si>
  <si>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</si>
  <si>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</si>
  <si>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</si>
  <si>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</si>
  <si>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</si>
  <si>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</si>
  <si>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</si>
  <si>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</si>
  <si>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</si>
  <si>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</si>
  <si>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</si>
  <si>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</si>
  <si>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</si>
  <si>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</si>
  <si>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</si>
  <si>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</si>
  <si>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</si>
  <si>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</si>
  <si>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</si>
  <si>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</si>
  <si>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</si>
  <si>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</si>
  <si>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</si>
  <si>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</si>
  <si>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</si>
  <si>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</si>
  <si>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</si>
  <si>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</si>
  <si>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</si>
  <si>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</si>
  <si>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</si>
  <si>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</si>
  <si>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</si>
  <si>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</si>
  <si>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</si>
  <si>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</si>
  <si>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</si>
  <si>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</si>
  <si>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</si>
  <si>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</si>
  <si>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</si>
  <si>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</si>
  <si>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</si>
  <si>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</si>
  <si>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</si>
  <si>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</si>
  <si>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</si>
  <si>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</si>
  <si>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</si>
  <si>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</si>
  <si>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</si>
  <si>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</si>
  <si>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</si>
  <si>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</si>
  <si>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</si>
  <si>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</si>
  <si>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</si>
  <si>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</si>
  <si>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</si>
  <si>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</si>
  <si>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</si>
  <si>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</si>
  <si>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</si>
  <si>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</si>
  <si>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</si>
  <si>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</si>
  <si>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</si>
  <si>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</si>
  <si>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</si>
  <si>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</si>
  <si>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</si>
  <si>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</si>
  <si>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</si>
  <si>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</si>
  <si>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</si>
  <si>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</si>
  <si>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</si>
  <si>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</si>
  <si>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</si>
  <si>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</si>
  <si>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</si>
  <si>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</si>
  <si>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</si>
  <si>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</si>
  <si>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</si>
  <si>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</si>
  <si>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</si>
  <si>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</si>
  <si>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</si>
  <si>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</si>
  <si>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</si>
  <si>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</si>
  <si>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</si>
  <si>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</si>
  <si>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</si>
  <si>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</si>
  <si>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</si>
  <si>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</si>
  <si>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</si>
  <si>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</si>
  <si>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</si>
  <si>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</si>
  <si>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</si>
  <si>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</si>
  <si>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</si>
  <si>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</si>
  <si>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</si>
  <si>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</si>
  <si>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</si>
  <si>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</si>
  <si>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</si>
  <si>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</si>
  <si>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</si>
  <si>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</si>
  <si>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</si>
  <si>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</si>
  <si>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</si>
  <si>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</si>
  <si>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</si>
  <si>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</si>
  <si>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</si>
  <si>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</si>
  <si>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</si>
  <si>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</si>
  <si>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</si>
  <si>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</si>
  <si>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</si>
  <si>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</si>
  <si>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</si>
  <si>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</si>
  <si>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</si>
  <si>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</si>
  <si>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</si>
  <si>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</si>
  <si>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</si>
  <si>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</si>
  <si>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</si>
  <si>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</si>
  <si>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</si>
  <si>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</si>
  <si>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</si>
  <si>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</si>
  <si>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</si>
  <si>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</si>
  <si>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</si>
  <si>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</si>
  <si>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</si>
  <si>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</si>
  <si>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</si>
  <si>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</si>
  <si>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</si>
  <si>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</si>
  <si>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</si>
  <si>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</si>
  <si>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</si>
  <si>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</si>
  <si>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</si>
  <si>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</si>
  <si>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</si>
  <si>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</si>
  <si>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</si>
  <si>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</si>
  <si>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</si>
  <si>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</si>
  <si>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</si>
  <si>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</si>
  <si>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</si>
  <si>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</si>
  <si>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</si>
  <si>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</si>
  <si>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</si>
  <si>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</si>
  <si>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</si>
  <si>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</si>
  <si>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</si>
  <si>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</si>
  <si>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</si>
  <si>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</si>
  <si>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</si>
  <si>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</si>
  <si>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</si>
  <si>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</si>
  <si>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</si>
  <si>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</si>
  <si>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</si>
  <si>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</si>
  <si>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</si>
  <si>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</si>
  <si>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</si>
  <si>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</si>
  <si>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</si>
  <si>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</si>
  <si>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</si>
  <si>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</si>
  <si>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</si>
  <si>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</si>
  <si>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</si>
  <si>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</si>
  <si>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</si>
  <si>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</si>
  <si>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</si>
  <si>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</si>
  <si>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</si>
  <si>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</si>
  <si>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</si>
  <si>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</si>
  <si>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</si>
  <si>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</si>
  <si>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</si>
  <si>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</si>
  <si>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</si>
  <si>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</si>
  <si>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</si>
  <si>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</si>
  <si>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</si>
  <si>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</si>
  <si>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</si>
  <si>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</si>
  <si>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</si>
  <si>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</si>
  <si>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</si>
  <si>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</si>
  <si>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</si>
  <si>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</si>
  <si>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</si>
  <si>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</si>
  <si>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</si>
  <si>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</si>
  <si>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</si>
  <si>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</si>
  <si>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</si>
  <si>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</si>
  <si>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</si>
  <si>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</si>
  <si>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</si>
  <si>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</si>
  <si>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</si>
  <si>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</si>
  <si>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</si>
  <si>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</si>
  <si>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</si>
  <si>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</si>
  <si>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</si>
  <si>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</si>
  <si>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</si>
  <si>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</si>
  <si>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</si>
  <si>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</si>
  <si>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</si>
  <si>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</si>
  <si>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</si>
  <si>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</si>
  <si>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</si>
  <si>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</si>
  <si>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</si>
  <si>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</si>
  <si>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</si>
  <si>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</si>
  <si>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</si>
  <si>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</si>
  <si>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</si>
  <si>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</si>
  <si>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</si>
  <si>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</si>
  <si>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</si>
  <si>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</si>
  <si>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</si>
  <si>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</si>
  <si>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</si>
  <si>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</si>
  <si>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</si>
  <si>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</si>
  <si>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</si>
  <si>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</si>
  <si>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</si>
  <si>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</si>
  <si>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</si>
  <si>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</si>
  <si>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</si>
  <si>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</si>
  <si>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</si>
  <si>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</si>
  <si>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</si>
  <si>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</si>
  <si>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</si>
  <si>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</si>
  <si>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</si>
  <si>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</si>
  <si>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</si>
  <si>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</si>
  <si>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</si>
  <si>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</si>
  <si>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</si>
  <si>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</si>
  <si>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</si>
  <si>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</si>
  <si>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</si>
  <si>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</si>
  <si>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</si>
  <si>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</si>
  <si>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</si>
  <si>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</si>
  <si>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</si>
  <si>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</si>
  <si>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</si>
  <si>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</si>
  <si>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</si>
  <si>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</si>
  <si>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</si>
  <si>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</si>
  <si>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</si>
  <si>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</si>
  <si>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出让</t>
  </si>
  <si>
    <t>上海市浦东新区惠南镇</t>
    <phoneticPr fontId="3" type="noConversion"/>
  </si>
  <si>
    <t>惠南颐景园</t>
    <phoneticPr fontId="6" type="noConversion"/>
  </si>
  <si>
    <t>企业</t>
  </si>
  <si>
    <t>上海三花颐景置业有限公司</t>
    <phoneticPr fontId="6" type="noConversion"/>
  </si>
  <si>
    <t>建筑与土地面积依据相同</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</si>
  <si>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沪（</t>
    </r>
    <r>
      <rPr>
        <sz val="12"/>
        <color theme="9" tint="-0.249977111117893"/>
        <rFont val="Arial"/>
        <family val="2"/>
      </rPr>
      <t>2017</t>
    </r>
    <r>
      <rPr>
        <sz val="12"/>
        <color theme="9" tint="-0.249977111117893"/>
        <rFont val="宋体"/>
        <family val="3"/>
        <charset val="134"/>
      </rPr>
      <t>）浦字不动产权第</t>
    </r>
    <r>
      <rPr>
        <sz val="12"/>
        <color theme="9" tint="-0.249977111117893"/>
        <rFont val="Arial"/>
        <family val="2"/>
      </rPr>
      <t>035776</t>
    </r>
    <r>
      <rPr>
        <sz val="12"/>
        <color theme="9" tint="-0.249977111117893"/>
        <rFont val="宋体"/>
        <family val="3"/>
        <charset val="134"/>
      </rPr>
      <t>号，沪（</t>
    </r>
    <r>
      <rPr>
        <sz val="12"/>
        <color theme="9" tint="-0.249977111117893"/>
        <rFont val="Arial"/>
        <family val="2"/>
      </rPr>
      <t>2018</t>
    </r>
    <r>
      <rPr>
        <sz val="12"/>
        <color theme="9" tint="-0.249977111117893"/>
        <rFont val="宋体"/>
        <family val="3"/>
        <charset val="134"/>
      </rPr>
      <t>）浦字不动产权第</t>
    </r>
    <r>
      <rPr>
        <sz val="12"/>
        <color theme="9" tint="-0.249977111117893"/>
        <rFont val="Arial"/>
        <family val="2"/>
      </rPr>
      <t>012244</t>
    </r>
    <r>
      <rPr>
        <sz val="12"/>
        <color theme="9" tint="-0.249977111117893"/>
        <rFont val="宋体"/>
        <family val="3"/>
        <charset val="134"/>
      </rPr>
      <t>、</t>
    </r>
    <r>
      <rPr>
        <sz val="12"/>
        <color theme="9" tint="-0.249977111117893"/>
        <rFont val="Arial"/>
        <family val="2"/>
      </rPr>
      <t>054534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</si>
  <si>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</si>
  <si>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《不动产权证书》</t>
  </si>
  <si>
    <t>复印件</t>
  </si>
  <si>
    <t>2018-1-0883</t>
    <phoneticPr fontId="6" type="noConversion"/>
  </si>
  <si>
    <t>上海三盛房地产（集团）有限责任公司</t>
    <phoneticPr fontId="6" type="noConversion"/>
  </si>
  <si>
    <t>房地产抵押价值</t>
  </si>
  <si>
    <t>抵押</t>
  </si>
  <si>
    <t>商业</t>
    <phoneticPr fontId="6" type="noConversion"/>
  </si>
  <si>
    <r>
      <rPr>
        <sz val="12"/>
        <color theme="9" tint="-0.249977111117893"/>
        <rFont val="宋体"/>
        <family val="3"/>
        <charset val="134"/>
      </rPr>
      <t>商业</t>
    </r>
    <r>
      <rPr>
        <sz val="12"/>
        <color theme="9" tint="-0.249977111117893"/>
        <rFont val="Arial"/>
        <family val="2"/>
      </rPr>
      <t>35.01</t>
    </r>
    <r>
      <rPr>
        <sz val="12"/>
        <color theme="9" tint="-0.249977111117893"/>
        <rFont val="宋体"/>
        <family val="3"/>
        <charset val="134"/>
      </rPr>
      <t>年</t>
    </r>
    <phoneticPr fontId="6" type="noConversion"/>
  </si>
  <si>
    <t>惠南商业明细</t>
  </si>
  <si>
    <t>地址</t>
  </si>
  <si>
    <t>预测面积</t>
  </si>
  <si>
    <t>实测面积</t>
  </si>
  <si>
    <t>备案价</t>
  </si>
  <si>
    <t>单价</t>
    <phoneticPr fontId="257" type="noConversion"/>
  </si>
  <si>
    <t>三期</t>
  </si>
  <si>
    <r>
      <rPr>
        <sz val="9"/>
        <rFont val="宋体"/>
        <family val="3"/>
        <charset val="134"/>
      </rPr>
      <t>听锦路4</t>
    </r>
    <r>
      <rPr>
        <sz val="9"/>
        <rFont val="宋体"/>
        <family val="3"/>
        <charset val="134"/>
      </rPr>
      <t>5.49.53-55（号）单</t>
    </r>
  </si>
  <si>
    <r>
      <rPr>
        <sz val="9"/>
        <rFont val="宋体"/>
        <family val="3"/>
        <charset val="134"/>
      </rPr>
      <t>听民路8</t>
    </r>
    <r>
      <rPr>
        <sz val="9"/>
        <rFont val="宋体"/>
        <family val="3"/>
        <charset val="134"/>
      </rPr>
      <t>43-851号（单），听锦路21-27号（单）</t>
    </r>
  </si>
  <si>
    <r>
      <rPr>
        <sz val="9"/>
        <rFont val="宋体"/>
        <family val="3"/>
        <charset val="134"/>
      </rPr>
      <t>拱泰路4</t>
    </r>
    <r>
      <rPr>
        <sz val="9"/>
        <rFont val="宋体"/>
        <family val="3"/>
        <charset val="134"/>
      </rPr>
      <t>2-50（号）双</t>
    </r>
  </si>
  <si>
    <r>
      <rPr>
        <sz val="9"/>
        <rFont val="宋体"/>
        <family val="3"/>
        <charset val="134"/>
      </rPr>
      <t>拱泰路6</t>
    </r>
    <r>
      <rPr>
        <sz val="9"/>
        <rFont val="宋体"/>
        <family val="3"/>
        <charset val="134"/>
      </rPr>
      <t>0.64-68号（双）、听晓路800-808号（双）</t>
    </r>
  </si>
  <si>
    <r>
      <rPr>
        <sz val="9"/>
        <rFont val="宋体"/>
        <family val="3"/>
        <charset val="134"/>
      </rPr>
      <t>拱泰路2</t>
    </r>
    <r>
      <rPr>
        <sz val="9"/>
        <rFont val="宋体"/>
        <family val="3"/>
        <charset val="134"/>
      </rPr>
      <t>0.22号</t>
    </r>
  </si>
  <si>
    <r>
      <rPr>
        <sz val="9"/>
        <rFont val="宋体"/>
        <family val="3"/>
        <charset val="134"/>
      </rPr>
      <t>听锦路6</t>
    </r>
    <r>
      <rPr>
        <sz val="9"/>
        <rFont val="宋体"/>
        <family val="3"/>
        <charset val="134"/>
      </rPr>
      <t>7号，听晓路816-820.826.836号（双）</t>
    </r>
  </si>
  <si>
    <t>二期</t>
  </si>
  <si>
    <t>听民路909-921.925单号</t>
  </si>
  <si>
    <t>听锦路46-52号（双)</t>
  </si>
  <si>
    <t>听惠路921-925.929号（单）</t>
  </si>
  <si>
    <t>听锦路64.66.70.72.76号</t>
  </si>
  <si>
    <t>听锦路24-28号（双）</t>
  </si>
  <si>
    <t>听惠路945.945-953号（单）</t>
  </si>
  <si>
    <t>一期</t>
  </si>
  <si>
    <t>听晓路690-694.698-704号（双）</t>
  </si>
  <si>
    <t>拱泰路39-47号（单）</t>
  </si>
  <si>
    <t>拱泰路1.5.9.77号</t>
  </si>
  <si>
    <t>听晓路662.666号</t>
  </si>
  <si>
    <t>听晓路712.716.718.722-728（双）号</t>
  </si>
  <si>
    <t>听晓路746号，拱泰路63.69号</t>
  </si>
  <si>
    <t>合计：</t>
  </si>
  <si>
    <t>地上</t>
  </si>
  <si>
    <t>是</t>
  </si>
  <si>
    <t>沿街商业（基准）</t>
    <phoneticPr fontId="3" type="noConversion"/>
  </si>
  <si>
    <t xml:space="preserve">沿街商业 </t>
    <phoneticPr fontId="3" type="noConversion"/>
  </si>
  <si>
    <t>独栋商业</t>
    <phoneticPr fontId="3" type="noConversion"/>
  </si>
  <si>
    <t>成新度</t>
  </si>
  <si>
    <t>收益法</t>
  </si>
  <si>
    <t>沿街商业（基准）</t>
  </si>
  <si>
    <t>押一</t>
  </si>
  <si>
    <t>钢混</t>
  </si>
  <si>
    <t>非生产用房</t>
  </si>
  <si>
    <t>按租金收入计税</t>
  </si>
  <si>
    <r>
      <t>1</t>
    </r>
    <r>
      <rPr>
        <sz val="10"/>
        <color indexed="8"/>
        <rFont val="宋体"/>
        <family val="3"/>
        <charset val="134"/>
      </rPr>
      <t>层</t>
    </r>
    <phoneticPr fontId="25" type="noConversion"/>
  </si>
  <si>
    <r>
      <t>1-3</t>
    </r>
    <r>
      <rPr>
        <sz val="10"/>
        <color indexed="8"/>
        <rFont val="宋体"/>
        <family val="3"/>
        <charset val="134"/>
      </rPr>
      <t>层</t>
    </r>
    <phoneticPr fontId="25" type="noConversion"/>
  </si>
  <si>
    <t>1-3层</t>
  </si>
  <si>
    <t>1层</t>
  </si>
  <si>
    <t>比较法-商业</t>
  </si>
  <si>
    <t>售价</t>
  </si>
  <si>
    <t>商业类型</t>
    <phoneticPr fontId="3" type="noConversion"/>
  </si>
  <si>
    <t>独栋商业</t>
  </si>
  <si>
    <t>独栋商业</t>
    <phoneticPr fontId="25" type="noConversion"/>
  </si>
  <si>
    <t>商业街商业</t>
  </si>
  <si>
    <t>商业街商业</t>
    <phoneticPr fontId="25" type="noConversion"/>
  </si>
  <si>
    <t>配套底商</t>
    <phoneticPr fontId="25" type="noConversion"/>
  </si>
</sst>
</file>

<file path=xl/styles.xml><?xml version="1.0" encoding="utf-8"?>
<styleSheet xmlns="http://schemas.openxmlformats.org/spreadsheetml/2006/main">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color theme="1"/>
      <name val="宋体"/>
      <family val="2"/>
      <scheme val="minor"/>
    </font>
    <font>
      <b/>
      <sz val="11"/>
      <color theme="1"/>
      <name val="宋体"/>
      <family val="2"/>
      <scheme val="minor"/>
    </font>
    <font>
      <sz val="9"/>
      <name val="宋体"/>
      <family val="2"/>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60" xfId="0" applyNumberFormat="1"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49" fontId="99" fillId="0" borderId="0" xfId="5" applyNumberFormat="1">
      <alignment vertical="center"/>
    </xf>
    <xf numFmtId="0" fontId="99" fillId="0" borderId="1" xfId="5" applyBorder="1">
      <alignment vertical="center"/>
    </xf>
    <xf numFmtId="0" fontId="256" fillId="0" borderId="1" xfId="5" applyFont="1" applyBorder="1" applyAlignment="1">
      <alignment horizontal="center" vertical="center"/>
    </xf>
    <xf numFmtId="49" fontId="0" fillId="0" borderId="0" xfId="5" applyNumberFormat="1" applyFont="1">
      <alignment vertical="center"/>
    </xf>
    <xf numFmtId="0" fontId="3" fillId="0" borderId="1" xfId="5" applyFont="1" applyFill="1" applyBorder="1" applyAlignment="1">
      <alignment horizontal="center" vertical="center"/>
    </xf>
    <xf numFmtId="0" fontId="99" fillId="0" borderId="1" xfId="5" applyNumberFormat="1" applyBorder="1" applyAlignment="1">
      <alignment horizontal="center" vertical="center"/>
    </xf>
    <xf numFmtId="43" fontId="0" fillId="0" borderId="0" xfId="17" applyFont="1">
      <alignment vertical="center"/>
    </xf>
    <xf numFmtId="43" fontId="99" fillId="0" borderId="0" xfId="5" applyNumberFormat="1">
      <alignment vertical="center"/>
    </xf>
    <xf numFmtId="0" fontId="3" fillId="0" borderId="1" xfId="5" applyFont="1" applyFill="1" applyBorder="1" applyAlignment="1">
      <alignment horizontal="center" vertical="center" wrapText="1"/>
    </xf>
    <xf numFmtId="0" fontId="3" fillId="17" borderId="1" xfId="5" applyFont="1" applyFill="1" applyBorder="1" applyAlignment="1">
      <alignment horizontal="center" vertical="center" wrapText="1"/>
    </xf>
    <xf numFmtId="0" fontId="3" fillId="17" borderId="1" xfId="5" applyFont="1" applyFill="1" applyBorder="1" applyAlignment="1">
      <alignment horizontal="center" vertical="center"/>
    </xf>
    <xf numFmtId="0" fontId="99" fillId="17" borderId="1" xfId="5" applyNumberFormat="1" applyFill="1" applyBorder="1" applyAlignment="1">
      <alignment horizontal="center" vertical="center"/>
    </xf>
    <xf numFmtId="0" fontId="3" fillId="5" borderId="1" xfId="5" applyFont="1" applyFill="1" applyBorder="1" applyAlignment="1">
      <alignment horizontal="center" vertical="center"/>
    </xf>
    <xf numFmtId="0" fontId="100" fillId="0" borderId="1" xfId="5" applyNumberFormat="1" applyFont="1" applyBorder="1" applyAlignment="1">
      <alignment horizontal="center" vertical="center"/>
    </xf>
    <xf numFmtId="0" fontId="256" fillId="0" borderId="1" xfId="5" applyFont="1" applyBorder="1">
      <alignment vertical="center"/>
    </xf>
    <xf numFmtId="0" fontId="256" fillId="0" borderId="1" xfId="5" applyNumberFormat="1" applyFont="1" applyBorder="1">
      <alignment vertical="center"/>
    </xf>
    <xf numFmtId="0" fontId="99" fillId="0" borderId="0" xfId="5" applyAlignment="1">
      <alignment horizontal="center"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47" fillId="0" borderId="24" xfId="0" applyNumberFormat="1" applyFont="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0" xfId="5" applyFont="1" applyAlignment="1">
      <alignment horizontal="center" vertical="center"/>
    </xf>
    <xf numFmtId="0" fontId="256" fillId="0" borderId="1" xfId="5" applyFont="1" applyBorder="1" applyAlignment="1">
      <alignment horizontal="center" vertical="center"/>
    </xf>
    <xf numFmtId="0" fontId="256" fillId="0" borderId="1" xfId="5" applyFont="1" applyBorder="1" applyAlignment="1">
      <alignment horizontal="righ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581025</xdr:colOff>
      <xdr:row>30</xdr:row>
      <xdr:rowOff>104775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0" y="0"/>
          <a:ext cx="11553825" cy="52482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29</xdr:row>
      <xdr:rowOff>161925</xdr:rowOff>
    </xdr:from>
    <xdr:to>
      <xdr:col>16</xdr:col>
      <xdr:colOff>590550</xdr:colOff>
      <xdr:row>60</xdr:row>
      <xdr:rowOff>85725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0" y="5133975"/>
          <a:ext cx="11563350" cy="52387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59</xdr:row>
      <xdr:rowOff>95250</xdr:rowOff>
    </xdr:from>
    <xdr:to>
      <xdr:col>16</xdr:col>
      <xdr:colOff>657225</xdr:colOff>
      <xdr:row>90</xdr:row>
      <xdr:rowOff>123825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0" y="10210800"/>
          <a:ext cx="11630025" cy="53435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上海市浦东新区惠南镇惠南颐景园出让国有建设用地使用权及在建建筑物房地产抵押价值预评估</v>
      </c>
    </row>
    <row r="3" spans="1:2" s="1595" customFormat="1">
      <c r="A3" s="1593" t="s">
        <v>1217</v>
      </c>
      <c r="B3" s="1594" t="str">
        <f>'预评函-封皮'!B40</f>
        <v>上海三盛房地产（集团）有限责任公司</v>
      </c>
    </row>
    <row r="4" spans="1:2" s="1595" customFormat="1">
      <c r="A4" s="1593" t="s">
        <v>1218</v>
      </c>
      <c r="B4" s="1594" t="str">
        <f>'预评函-封皮'!B46</f>
        <v>（注册号：0)、（注册号：0)</v>
      </c>
    </row>
    <row r="5" spans="1:2" s="1589" customFormat="1" ht="15" thickBot="1">
      <c r="A5" s="1596" t="s">
        <v>1219</v>
      </c>
      <c r="B5" s="1597" t="str">
        <f>'预评函-封皮'!B49</f>
        <v>康正预评字2018-1-0883号</v>
      </c>
    </row>
    <row r="6" spans="1:2" s="1592" customFormat="1" ht="15" thickTop="1">
      <c r="A6" s="1590" t="s">
        <v>1220</v>
      </c>
      <c r="B6" s="1591" t="str">
        <f>'预评函-1'!A4</f>
        <v>受贵公司委托，我公司对上海市浦东新区惠南镇惠南颐景园出让国有建设用地使用权及在建建筑物房地产抵押价值进行了预评估。</v>
      </c>
    </row>
    <row r="7" spans="1:2" s="1595" customFormat="1">
      <c r="A7" s="1593" t="s">
        <v>1260</v>
      </c>
      <c r="B7" s="1594" t="str">
        <f>'预评函-1'!A7</f>
        <v>估价对象为上海市浦东新区惠南镇惠南颐景园出让国有建设用地使用权及在建建筑物房地产，为上海三花颐景置业有限公司所有。根据《不动产权证书》[沪（2017）浦字不动产权第035776号，沪（2018）浦字不动产权第012244、054534号]，估价对象（分摊）出让国有建设用地使用权面积为64465平方米，建筑面积为31157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上海市浦东新区惠南镇惠南颐景园出让国有建设用地使用权及在建建筑物房地产,属上海三花颐景置业有限公司开发建设的，该项目尚在开发建设中。根据《不动产权证书》[沪（2017）浦字不动产权第035776号，沪（2018）浦字不动产权第012244、054534号]，估价对象（分摊）出让国有建设用地使用权面积为64465平方米，规划建筑面积为31157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为估价委托人在向办理贷款手续过程中，确定房地产抵押贷款额度提供参考依据而评估房地产抵押价值。</v>
      </c>
    </row>
    <row r="12" spans="1:2" s="1595" customFormat="1">
      <c r="A12" s="1593" t="s">
        <v>1222</v>
      </c>
      <c r="B12" s="1594" t="str">
        <f>'预评函-1'!A15</f>
        <v>2018年11月1日（评估专业人员实地查勘之日）</v>
      </c>
    </row>
    <row r="13" spans="1:2" s="1595" customFormat="1">
      <c r="A13" s="1593" t="s">
        <v>1223</v>
      </c>
      <c r="B13" s="1594" t="str">
        <f>'预评函-1'!A18</f>
        <v>本次估价的“房地产价值”是指在正常市场情况下，在价值时点2018年11月1日，估价对象规划用途为商业，土地取得方式为出让，出让国有建设用地使用权剩余土地使用年限为商业35.01年，假定未设立法定优先受偿款下的房地产市场价值。</v>
      </c>
    </row>
    <row r="14" spans="1:2" s="1595" customFormat="1">
      <c r="A14" s="1593" t="s">
        <v>1224</v>
      </c>
      <c r="B14" s="1594" t="str">
        <f>'预评函-1'!A19</f>
        <v>其中，“出让国有建设用地使用权价值”是指估价对象用途为商业，实际开发程度为宗地红线外“七通”（即、、、、、、）、红线内场地平整条件下，剩余土地使用年限为商业35.01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本次评估采用的主估价方法为比较法和收益法。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1063</v>
      </c>
    </row>
    <row r="21" spans="1:2" s="1595" customFormat="1">
      <c r="A21" s="1593" t="s">
        <v>1231</v>
      </c>
      <c r="B21" s="1594">
        <f ca="1">'预评函-2'!D7</f>
        <v>341</v>
      </c>
    </row>
    <row r="22" spans="1:2" s="1595" customFormat="1">
      <c r="A22" s="1593" t="s">
        <v>1232</v>
      </c>
      <c r="B22" s="1594" t="str">
        <f ca="1">'预评函-2'!D6</f>
        <v>壹仟零陆拾叁万元整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1063</v>
      </c>
    </row>
    <row r="31" spans="1:2" s="1595" customFormat="1">
      <c r="A31" s="1593" t="s">
        <v>1270</v>
      </c>
      <c r="B31" s="1594">
        <f ca="1">'预评函-2'!D15</f>
        <v>341</v>
      </c>
    </row>
    <row r="32" spans="1:2" s="1595" customFormat="1">
      <c r="A32" s="1593" t="s">
        <v>1237</v>
      </c>
      <c r="B32" s="1594" t="str">
        <f ca="1">'预评函-2'!D14</f>
        <v>壹仟零陆拾叁万元整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上海市浦东新区惠南镇惠南颐景园出让国有建设用地使用权及在建建筑物房地产</v>
      </c>
    </row>
    <row r="42" spans="1:2" s="1595" customFormat="1">
      <c r="A42" s="1593" t="s">
        <v>1284</v>
      </c>
      <c r="B42" s="1594" t="str">
        <f>'预评函-3'!B2</f>
        <v>建筑面积</v>
      </c>
    </row>
    <row r="43" spans="1:2" s="1595" customFormat="1">
      <c r="A43" s="1593" t="s">
        <v>1285</v>
      </c>
      <c r="B43" s="1594">
        <f>'预评函-3'!B4</f>
        <v>31156.999999999996</v>
      </c>
    </row>
    <row r="44" spans="1:2" s="1595" customFormat="1">
      <c r="A44" s="1593" t="s">
        <v>1269</v>
      </c>
      <c r="B44" s="1594" t="str">
        <f>'预评函-3'!C2</f>
        <v>(分摊)土地面积</v>
      </c>
    </row>
    <row r="45" spans="1:2" s="1595" customFormat="1">
      <c r="A45" s="1593" t="s">
        <v>1241</v>
      </c>
      <c r="B45" s="1594">
        <f>'预评函-3'!C4</f>
        <v>64465</v>
      </c>
    </row>
    <row r="46" spans="1:2" s="1595" customFormat="1">
      <c r="A46" s="1593" t="s">
        <v>1267</v>
      </c>
      <c r="B46" s="1594" t="str">
        <f>'预评函-3'!D2</f>
        <v>出让国有建设用地使用权价值</v>
      </c>
    </row>
    <row r="47" spans="1:2" s="1595" customFormat="1">
      <c r="A47" s="1593" t="s">
        <v>1242</v>
      </c>
      <c r="B47" s="1594" t="e">
        <f ca="1">'预评函-3'!D4</f>
        <v>#REF!</v>
      </c>
    </row>
    <row r="48" spans="1:2" s="1595" customFormat="1">
      <c r="A48" s="1593" t="s">
        <v>1243</v>
      </c>
      <c r="B48" s="1594" t="e">
        <f ca="1">'预评函-3'!E4</f>
        <v>#REF!</v>
      </c>
    </row>
    <row r="49" spans="1:2" s="1595" customFormat="1">
      <c r="A49" s="1593" t="s">
        <v>1244</v>
      </c>
      <c r="B49" s="1594" t="e">
        <f ca="1">'预评函-3'!D5</f>
        <v>#REF!</v>
      </c>
    </row>
    <row r="50" spans="1:2" s="1595" customFormat="1">
      <c r="A50" s="1593" t="s">
        <v>1268</v>
      </c>
      <c r="B50" s="1594" t="str">
        <f>'预评函-3'!F2</f>
        <v>在建建筑物价值</v>
      </c>
    </row>
    <row r="51" spans="1:2" s="1595" customFormat="1">
      <c r="A51" s="1593" t="s">
        <v>1245</v>
      </c>
      <c r="B51" s="1594" t="e">
        <f ca="1">'预评函-3'!F4</f>
        <v>#REF!</v>
      </c>
    </row>
    <row r="52" spans="1:2" s="1595" customFormat="1">
      <c r="A52" s="1593" t="s">
        <v>1246</v>
      </c>
      <c r="B52" s="1594" t="e">
        <f ca="1">'预评函-3'!G4</f>
        <v>#REF!</v>
      </c>
    </row>
    <row r="53" spans="1:2" s="1595" customFormat="1">
      <c r="A53" s="1593" t="s">
        <v>1274</v>
      </c>
      <c r="B53" s="1594" t="e">
        <f ca="1">'预评函-3'!F5</f>
        <v>#REF!</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（1）根据估价对象《不动产权证书》复印件、，截至价值时点，估价对象抵押权未见登记。</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f>'预评函-4'!A4</f>
        <v>0</v>
      </c>
    </row>
    <row r="71" spans="1:2">
      <c r="A71" s="1593" t="s">
        <v>1257</v>
      </c>
      <c r="B71" s="1594">
        <f>'预评函-4'!B4</f>
        <v>0</v>
      </c>
    </row>
    <row r="72" spans="1:2">
      <c r="A72" s="1593" t="s">
        <v>1258</v>
      </c>
      <c r="B72" s="1602">
        <f>'预评函-4'!A5</f>
        <v>0</v>
      </c>
    </row>
    <row r="73" spans="1:2" s="1589" customFormat="1" ht="15" thickBot="1">
      <c r="A73" s="1596" t="s">
        <v>1259</v>
      </c>
      <c r="B73" s="1597">
        <f>'预评函-4'!B5</f>
        <v>0</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ColWidth="9"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757</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上海市浦东新区惠南镇惠南颐景园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15"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5"/>
      <c r="B54" s="2024" t="s">
        <v>861</v>
      </c>
      <c r="C54" s="2021" t="s">
        <v>1277</v>
      </c>
    </row>
    <row r="55" spans="1:4">
      <c r="A55" s="3015"/>
      <c r="B55" s="2024" t="s">
        <v>862</v>
      </c>
      <c r="C55" s="2021" t="s">
        <v>1278</v>
      </c>
    </row>
    <row r="56" spans="1:4">
      <c r="A56" s="3015"/>
      <c r="B56" s="2024" t="s">
        <v>863</v>
      </c>
      <c r="C56" s="2021" t="s">
        <v>1282</v>
      </c>
    </row>
    <row r="57" spans="1:4">
      <c r="A57" s="3015"/>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4" zoomScale="90" zoomScaleSheetLayoutView="90" workbookViewId="0">
      <selection activeCell="M18" sqref="M18"/>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1772</v>
      </c>
      <c r="B1" s="3016" t="str">
        <f>IF(B10="北京市","北京市",C10)&amp;F10&amp;IF(结果表!G1="在建","出让国有建设用地使用权及在建建筑物",IF(结果表!G1="土地","出让国有建设用地使用权",))&amp;B9&amp;"预评估"</f>
        <v>上海市浦东新区惠南镇惠南颐景园出让国有建设用地使用权及在建建筑物房地产抵押价值预评估</v>
      </c>
      <c r="C1" s="3017"/>
      <c r="D1" s="3017"/>
      <c r="E1" s="3017"/>
      <c r="F1" s="3017"/>
      <c r="G1" s="3017"/>
      <c r="H1" s="3017"/>
      <c r="I1" s="301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上海市浦东新区惠南镇惠南颐景园出让国有建设用地使用权及在建建筑物房地产抵押价值</v>
      </c>
    </row>
    <row r="2" spans="1:19" ht="18" customHeight="1">
      <c r="A2" s="2028" t="s">
        <v>1773</v>
      </c>
      <c r="B2" s="1041" t="s">
        <v>3055</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上海市浦东新区惠南镇惠南颐景园出让国有建设用地使用权及在建建筑物房地产</v>
      </c>
    </row>
    <row r="3" spans="1:19" ht="18" customHeight="1">
      <c r="A3" s="2037" t="s">
        <v>1774</v>
      </c>
      <c r="B3" s="2038">
        <v>43405</v>
      </c>
      <c r="C3" s="2039" t="s">
        <v>1775</v>
      </c>
      <c r="D3" s="2038">
        <v>43405</v>
      </c>
      <c r="E3" s="2028"/>
      <c r="F3" s="2028"/>
      <c r="G3" s="2028"/>
      <c r="H3" s="2028"/>
      <c r="I3" s="2028"/>
      <c r="J3" s="2028"/>
      <c r="K3" s="2029"/>
      <c r="L3" s="2030"/>
      <c r="M3" s="2030"/>
      <c r="N3" s="2031"/>
      <c r="O3" s="2032"/>
      <c r="P3" s="2031"/>
      <c r="Q3" s="2031"/>
      <c r="R3" s="2031"/>
      <c r="S3" s="2033"/>
    </row>
    <row r="4" spans="1:19" ht="18" customHeight="1" thickBot="1">
      <c r="A4" s="2040" t="s">
        <v>1776</v>
      </c>
      <c r="B4" s="2041"/>
      <c r="C4" s="1039">
        <f>SUMIF(注册房地产估价师,B4,估价师及机构信息!B3:B24)</f>
        <v>0</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1777</v>
      </c>
      <c r="B5" s="2948" t="s">
        <v>3056</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1778</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1779</v>
      </c>
      <c r="B7" s="2054"/>
      <c r="C7" s="2051"/>
      <c r="D7" s="2052"/>
      <c r="E7" s="2036"/>
      <c r="F7" s="2044"/>
      <c r="G7" s="2044"/>
      <c r="H7" s="2044"/>
      <c r="I7" s="2044"/>
      <c r="J7" s="2044"/>
      <c r="K7" s="2055"/>
      <c r="L7" s="2030"/>
      <c r="M7" s="2030"/>
      <c r="N7" s="2031"/>
      <c r="O7" s="2032"/>
      <c r="P7" s="2031"/>
      <c r="Q7" s="2031"/>
      <c r="R7" s="2031"/>
    </row>
    <row r="8" spans="1:19" ht="18" customHeight="1">
      <c r="A8" s="2049" t="s">
        <v>1780</v>
      </c>
      <c r="B8" s="2056" t="s">
        <v>3058</v>
      </c>
      <c r="C8" s="2057"/>
      <c r="D8" s="3019" t="s">
        <v>1781</v>
      </c>
      <c r="E8" s="2058" t="s">
        <v>3057</v>
      </c>
      <c r="F8" s="2059"/>
      <c r="G8" s="2028"/>
      <c r="H8" s="2028"/>
      <c r="I8" s="2028"/>
      <c r="J8" s="2044"/>
      <c r="K8" s="2045"/>
      <c r="L8" s="2030"/>
      <c r="M8" s="2030"/>
      <c r="N8" s="2031"/>
      <c r="O8" s="2032"/>
      <c r="P8" s="2031"/>
      <c r="Q8" s="2031"/>
      <c r="R8" s="2031"/>
    </row>
    <row r="9" spans="1:19" ht="18" customHeight="1" thickBot="1">
      <c r="A9" s="2042" t="s">
        <v>1782</v>
      </c>
      <c r="B9" s="2060" t="s">
        <v>3057</v>
      </c>
      <c r="C9" s="2061"/>
      <c r="D9" s="3020"/>
      <c r="E9" s="2060"/>
      <c r="F9" s="2062"/>
      <c r="G9" s="2063"/>
      <c r="H9" s="2063"/>
      <c r="I9" s="2063"/>
      <c r="J9" s="2044"/>
      <c r="K9" s="2055"/>
      <c r="L9" s="2030"/>
      <c r="M9" s="2030"/>
      <c r="N9" s="2031"/>
      <c r="O9" s="2032"/>
      <c r="P9" s="2031"/>
      <c r="Q9" s="2031"/>
      <c r="R9" s="2031"/>
    </row>
    <row r="10" spans="1:19" ht="18" customHeight="1" thickTop="1">
      <c r="A10" s="2064" t="s">
        <v>1783</v>
      </c>
      <c r="B10" s="2065"/>
      <c r="C10" s="2945" t="s">
        <v>3046</v>
      </c>
      <c r="D10" s="2048"/>
      <c r="E10" s="2066" t="s">
        <v>1784</v>
      </c>
      <c r="F10" s="2946" t="s">
        <v>3047</v>
      </c>
      <c r="G10" s="2067"/>
      <c r="H10" s="2068"/>
      <c r="I10" s="2048"/>
      <c r="J10" s="2044"/>
      <c r="K10" s="2055"/>
      <c r="L10" s="2030"/>
      <c r="M10" s="2030"/>
      <c r="N10" s="2031"/>
      <c r="O10" s="2032"/>
      <c r="P10" s="2031"/>
      <c r="Q10" s="2031"/>
      <c r="R10" s="2031"/>
    </row>
    <row r="11" spans="1:19" ht="18" customHeight="1">
      <c r="A11" s="2069" t="s">
        <v>1785</v>
      </c>
      <c r="B11" s="2070" t="s">
        <v>3048</v>
      </c>
      <c r="C11" s="2947" t="s">
        <v>3049</v>
      </c>
      <c r="D11" s="2071"/>
      <c r="E11" s="2044"/>
      <c r="F11" s="2044"/>
      <c r="G11" s="2044"/>
      <c r="H11" s="2044"/>
      <c r="I11" s="2044"/>
      <c r="J11" s="2044"/>
      <c r="K11" s="2055"/>
      <c r="L11" s="2030"/>
      <c r="M11" s="2030"/>
      <c r="N11" s="2031"/>
      <c r="O11" s="2032"/>
      <c r="P11" s="2031"/>
      <c r="Q11" s="2031"/>
      <c r="R11" s="2031"/>
    </row>
    <row r="12" spans="1:19" ht="18" customHeight="1">
      <c r="A12" s="2072" t="s">
        <v>1786</v>
      </c>
      <c r="B12" s="2070" t="s">
        <v>3045</v>
      </c>
      <c r="C12" s="2073" t="s">
        <v>1787</v>
      </c>
      <c r="D12" s="2074" t="s">
        <v>1788</v>
      </c>
      <c r="E12" s="2074" t="s">
        <v>1789</v>
      </c>
      <c r="F12" s="2074" t="s">
        <v>1790</v>
      </c>
      <c r="G12" s="2074" t="s">
        <v>1791</v>
      </c>
      <c r="H12" s="2074" t="s">
        <v>1792</v>
      </c>
      <c r="I12" s="2074" t="s">
        <v>1793</v>
      </c>
      <c r="J12" s="2044"/>
      <c r="K12" s="2055"/>
      <c r="L12" s="2030"/>
      <c r="M12" s="2030"/>
      <c r="N12" s="2031"/>
      <c r="O12" s="2032"/>
      <c r="P12" s="2031"/>
      <c r="Q12" s="2031"/>
      <c r="R12" s="2031"/>
    </row>
    <row r="13" spans="1:19" ht="18" customHeight="1">
      <c r="A13" s="2075"/>
      <c r="B13" s="2076"/>
      <c r="C13" s="2077" t="s">
        <v>1794</v>
      </c>
      <c r="D13" s="2078"/>
      <c r="E13" s="2078">
        <v>56185</v>
      </c>
      <c r="F13" s="2078"/>
      <c r="G13" s="2078"/>
      <c r="H13" s="2078"/>
      <c r="I13" s="1049"/>
      <c r="J13" s="2044"/>
      <c r="K13" s="2055"/>
      <c r="L13" s="2030"/>
      <c r="M13" s="2030"/>
      <c r="N13" s="2031"/>
      <c r="O13" s="2032"/>
      <c r="P13" s="2031"/>
      <c r="Q13" s="2031"/>
      <c r="R13" s="2031"/>
    </row>
    <row r="14" spans="1:19" ht="18" customHeight="1">
      <c r="A14" s="2075"/>
      <c r="B14" s="2076"/>
      <c r="C14" s="2077" t="s">
        <v>1795</v>
      </c>
      <c r="D14" s="1052"/>
      <c r="E14" s="1052">
        <v>40</v>
      </c>
      <c r="F14" s="1052"/>
      <c r="G14" s="1052"/>
      <c r="H14" s="1052"/>
      <c r="I14" s="1052"/>
      <c r="J14" s="2044"/>
      <c r="K14" s="2079"/>
      <c r="L14" s="2030"/>
      <c r="M14" s="2030"/>
      <c r="N14" s="2031"/>
      <c r="O14" s="2032"/>
      <c r="P14" s="2031"/>
      <c r="Q14" s="2031"/>
      <c r="R14" s="2031"/>
    </row>
    <row r="15" spans="1:19" ht="18" customHeight="1">
      <c r="A15" s="2064"/>
      <c r="B15" s="2080"/>
      <c r="C15" s="2077" t="s">
        <v>1796</v>
      </c>
      <c r="D15" s="1051" t="str">
        <f>IF(B12="出让",IF(D13="","",ROUNDDOWN(MIN((D13-$D$3)/365,D14),2)),D14)</f>
        <v/>
      </c>
      <c r="E15" s="1051">
        <f>IF(B12="出让",IF(E13="","",ROUNDDOWN(MIN((E13-$D$3)/365,E14),2)),E14)</f>
        <v>35.01</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1"/>
      <c r="L15" s="2082"/>
      <c r="M15" s="2082"/>
      <c r="N15" s="2083"/>
      <c r="O15" s="2082"/>
      <c r="P15" s="2083"/>
      <c r="Q15" s="2031"/>
      <c r="R15" s="2031"/>
    </row>
    <row r="16" spans="1:19" ht="30.75" customHeight="1">
      <c r="A16" s="2066" t="s">
        <v>1797</v>
      </c>
      <c r="B16" s="3026" t="s">
        <v>3059</v>
      </c>
      <c r="C16" s="3027"/>
      <c r="D16" s="3028"/>
      <c r="E16" s="2084" t="s">
        <v>1798</v>
      </c>
      <c r="F16" s="3029" t="s">
        <v>3060</v>
      </c>
      <c r="G16" s="3030"/>
      <c r="H16" s="3030"/>
      <c r="I16" s="3031"/>
      <c r="J16" s="2031"/>
      <c r="K16" s="2081"/>
      <c r="L16" s="2082"/>
      <c r="M16" s="2082"/>
      <c r="N16" s="2083"/>
      <c r="O16" s="2082"/>
      <c r="P16" s="2083"/>
      <c r="Q16" s="2031"/>
      <c r="R16" s="2031"/>
    </row>
    <row r="17" spans="1:22" ht="18" customHeight="1">
      <c r="A17" s="2085" t="s">
        <v>1799</v>
      </c>
      <c r="B17" s="2037" t="s">
        <v>1800</v>
      </c>
      <c r="C17" s="1056">
        <f>'数据-汇总表'!E3</f>
        <v>31156.999999999996</v>
      </c>
      <c r="D17" s="2086" t="s">
        <v>1801</v>
      </c>
      <c r="E17" s="3032" t="s">
        <v>3051</v>
      </c>
      <c r="F17" s="3033"/>
      <c r="G17" s="3033"/>
      <c r="H17" s="3033"/>
      <c r="I17" s="3034"/>
      <c r="J17" s="2031"/>
      <c r="K17" s="2087"/>
      <c r="L17" s="2082"/>
      <c r="M17" s="2082"/>
      <c r="N17" s="2083"/>
      <c r="O17" s="2082"/>
      <c r="P17" s="2083"/>
      <c r="Q17" s="2031"/>
      <c r="R17" s="2031"/>
      <c r="S17" s="2031"/>
      <c r="T17" s="2031"/>
      <c r="U17" s="2031"/>
      <c r="V17" s="2031"/>
    </row>
    <row r="18" spans="1:22" ht="36" customHeight="1" thickBot="1">
      <c r="A18" s="2088" t="s">
        <v>3050</v>
      </c>
      <c r="B18" s="2040" t="s">
        <v>1802</v>
      </c>
      <c r="C18" s="1446">
        <f>'数据-汇总表'!D3</f>
        <v>64465</v>
      </c>
      <c r="D18" s="2089" t="s">
        <v>1801</v>
      </c>
      <c r="E18" s="3032" t="s">
        <v>3051</v>
      </c>
      <c r="F18" s="3033"/>
      <c r="G18" s="3033"/>
      <c r="H18" s="3033"/>
      <c r="I18" s="3034"/>
      <c r="J18" s="2031"/>
      <c r="K18" s="2087"/>
      <c r="L18" s="2082"/>
      <c r="M18" s="2082"/>
      <c r="N18" s="2083"/>
      <c r="O18" s="2082"/>
      <c r="P18" s="2083"/>
      <c r="Q18" s="2031"/>
      <c r="R18" s="2031"/>
      <c r="S18" s="2031"/>
      <c r="T18" s="2031"/>
      <c r="U18" s="2031"/>
      <c r="V18" s="2031"/>
    </row>
    <row r="19" spans="1:22" ht="37.5" customHeight="1" thickTop="1" thickBot="1">
      <c r="A19" s="372" t="s">
        <v>1803</v>
      </c>
      <c r="B19" s="351" t="s">
        <v>1804</v>
      </c>
      <c r="C19" s="2090" t="s">
        <v>3052</v>
      </c>
      <c r="D19" s="2091" t="s">
        <v>1805</v>
      </c>
      <c r="E19" s="2092" t="s">
        <v>3052</v>
      </c>
      <c r="F19" s="2093" t="str">
        <f>IF(AND(C19="是",E19="否"),"是否提供他项权证或相关说明","")</f>
        <v/>
      </c>
      <c r="G19" s="2094"/>
      <c r="H19" s="2044"/>
      <c r="I19" s="2044"/>
      <c r="J19" s="2044"/>
      <c r="K19" s="2055"/>
      <c r="L19" s="2030"/>
      <c r="M19" s="2030"/>
      <c r="N19" s="2083"/>
      <c r="O19" s="2082"/>
      <c r="P19" s="2083"/>
      <c r="Q19" s="2031"/>
      <c r="R19" s="2031"/>
      <c r="S19" s="2031"/>
      <c r="T19" s="2031"/>
      <c r="U19" s="2031"/>
      <c r="V19" s="2031"/>
    </row>
    <row r="20" spans="1:22" ht="18" customHeight="1">
      <c r="A20" s="2095" t="s">
        <v>1806</v>
      </c>
      <c r="B20" s="3022" t="s">
        <v>1807</v>
      </c>
      <c r="C20" s="3023"/>
      <c r="D20" s="3024" t="s">
        <v>1808</v>
      </c>
      <c r="E20" s="3025"/>
      <c r="F20" s="2096" t="s">
        <v>1809</v>
      </c>
      <c r="G20" s="2044"/>
      <c r="H20" s="2044"/>
      <c r="I20" s="2044"/>
      <c r="J20" s="2044"/>
      <c r="K20" s="3021" t="s">
        <v>1810</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30"/>
      <c r="N20" s="2083"/>
      <c r="O20" s="2082"/>
      <c r="P20" s="2083"/>
      <c r="Q20" s="2031"/>
      <c r="R20" s="2031"/>
      <c r="S20" s="2031"/>
      <c r="T20" s="2031"/>
      <c r="U20" s="2031"/>
      <c r="V20" s="2031"/>
    </row>
    <row r="21" spans="1:22" ht="24.75" customHeight="1">
      <c r="A21" s="2095"/>
      <c r="B21" s="2097" t="s">
        <v>3053</v>
      </c>
      <c r="C21" s="2098" t="s">
        <v>3054</v>
      </c>
      <c r="D21" s="2099"/>
      <c r="E21" s="2100"/>
      <c r="F21" s="2101"/>
      <c r="G21" s="2044"/>
      <c r="H21" s="2044"/>
      <c r="I21" s="2044"/>
      <c r="J21" s="2044"/>
      <c r="K21" s="302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c r="C22" s="2098"/>
      <c r="D22" s="2028"/>
      <c r="E22" s="2028"/>
      <c r="F22" s="2103"/>
      <c r="G22" s="2044"/>
      <c r="H22" s="2044"/>
      <c r="I22" s="2044"/>
      <c r="J22" s="2044"/>
      <c r="K22" s="302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1811</v>
      </c>
      <c r="B23" s="182" t="s">
        <v>1812</v>
      </c>
      <c r="C23" s="2105"/>
      <c r="D23" s="2106" t="s">
        <v>1812</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2" t="s">
        <v>1813</v>
      </c>
      <c r="C24" s="2110"/>
      <c r="D24" s="2104" t="s">
        <v>1813</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2" t="s">
        <v>1814</v>
      </c>
      <c r="C25" s="2110"/>
      <c r="D25" s="2104" t="s">
        <v>1814</v>
      </c>
      <c r="E25" s="2111"/>
      <c r="F25" s="2103"/>
      <c r="G25" s="2044"/>
      <c r="H25" s="2044"/>
      <c r="I25" s="2044"/>
      <c r="J25" s="2044"/>
      <c r="K25" s="2055"/>
      <c r="L25" s="2030"/>
      <c r="M25" s="2030"/>
      <c r="N25" s="2083"/>
      <c r="O25" s="2082"/>
      <c r="P25" s="2083"/>
      <c r="Q25" s="2031"/>
      <c r="R25" s="2031"/>
      <c r="S25" s="2031"/>
      <c r="T25" s="2031"/>
      <c r="U25" s="2031"/>
      <c r="V25" s="2031"/>
    </row>
    <row r="26" spans="1:22" ht="18" customHeight="1" thickBot="1">
      <c r="A26" s="2112"/>
      <c r="B26" s="2113" t="s">
        <v>1815</v>
      </c>
      <c r="C26" s="2114"/>
      <c r="D26" s="2115" t="s">
        <v>1816</v>
      </c>
      <c r="E26" s="2116"/>
      <c r="F26" s="2117"/>
      <c r="G26" s="2063"/>
      <c r="H26" s="2063"/>
      <c r="I26" s="2063"/>
      <c r="J26" s="2044"/>
      <c r="K26" s="2055"/>
      <c r="L26" s="2030"/>
      <c r="M26" s="2030"/>
      <c r="N26" s="2083"/>
      <c r="O26" s="2082"/>
      <c r="P26" s="2083"/>
      <c r="Q26" s="2031"/>
      <c r="R26" s="2031"/>
      <c r="S26" s="2031"/>
      <c r="T26" s="2031"/>
      <c r="U26" s="2031"/>
      <c r="V26" s="2031"/>
    </row>
    <row r="27" spans="1:22" ht="18" customHeight="1" thickTop="1">
      <c r="A27" s="3036" t="s">
        <v>1817</v>
      </c>
      <c r="B27" s="2064" t="s">
        <v>1818</v>
      </c>
      <c r="C27" s="2118"/>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36"/>
      <c r="B28" s="2037" t="s">
        <v>1819</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36"/>
      <c r="B29" s="2037" t="s">
        <v>1820</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37"/>
      <c r="B30" s="2037" t="s">
        <v>1821</v>
      </c>
      <c r="C30" s="3038"/>
      <c r="D30" s="3039"/>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40" t="s">
        <v>1822</v>
      </c>
      <c r="B31" s="2125"/>
      <c r="C31" s="2126" t="str">
        <f>IF(B31="现房","成新及维护状况正常否",IF(B31="在建","工程状态是否正常",IF(B31="土地","是否闲置","-")))</f>
        <v>-</v>
      </c>
      <c r="D31" s="2127"/>
      <c r="E31" s="2128"/>
      <c r="F31" s="2044"/>
      <c r="G31" s="2044"/>
      <c r="H31" s="2044"/>
      <c r="I31" s="2044"/>
      <c r="J31" s="2044"/>
      <c r="K31" s="2053"/>
      <c r="L31" s="2030"/>
      <c r="M31" s="2030"/>
      <c r="N31" s="2031"/>
      <c r="O31" s="2032"/>
      <c r="P31" s="2031"/>
      <c r="Q31" s="2031"/>
      <c r="R31" s="2031"/>
      <c r="S31" s="2031"/>
      <c r="T31" s="2031"/>
      <c r="U31" s="2031"/>
      <c r="V31" s="2031"/>
    </row>
    <row r="32" spans="1:22" ht="18" customHeight="1">
      <c r="A32" s="3041"/>
      <c r="B32" s="2125"/>
      <c r="C32" s="2126" t="str">
        <f>IF(B32="现房","成新及维护状况是否正常",IF(B32="在建","工程状态是否正常",IF(B32="土地","是否闲置","-")))</f>
        <v>-</v>
      </c>
      <c r="D32" s="2127"/>
      <c r="E32" s="2128"/>
      <c r="F32" s="2044"/>
      <c r="G32" s="2044"/>
      <c r="H32" s="2044"/>
      <c r="I32" s="2044"/>
      <c r="J32" s="2044"/>
      <c r="K32" s="2055"/>
      <c r="L32" s="2030"/>
      <c r="M32" s="2030"/>
      <c r="N32" s="2031"/>
      <c r="O32" s="2032"/>
      <c r="P32" s="2031"/>
      <c r="Q32" s="2031"/>
      <c r="R32" s="2031"/>
      <c r="S32" s="2031"/>
      <c r="T32" s="2031"/>
      <c r="U32" s="2031"/>
      <c r="V32" s="2031"/>
    </row>
    <row r="33" spans="1:22" ht="18" customHeight="1">
      <c r="A33" s="3041"/>
      <c r="B33" s="2129"/>
      <c r="C33" s="2069" t="str">
        <f>IF(B33="现房","成新及维护状况是否正常",IF(B33="在建","工程状态是否正常",IF(B33="土地","是否闲置","-")))</f>
        <v>-</v>
      </c>
      <c r="D33" s="2130"/>
      <c r="E33" s="2131"/>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1823</v>
      </c>
      <c r="B34" s="2132"/>
      <c r="C34" s="2132"/>
      <c r="D34" s="2132"/>
      <c r="E34" s="2132"/>
      <c r="F34" s="2132"/>
      <c r="G34" s="2132"/>
      <c r="H34" s="2132"/>
      <c r="I34" s="2044"/>
      <c r="J34" s="2044"/>
      <c r="K34" s="1797">
        <f>COUNTIF(B34:H34,"——")</f>
        <v>0</v>
      </c>
      <c r="L34" s="2073" t="s">
        <v>1824</v>
      </c>
      <c r="M34" s="2073" t="s">
        <v>1825</v>
      </c>
      <c r="N34" s="2073" t="s">
        <v>1826</v>
      </c>
      <c r="O34" s="2073" t="s">
        <v>1827</v>
      </c>
      <c r="P34" s="2073" t="s">
        <v>1828</v>
      </c>
      <c r="Q34" s="2073" t="s">
        <v>1829</v>
      </c>
      <c r="R34" s="2073" t="s">
        <v>1830</v>
      </c>
      <c r="S34" s="3035" t="s">
        <v>1831</v>
      </c>
      <c r="T34" s="2133" t="str">
        <f>NUMBERSTRING(7-K34,1)&amp;"通"</f>
        <v>七通</v>
      </c>
      <c r="U34" s="2031"/>
      <c r="V34" s="2031"/>
    </row>
    <row r="35" spans="1:22" ht="18" customHeight="1">
      <c r="A35" s="2134"/>
      <c r="B35" s="3042" t="s">
        <v>1832</v>
      </c>
      <c r="C35" s="3042"/>
      <c r="D35" s="3042"/>
      <c r="E35" s="3042"/>
      <c r="F35" s="2135" t="str">
        <f>C10</f>
        <v>上海市浦东新区惠南镇</v>
      </c>
      <c r="G35" s="2044"/>
      <c r="H35" s="2044"/>
      <c r="I35" s="2044"/>
      <c r="J35" s="2044"/>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5"/>
      <c r="T35" s="48" t="str">
        <f>IF(T34="一通",L35,IF(T34="二通",M35,IF(T34="三通",N35,IF(T34="四通",O35,IF(T34="五通",P35,IF(T34="六通",Q35,R35))))))</f>
        <v>、、、、、、</v>
      </c>
      <c r="U35" s="2031"/>
      <c r="V35" s="2031"/>
    </row>
    <row r="36" spans="1:22" ht="18" customHeight="1">
      <c r="A36" s="2136"/>
      <c r="B36" s="2135" t="s">
        <v>1833</v>
      </c>
      <c r="C36" s="2135" t="s">
        <v>1834</v>
      </c>
      <c r="D36" s="2135" t="s">
        <v>1835</v>
      </c>
      <c r="E36" s="2135" t="s">
        <v>1836</v>
      </c>
      <c r="F36" s="2137"/>
      <c r="G36" s="2044"/>
      <c r="H36" s="2044"/>
      <c r="I36" s="2044"/>
      <c r="J36" s="2044"/>
      <c r="K36" s="2055"/>
      <c r="L36" s="2030"/>
      <c r="M36" s="2030"/>
      <c r="N36" s="2031"/>
      <c r="O36" s="2032"/>
      <c r="P36" s="2031"/>
      <c r="Q36" s="2031"/>
      <c r="R36" s="2031"/>
      <c r="S36" s="2031"/>
      <c r="T36" s="2031"/>
      <c r="U36" s="2031"/>
      <c r="V36" s="2031"/>
    </row>
    <row r="37" spans="1:22" ht="18" customHeight="1">
      <c r="A37" s="2138" t="s">
        <v>1837</v>
      </c>
      <c r="B37" s="2139"/>
      <c r="C37" s="2139"/>
      <c r="D37" s="2139"/>
      <c r="E37" s="2139"/>
      <c r="F37" s="2137"/>
      <c r="G37" s="2044"/>
      <c r="H37" s="2044"/>
      <c r="I37" s="2044"/>
      <c r="J37" s="2044"/>
      <c r="K37" s="2055"/>
      <c r="L37" s="2030"/>
      <c r="M37" s="2030"/>
      <c r="N37" s="2031"/>
      <c r="O37" s="2032"/>
      <c r="P37" s="2031"/>
      <c r="Q37" s="2031"/>
      <c r="R37" s="2031"/>
      <c r="S37" s="2031"/>
      <c r="T37" s="2031"/>
      <c r="U37" s="2031"/>
      <c r="V37" s="2031"/>
    </row>
    <row r="38" spans="1:22" ht="18" customHeight="1" thickBot="1">
      <c r="A38" s="2140" t="s">
        <v>1838</v>
      </c>
      <c r="B38" s="2141"/>
      <c r="C38" s="2141"/>
      <c r="D38" s="2141"/>
      <c r="E38" s="2141"/>
      <c r="F38" s="2142"/>
      <c r="G38" s="2063"/>
      <c r="H38" s="2063"/>
      <c r="I38" s="2063"/>
      <c r="J38" s="2044"/>
      <c r="K38" s="2055"/>
      <c r="L38" s="2030"/>
      <c r="M38" s="2030"/>
      <c r="N38" s="2031"/>
      <c r="O38" s="2032"/>
      <c r="P38" s="2031"/>
      <c r="Q38" s="2031"/>
      <c r="R38" s="2031"/>
      <c r="S38" s="2031"/>
      <c r="T38" s="2031"/>
      <c r="U38" s="2031"/>
      <c r="V38" s="2031"/>
    </row>
    <row r="39" spans="1:22" s="2147" customFormat="1" ht="18" customHeight="1" thickTop="1" thickBot="1">
      <c r="A39" s="2143" t="s">
        <v>1839</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1840</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1841</v>
      </c>
      <c r="B42" s="1797" t="s">
        <v>1842</v>
      </c>
      <c r="C42" s="1797" t="s">
        <v>1843</v>
      </c>
      <c r="D42" s="1797" t="s">
        <v>1844</v>
      </c>
      <c r="E42" s="1797" t="s">
        <v>1845</v>
      </c>
      <c r="F42" s="1797" t="s">
        <v>1846</v>
      </c>
      <c r="G42" s="1797" t="s">
        <v>1847</v>
      </c>
      <c r="H42" s="1797" t="s">
        <v>1848</v>
      </c>
      <c r="I42" s="1797" t="s">
        <v>1849</v>
      </c>
      <c r="J42" s="2151" t="s">
        <v>1850</v>
      </c>
      <c r="K42" s="2074" t="s">
        <v>1851</v>
      </c>
      <c r="L42" s="2074" t="s">
        <v>1852</v>
      </c>
      <c r="M42" s="2074" t="s">
        <v>1853</v>
      </c>
      <c r="N42" s="1797" t="s">
        <v>1854</v>
      </c>
      <c r="O42" s="1797" t="s">
        <v>1855</v>
      </c>
      <c r="P42" s="1797" t="s">
        <v>1856</v>
      </c>
      <c r="Q42" s="2073" t="s">
        <v>1857</v>
      </c>
      <c r="R42" s="2073" t="s">
        <v>1858</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1859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1861</v>
      </c>
      <c r="B2" s="11" t="s">
        <v>1862</v>
      </c>
      <c r="C2" s="11" t="s">
        <v>1863</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1864</v>
      </c>
      <c r="AZ2" s="1272" t="s">
        <v>1865</v>
      </c>
      <c r="BA2" s="11" t="s">
        <v>1866</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19251+18233+26981</f>
        <v>64465</v>
      </c>
      <c r="B3" s="14">
        <f>IF(C3="否",G5-AT5,G5)</f>
        <v>31156.999999999996</v>
      </c>
      <c r="C3" s="2167" t="s">
        <v>1867</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1868</v>
      </c>
      <c r="B5" s="1805"/>
      <c r="C5" s="1805"/>
      <c r="D5" s="1808"/>
      <c r="E5" s="16" t="s">
        <v>1</v>
      </c>
      <c r="F5" s="16">
        <f>SUM(F13:F587)</f>
        <v>0</v>
      </c>
      <c r="G5" s="16">
        <f>SUM(G13:G587)</f>
        <v>31156.999999999996</v>
      </c>
      <c r="H5" s="16">
        <f t="shared" ref="H5:AT5" si="0">SUM(H13:H656)</f>
        <v>31156.999999999996</v>
      </c>
      <c r="I5" s="16">
        <f t="shared" si="0"/>
        <v>5947.1100000000006</v>
      </c>
      <c r="J5" s="16">
        <f t="shared" si="0"/>
        <v>0</v>
      </c>
      <c r="K5" s="16">
        <f t="shared" si="0"/>
        <v>25209.889999999996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1868</v>
      </c>
      <c r="AW5" s="1805"/>
      <c r="AX5" s="1805"/>
      <c r="AY5" s="17" t="s">
        <v>3</v>
      </c>
      <c r="AZ5" s="18">
        <f t="shared" ref="AZ5:BT5" si="1">SUM(AZ13:AZ656)</f>
        <v>31156.999999999996</v>
      </c>
      <c r="BA5" s="18">
        <f t="shared" si="1"/>
        <v>31156.999999999996</v>
      </c>
      <c r="BB5" s="18">
        <f t="shared" si="1"/>
        <v>5947.1100000000006</v>
      </c>
      <c r="BC5" s="18">
        <f t="shared" si="1"/>
        <v>25209.889999999996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1869</v>
      </c>
      <c r="B6" s="2173"/>
      <c r="C6" s="2173"/>
      <c r="D6" s="2174"/>
      <c r="E6" s="16">
        <f>H6+AC6+AT6</f>
        <v>64465</v>
      </c>
      <c r="F6" s="16" t="s">
        <v>1</v>
      </c>
      <c r="G6" s="16" t="s">
        <v>2</v>
      </c>
      <c r="H6" s="20">
        <f>SUMIF(I$12:AB$12,"总值",I6:AB6)</f>
        <v>64465</v>
      </c>
      <c r="I6" s="16">
        <f t="shared" ref="I6:AB6" si="2">ROUND($A$3*I5/$B$3,2)</f>
        <v>12304.79</v>
      </c>
      <c r="J6" s="16">
        <f t="shared" si="2"/>
        <v>0</v>
      </c>
      <c r="K6" s="16">
        <f t="shared" si="2"/>
        <v>52160.21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1869</v>
      </c>
      <c r="AW6" s="2173"/>
      <c r="AX6" s="2173"/>
      <c r="AY6" s="21">
        <f>IF(AY3&gt;0,AY3,ROUND($A$3*AZ5/$B$3,2))</f>
        <v>64465</v>
      </c>
      <c r="AZ6" s="16" t="s">
        <v>3</v>
      </c>
      <c r="BA6" s="16">
        <f>ROUND($AY$6*BA5/$AZ$5,2)</f>
        <v>64465</v>
      </c>
      <c r="BB6" s="16">
        <f>ROUND($AY$6*BB5/$AZ$5,2)</f>
        <v>12304.79</v>
      </c>
      <c r="BC6" s="16">
        <f t="shared" ref="BC6:BH6" si="4">ROUND($AY$6*BC5/$AZ$5,2)</f>
        <v>52160.21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1870</v>
      </c>
      <c r="B7" s="2108" t="s">
        <v>1871</v>
      </c>
      <c r="C7" s="2108" t="s">
        <v>1872</v>
      </c>
      <c r="D7" s="2108" t="s">
        <v>1873</v>
      </c>
      <c r="E7" s="2108" t="s">
        <v>1874</v>
      </c>
      <c r="F7" s="2108" t="s">
        <v>1875</v>
      </c>
      <c r="G7" s="2177" t="s">
        <v>1876</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1877</v>
      </c>
      <c r="AV7" s="23" t="s">
        <v>1878</v>
      </c>
      <c r="AW7" s="2165" t="s">
        <v>1879</v>
      </c>
      <c r="AX7" s="23" t="s">
        <v>1872</v>
      </c>
      <c r="AY7" s="1805" t="s">
        <v>1880</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1881</v>
      </c>
      <c r="H8" s="2183" t="s">
        <v>1882</v>
      </c>
      <c r="I8" s="2184"/>
      <c r="J8" s="1820"/>
      <c r="K8" s="1820"/>
      <c r="L8" s="1820"/>
      <c r="M8" s="1820"/>
      <c r="N8" s="1820"/>
      <c r="O8" s="1820"/>
      <c r="P8" s="1820"/>
      <c r="Q8" s="1820"/>
      <c r="R8" s="1820"/>
      <c r="S8" s="1820"/>
      <c r="T8" s="1820"/>
      <c r="U8" s="1820"/>
      <c r="V8" s="2185"/>
      <c r="W8" s="1820"/>
      <c r="X8" s="1820"/>
      <c r="Y8" s="1820"/>
      <c r="Z8" s="1820"/>
      <c r="AA8" s="2185"/>
      <c r="AB8" s="2186"/>
      <c r="AC8" s="983" t="s">
        <v>1883</v>
      </c>
      <c r="AD8" s="2187"/>
      <c r="AE8" s="2179"/>
      <c r="AF8" s="1820"/>
      <c r="AG8" s="1820"/>
      <c r="AH8" s="1820"/>
      <c r="AI8" s="1820"/>
      <c r="AJ8" s="1820"/>
      <c r="AK8" s="1820"/>
      <c r="AL8" s="1820"/>
      <c r="AM8" s="1820"/>
      <c r="AN8" s="1820"/>
      <c r="AO8" s="1820"/>
      <c r="AP8" s="1820"/>
      <c r="AQ8" s="1820"/>
      <c r="AR8" s="1820"/>
      <c r="AS8" s="1820"/>
      <c r="AT8" s="1294" t="s">
        <v>1884</v>
      </c>
      <c r="AU8" s="2181" t="s">
        <v>1885</v>
      </c>
      <c r="AV8" s="1294"/>
      <c r="AW8" s="2164"/>
      <c r="AX8" s="1294"/>
      <c r="AY8" s="2165" t="s">
        <v>1886</v>
      </c>
      <c r="AZ8" s="1819" t="s">
        <v>1887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1888</v>
      </c>
      <c r="I9" s="2190" t="s">
        <v>3089</v>
      </c>
      <c r="J9" s="983"/>
      <c r="K9" s="2190" t="s">
        <v>3089</v>
      </c>
      <c r="L9" s="983"/>
      <c r="M9" s="2190"/>
      <c r="N9" s="983"/>
      <c r="O9" s="2190"/>
      <c r="P9" s="983"/>
      <c r="Q9" s="2190"/>
      <c r="R9" s="983"/>
      <c r="S9" s="2190"/>
      <c r="T9" s="983"/>
      <c r="U9" s="2190"/>
      <c r="V9" s="983"/>
      <c r="W9" s="2190"/>
      <c r="X9" s="2191"/>
      <c r="Y9" s="2190"/>
      <c r="Z9" s="983"/>
      <c r="AA9" s="2190"/>
      <c r="AB9" s="983"/>
      <c r="AC9" s="2182" t="s">
        <v>1888</v>
      </c>
      <c r="AD9" s="15" t="s">
        <v>1889</v>
      </c>
      <c r="AE9" s="1300"/>
      <c r="AF9" s="15" t="s">
        <v>1890</v>
      </c>
      <c r="AG9" s="1300"/>
      <c r="AH9" s="15" t="s">
        <v>1889</v>
      </c>
      <c r="AI9" s="1300"/>
      <c r="AJ9" s="15" t="s">
        <v>1890</v>
      </c>
      <c r="AK9" s="1300"/>
      <c r="AL9" s="15" t="s">
        <v>1889</v>
      </c>
      <c r="AM9" s="1300"/>
      <c r="AN9" s="15" t="s">
        <v>1890</v>
      </c>
      <c r="AO9" s="1300"/>
      <c r="AP9" s="15" t="s">
        <v>1889</v>
      </c>
      <c r="AQ9" s="1300"/>
      <c r="AR9" s="15" t="s">
        <v>1890</v>
      </c>
      <c r="AS9" s="2192"/>
      <c r="AT9" s="2181"/>
      <c r="AU9" s="2181" t="s">
        <v>1891</v>
      </c>
      <c r="AV9" s="1294"/>
      <c r="AW9" s="2164"/>
      <c r="AX9" s="1294"/>
      <c r="AY9" s="28"/>
      <c r="AZ9" s="28" t="s">
        <v>1881</v>
      </c>
      <c r="BA9" s="2193" t="s">
        <v>1892</v>
      </c>
      <c r="BB9" s="2194"/>
      <c r="BC9" s="1340"/>
      <c r="BD9" s="1340"/>
      <c r="BE9" s="1340"/>
      <c r="BF9" s="1340"/>
      <c r="BG9" s="1340"/>
      <c r="BH9" s="1340"/>
      <c r="BI9" s="1340"/>
      <c r="BJ9" s="1340"/>
      <c r="BK9" s="2195"/>
      <c r="BL9" s="15" t="s">
        <v>1893</v>
      </c>
      <c r="BM9" s="1820"/>
      <c r="BN9" s="2184"/>
      <c r="BO9" s="1820"/>
      <c r="BP9" s="1820"/>
      <c r="BQ9" s="1820"/>
      <c r="BR9" s="1820"/>
      <c r="BS9" s="1820"/>
      <c r="BT9" s="26"/>
    </row>
    <row r="10" spans="1:72" s="2188" customFormat="1" ht="12.75">
      <c r="A10" s="2181"/>
      <c r="B10" s="2181"/>
      <c r="C10" s="2181"/>
      <c r="D10" s="2181"/>
      <c r="E10" s="2181"/>
      <c r="F10" s="2181"/>
      <c r="G10" s="1294"/>
      <c r="H10" s="28"/>
      <c r="I10" s="2190" t="s">
        <v>1373</v>
      </c>
      <c r="J10" s="983"/>
      <c r="K10" s="2196" t="s">
        <v>1373</v>
      </c>
      <c r="L10" s="983"/>
      <c r="M10" s="2196"/>
      <c r="N10" s="983"/>
      <c r="O10" s="2196"/>
      <c r="P10" s="983"/>
      <c r="Q10" s="2196"/>
      <c r="R10" s="983"/>
      <c r="S10" s="2196"/>
      <c r="T10" s="983"/>
      <c r="U10" s="2196"/>
      <c r="V10" s="983"/>
      <c r="W10" s="2196"/>
      <c r="X10" s="983"/>
      <c r="Y10" s="2196"/>
      <c r="Z10" s="983"/>
      <c r="AA10" s="2196"/>
      <c r="AB10" s="983"/>
      <c r="AC10" s="1294"/>
      <c r="AD10" s="15" t="s">
        <v>1894</v>
      </c>
      <c r="AE10" s="2197"/>
      <c r="AF10" s="15" t="s">
        <v>1894</v>
      </c>
      <c r="AG10" s="2197"/>
      <c r="AH10" s="15" t="s">
        <v>1895</v>
      </c>
      <c r="AI10" s="2197"/>
      <c r="AJ10" s="15" t="s">
        <v>1895</v>
      </c>
      <c r="AK10" s="2197"/>
      <c r="AL10" s="15" t="s">
        <v>1896</v>
      </c>
      <c r="AM10" s="1300"/>
      <c r="AN10" s="15" t="s">
        <v>1896</v>
      </c>
      <c r="AO10" s="1300"/>
      <c r="AP10" s="15" t="s">
        <v>1897</v>
      </c>
      <c r="AQ10" s="1300"/>
      <c r="AR10" s="15" t="s">
        <v>1897</v>
      </c>
      <c r="AS10" s="1300"/>
      <c r="AT10" s="2181"/>
      <c r="AU10" s="2181"/>
      <c r="AV10" s="1294"/>
      <c r="AW10" s="2164"/>
      <c r="AX10" s="1294"/>
      <c r="AY10" s="28"/>
      <c r="AZ10" s="28"/>
      <c r="BA10" s="2198" t="s">
        <v>1888</v>
      </c>
      <c r="BB10" s="2199" t="str">
        <f>I9</f>
        <v>地上</v>
      </c>
      <c r="BC10" s="29" t="str">
        <f>K9</f>
        <v>地上</v>
      </c>
      <c r="BD10" s="29">
        <f>M9</f>
        <v>0</v>
      </c>
      <c r="BE10" s="29">
        <f>O9</f>
        <v>0</v>
      </c>
      <c r="BF10" s="29">
        <f>Q9</f>
        <v>0</v>
      </c>
      <c r="BG10" s="29">
        <f>S9</f>
        <v>0</v>
      </c>
      <c r="BH10" s="29">
        <f>U9</f>
        <v>0</v>
      </c>
      <c r="BI10" s="29">
        <f>W9</f>
        <v>0</v>
      </c>
      <c r="BJ10" s="29">
        <f>Y9</f>
        <v>0</v>
      </c>
      <c r="BK10" s="29">
        <f>AA9</f>
        <v>0</v>
      </c>
      <c r="BL10" s="25" t="s">
        <v>1888</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1898</v>
      </c>
      <c r="AE11" s="1821"/>
      <c r="AF11" s="2203" t="s">
        <v>1898</v>
      </c>
      <c r="AG11" s="1821"/>
      <c r="AH11" s="2203" t="s">
        <v>1899</v>
      </c>
      <c r="AI11" s="2204"/>
      <c r="AJ11" s="2203" t="s">
        <v>1899</v>
      </c>
      <c r="AK11" s="1821"/>
      <c r="AL11" s="1819"/>
      <c r="AM11" s="1821"/>
      <c r="AN11" s="1819"/>
      <c r="AO11" s="1821"/>
      <c r="AP11" s="1819"/>
      <c r="AQ11" s="1821"/>
      <c r="AR11" s="1819"/>
      <c r="AS11" s="1821"/>
      <c r="AT11" s="2164"/>
      <c r="AU11" s="2181"/>
      <c r="AV11" s="1294"/>
      <c r="AW11" s="2164"/>
      <c r="AX11" s="1294"/>
      <c r="AY11" s="28"/>
      <c r="AZ11" s="28"/>
      <c r="BA11" s="28"/>
      <c r="BB11" s="2186" t="str">
        <f>I10</f>
        <v>商业</v>
      </c>
      <c r="BC11" s="2186" t="str">
        <f>K10</f>
        <v>商业</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4" t="s">
        <v>1901</v>
      </c>
      <c r="W12" s="11" t="s">
        <v>1900</v>
      </c>
      <c r="X12" s="11" t="s">
        <v>1901</v>
      </c>
      <c r="Y12" s="11" t="s">
        <v>1900</v>
      </c>
      <c r="Z12" s="11" t="s">
        <v>1901</v>
      </c>
      <c r="AA12" s="11" t="s">
        <v>1900</v>
      </c>
      <c r="AB12" s="11" t="s">
        <v>1901</v>
      </c>
      <c r="AC12" s="2208"/>
      <c r="AD12" s="1808"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6" t="s">
        <v>1901</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1274"/>
      <c r="B13" s="1274"/>
      <c r="C13" s="1274"/>
      <c r="D13" s="2212" t="s">
        <v>3090</v>
      </c>
      <c r="E13" s="16">
        <f>IF($C$3="是",ROUND($A$3*G13/$B$3,2),ROUND($A$3*(G13-AT13)/$B$3,2))</f>
        <v>64465</v>
      </c>
      <c r="F13" s="32"/>
      <c r="G13" s="33">
        <f>H13+AC13+AT13</f>
        <v>31156.999999999996</v>
      </c>
      <c r="H13" s="20">
        <f>SUMIF(I$12:AB$12,"总值",I13:AB13)</f>
        <v>31156.999999999996</v>
      </c>
      <c r="I13" s="2213">
        <f>Sheet1!E3+Sheet1!E4+Sheet1!E5+Sheet1!E7+Sheet1!E10+Sheet1!E11+Sheet1!E12+Sheet1!E14+Sheet1!E17+Sheet1!E18+Sheet1!E19+Sheet1!E21</f>
        <v>5947.1100000000006</v>
      </c>
      <c r="J13" s="2213"/>
      <c r="K13" s="2213">
        <f>Sheet1!E6+Sheet1!E8+Sheet1!E13+Sheet1!E15+Sheet1!E20+Sheet1!E22</f>
        <v>25209.889999999996</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8">
        <f>ROUND($AY$6*AZ13/$AZ$5,2)</f>
        <v>64465</v>
      </c>
      <c r="AZ13" s="16">
        <f>BA13+BL13</f>
        <v>31156.999999999996</v>
      </c>
      <c r="BA13" s="16">
        <f>SUM(BB13:BK13)</f>
        <v>31156.999999999996</v>
      </c>
      <c r="BB13" s="16">
        <f>IF($D13="是",I13-J13,0)</f>
        <v>5947.1100000000006</v>
      </c>
      <c r="BC13" s="16">
        <f>IF($D13="是",K13-L13,0)</f>
        <v>25209.889999999996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4"/>
      <c r="B14" s="1274"/>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4"/>
      <c r="B15" s="1274"/>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4"/>
      <c r="B16" s="1274"/>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c r="B17" s="1274"/>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F22" sqref="F2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1927</v>
      </c>
      <c r="B1" s="1394"/>
      <c r="C1" s="1394"/>
      <c r="D1" s="1394"/>
      <c r="E1" s="1394"/>
      <c r="F1" s="1394"/>
      <c r="G1" s="1394"/>
      <c r="H1" s="1394"/>
      <c r="I1" s="1394"/>
      <c r="J1" s="1394"/>
      <c r="K1" s="1394"/>
      <c r="L1" s="1394"/>
      <c r="M1" s="1394"/>
      <c r="N1" s="1394"/>
      <c r="O1" s="1394"/>
      <c r="P1" s="1394"/>
    </row>
    <row r="2" spans="1:16" ht="15">
      <c r="A2" s="3054" t="s">
        <v>1928</v>
      </c>
      <c r="B2" s="3054"/>
      <c r="C2" s="3054"/>
      <c r="D2" s="969" t="s">
        <v>1904</v>
      </c>
      <c r="E2" s="2226" t="s">
        <v>1905</v>
      </c>
      <c r="F2" s="1394"/>
      <c r="G2" s="2227"/>
      <c r="H2" s="2228"/>
      <c r="I2" s="2229" t="s">
        <v>1929</v>
      </c>
      <c r="J2" s="1394"/>
      <c r="K2" s="1394"/>
      <c r="L2" s="1394"/>
      <c r="M2" s="1394"/>
      <c r="N2" s="1429"/>
      <c r="O2" s="1394"/>
      <c r="P2" s="1394"/>
    </row>
    <row r="3" spans="1:16" ht="15.75" thickBot="1">
      <c r="A3" s="3055" t="s">
        <v>1902</v>
      </c>
      <c r="B3" s="3055"/>
      <c r="C3" s="3055"/>
      <c r="D3" s="46">
        <f>'数据-基础表'!AY6</f>
        <v>64465</v>
      </c>
      <c r="E3" s="46">
        <f>'数据-基础表'!AZ5</f>
        <v>31156.999999999996</v>
      </c>
      <c r="F3" s="1394"/>
      <c r="G3" s="1401"/>
      <c r="H3" s="1249" t="s">
        <v>1903</v>
      </c>
      <c r="I3" s="55">
        <f>ROUND('数据-基础表'!B3/'数据-基础表'!A3,2)</f>
        <v>0.48</v>
      </c>
      <c r="J3" s="1394"/>
      <c r="K3" s="1394"/>
      <c r="L3" s="1394"/>
      <c r="M3" s="1394"/>
      <c r="N3" s="1429"/>
      <c r="O3" s="1394"/>
      <c r="P3" s="1394"/>
    </row>
    <row r="4" spans="1:16" ht="15">
      <c r="A4" s="3056"/>
      <c r="B4" s="3057"/>
      <c r="C4" s="3058"/>
      <c r="D4" s="2230" t="s">
        <v>1904</v>
      </c>
      <c r="E4" s="2231" t="s">
        <v>1905</v>
      </c>
      <c r="F4" s="1394"/>
      <c r="G4" s="2232" t="s">
        <v>1930</v>
      </c>
      <c r="H4" s="1249" t="s">
        <v>1910</v>
      </c>
      <c r="I4" s="55">
        <f>ROUND(SUMIF('数据-基础表'!I9:AS9,"地上",'数据-基础表'!I5:AS5)/'数据-基础表'!A3,2)</f>
        <v>0.48</v>
      </c>
      <c r="J4" s="1394"/>
      <c r="K4" s="1394"/>
      <c r="L4" s="1394"/>
      <c r="M4" s="1394"/>
      <c r="N4" s="1429"/>
      <c r="O4" s="1394"/>
      <c r="P4" s="1394"/>
    </row>
    <row r="5" spans="1:16">
      <c r="A5" s="47" t="s">
        <v>1906</v>
      </c>
      <c r="B5" s="3059" t="s">
        <v>1907</v>
      </c>
      <c r="C5" s="3059"/>
      <c r="D5" s="48">
        <f>ROUND($D$3*E5/$E$3,2)</f>
        <v>0</v>
      </c>
      <c r="E5" s="49">
        <f>SUMIF('数据-基础表'!$11:$11,"住宅",'数据-基础表'!$5:$5)</f>
        <v>0</v>
      </c>
      <c r="F5" s="1394"/>
      <c r="G5" s="1401"/>
      <c r="H5" s="1249" t="s">
        <v>1903</v>
      </c>
      <c r="I5" s="55">
        <f>ROUND(E31/D31,2)</f>
        <v>0.48</v>
      </c>
      <c r="J5" s="1394"/>
      <c r="K5" s="1394"/>
      <c r="L5" s="1394"/>
      <c r="M5" s="1394"/>
      <c r="N5" s="1394"/>
      <c r="O5" s="1394"/>
      <c r="P5" s="1394"/>
    </row>
    <row r="6" spans="1:16" ht="15" thickBot="1">
      <c r="A6" s="2233"/>
      <c r="B6" s="3059" t="s">
        <v>1908</v>
      </c>
      <c r="C6" s="3059"/>
      <c r="D6" s="48">
        <f>ROUND($D$3*E6/$E$3,2)</f>
        <v>64465</v>
      </c>
      <c r="E6" s="49">
        <f>E3-E5</f>
        <v>31156.999999999996</v>
      </c>
      <c r="F6" s="1394"/>
      <c r="G6" s="2234" t="s">
        <v>1909</v>
      </c>
      <c r="H6" s="1401" t="s">
        <v>1910</v>
      </c>
      <c r="I6" s="941">
        <f>ROUND(F31/D31,2)</f>
        <v>0.48</v>
      </c>
      <c r="J6" s="1394"/>
      <c r="K6" s="1394"/>
      <c r="L6" s="1394"/>
      <c r="M6" s="1394"/>
      <c r="N6" s="1394"/>
      <c r="O6" s="1394"/>
      <c r="P6" s="1394"/>
    </row>
    <row r="7" spans="1:16" ht="15">
      <c r="A7" s="3051"/>
      <c r="B7" s="3052"/>
      <c r="C7" s="3053"/>
      <c r="D7" s="2230" t="s">
        <v>1904</v>
      </c>
      <c r="E7" s="2235" t="s">
        <v>1911</v>
      </c>
      <c r="F7" s="1394"/>
      <c r="G7" s="2227" t="s">
        <v>1912</v>
      </c>
      <c r="H7" s="63"/>
      <c r="I7" s="419"/>
      <c r="J7" s="1394"/>
      <c r="K7" s="1394"/>
      <c r="L7" s="1394"/>
      <c r="M7" s="1394"/>
      <c r="N7" s="1394"/>
      <c r="O7" s="1394"/>
      <c r="P7" s="1394"/>
    </row>
    <row r="8" spans="1:16">
      <c r="A8" s="47" t="s">
        <v>1913</v>
      </c>
      <c r="B8" s="50" t="s">
        <v>1914</v>
      </c>
      <c r="C8" s="48" t="s">
        <v>1915</v>
      </c>
      <c r="D8" s="48">
        <f t="shared" ref="D8:D15" si="0">ROUND($D$3*E8/$E$3,2)</f>
        <v>64465</v>
      </c>
      <c r="E8" s="51">
        <f>SUMIF('数据-基础表'!BB10:BK10,"地上",'数据-基础表'!BB5:BK5)</f>
        <v>31156.999999999996</v>
      </c>
      <c r="F8" s="1394"/>
      <c r="G8" s="2236"/>
      <c r="H8" s="2236"/>
      <c r="I8" s="1394"/>
      <c r="J8" s="1394"/>
      <c r="K8" s="1394"/>
      <c r="L8" s="1394"/>
      <c r="M8" s="1394"/>
      <c r="N8" s="1394"/>
      <c r="O8" s="1394"/>
      <c r="P8" s="1394"/>
    </row>
    <row r="9" spans="1:16">
      <c r="A9" s="2237"/>
      <c r="B9" s="2238"/>
      <c r="C9" s="48" t="s">
        <v>1916</v>
      </c>
      <c r="D9" s="48">
        <f t="shared" si="0"/>
        <v>0</v>
      </c>
      <c r="E9" s="52">
        <v>0</v>
      </c>
      <c r="F9" s="1394"/>
      <c r="G9" s="2236"/>
      <c r="H9" s="2236"/>
      <c r="I9" s="1394"/>
      <c r="J9" s="1394"/>
      <c r="K9" s="1394"/>
      <c r="L9" s="1394"/>
      <c r="M9" s="1394"/>
      <c r="N9" s="1394"/>
      <c r="O9" s="1394"/>
      <c r="P9" s="1394"/>
    </row>
    <row r="10" spans="1:16">
      <c r="A10" s="2237"/>
      <c r="B10" s="2238"/>
      <c r="C10" s="48" t="s">
        <v>1925</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1917</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1918</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1919</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1931</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1926</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1920</v>
      </c>
      <c r="D16" s="50">
        <f>SUM(D8:D15)</f>
        <v>64465</v>
      </c>
      <c r="E16" s="53">
        <f>SUM(E8:E15)</f>
        <v>31156.999999999996</v>
      </c>
      <c r="F16" s="1394"/>
      <c r="G16" s="2236"/>
      <c r="H16" s="2239" t="s">
        <v>1932</v>
      </c>
      <c r="I16" s="2240"/>
      <c r="J16" s="1394"/>
      <c r="K16" s="3048" t="s">
        <v>1932</v>
      </c>
      <c r="L16" s="3049"/>
      <c r="M16" s="3049"/>
      <c r="N16" s="3049"/>
      <c r="O16" s="3049"/>
      <c r="P16" s="3050"/>
    </row>
    <row r="17" spans="1:19" ht="15">
      <c r="A17" s="2241" t="s">
        <v>1933</v>
      </c>
      <c r="B17" s="2242" t="s">
        <v>1934</v>
      </c>
      <c r="C17" s="2243" t="s">
        <v>1935</v>
      </c>
      <c r="D17" s="2244" t="s">
        <v>1923</v>
      </c>
      <c r="E17" s="2245" t="s">
        <v>1924</v>
      </c>
      <c r="F17" s="2246"/>
      <c r="G17" s="2247"/>
      <c r="H17" s="2248" t="s">
        <v>1936</v>
      </c>
      <c r="I17" s="2249" t="s">
        <v>1921</v>
      </c>
      <c r="J17" s="1394"/>
      <c r="K17" s="3045" t="s">
        <v>1937</v>
      </c>
      <c r="L17" s="3046"/>
      <c r="M17" s="3047"/>
      <c r="N17" s="3045" t="s">
        <v>1938</v>
      </c>
      <c r="O17" s="3046"/>
      <c r="P17" s="3047"/>
      <c r="R17" s="2227" t="s">
        <v>1939</v>
      </c>
      <c r="S17" s="63"/>
    </row>
    <row r="18" spans="1:19" ht="15">
      <c r="A18" s="2237"/>
      <c r="B18" s="2250"/>
      <c r="C18" s="2251"/>
      <c r="D18" s="2252"/>
      <c r="E18" s="2253" t="s">
        <v>1940</v>
      </c>
      <c r="F18" s="2254" t="s">
        <v>1941</v>
      </c>
      <c r="G18" s="2255" t="s">
        <v>1942</v>
      </c>
      <c r="H18" s="1264" t="s">
        <v>1943</v>
      </c>
      <c r="I18" s="2256" t="s">
        <v>1944</v>
      </c>
      <c r="J18" s="1394"/>
      <c r="K18" s="1264" t="s">
        <v>1945</v>
      </c>
      <c r="L18" s="2257" t="s">
        <v>1946</v>
      </c>
      <c r="M18" s="1048" t="s">
        <v>1947</v>
      </c>
      <c r="N18" s="1264" t="s">
        <v>1945</v>
      </c>
      <c r="O18" s="2257" t="s">
        <v>1946</v>
      </c>
      <c r="P18" s="1048" t="s">
        <v>1947</v>
      </c>
      <c r="R18" s="1249" t="s">
        <v>1948</v>
      </c>
      <c r="S18" s="1249" t="s">
        <v>1949</v>
      </c>
    </row>
    <row r="19" spans="1:19">
      <c r="A19" s="2258"/>
      <c r="B19" s="50" t="s">
        <v>1922</v>
      </c>
      <c r="C19" s="2966" t="s">
        <v>3091</v>
      </c>
      <c r="D19" s="48">
        <f>ROUND($D$3*E19/$E$3,2)</f>
        <v>595.74</v>
      </c>
      <c r="E19" s="56">
        <f t="shared" ref="E19:E26" si="1">SUM(F19:G19)</f>
        <v>287.93</v>
      </c>
      <c r="F19" s="2967">
        <f>Sheet1!E3</f>
        <v>287.93</v>
      </c>
      <c r="G19" s="57"/>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595.74</v>
      </c>
      <c r="S19" s="1250">
        <f t="shared" si="5"/>
        <v>287.93</v>
      </c>
    </row>
    <row r="20" spans="1:19">
      <c r="A20" s="2261"/>
      <c r="B20" s="50" t="s">
        <v>1950</v>
      </c>
      <c r="C20" s="2966" t="s">
        <v>3092</v>
      </c>
      <c r="D20" s="48">
        <f t="shared" ref="D20:D26" si="6">ROUND($D$3*E20/$E$3,2)</f>
        <v>11709.06</v>
      </c>
      <c r="E20" s="56">
        <f t="shared" si="1"/>
        <v>5659.18</v>
      </c>
      <c r="F20" s="2967">
        <f>'数据-基础表'!I13-'数据-汇总表'!F19</f>
        <v>5659.18</v>
      </c>
      <c r="G20" s="57"/>
      <c r="H20" s="722">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11709.06</v>
      </c>
      <c r="S20" s="1250">
        <f t="shared" si="5"/>
        <v>5659.18</v>
      </c>
    </row>
    <row r="21" spans="1:19">
      <c r="A21" s="2261"/>
      <c r="B21" s="50" t="s">
        <v>1950</v>
      </c>
      <c r="C21" s="2966" t="s">
        <v>3093</v>
      </c>
      <c r="D21" s="48">
        <f t="shared" si="6"/>
        <v>52160.21</v>
      </c>
      <c r="E21" s="56">
        <f t="shared" si="1"/>
        <v>25209.889999999996</v>
      </c>
      <c r="F21" s="2967">
        <f>'数据-基础表'!K13</f>
        <v>25209.889999999996</v>
      </c>
      <c r="G21" s="57"/>
      <c r="H21" s="722">
        <f t="shared" si="7"/>
        <v>0</v>
      </c>
      <c r="I21" s="51">
        <f t="shared" si="2"/>
        <v>0</v>
      </c>
      <c r="J21" s="1394"/>
      <c r="K21" s="1393">
        <f t="shared" si="3"/>
        <v>0</v>
      </c>
      <c r="L21" s="1249">
        <f t="shared" si="4"/>
        <v>0</v>
      </c>
      <c r="M21" s="1405">
        <f t="shared" si="8"/>
        <v>0</v>
      </c>
      <c r="N21" s="2259"/>
      <c r="O21" s="2260"/>
      <c r="P21" s="1405">
        <f t="shared" si="9"/>
        <v>0</v>
      </c>
      <c r="R21" s="1249">
        <f t="shared" si="5"/>
        <v>52160.21</v>
      </c>
      <c r="S21" s="1250">
        <f t="shared" si="5"/>
        <v>25209.889999999996</v>
      </c>
    </row>
    <row r="22" spans="1:19">
      <c r="A22" s="2261"/>
      <c r="B22" s="50" t="s">
        <v>1950</v>
      </c>
      <c r="C22" s="59"/>
      <c r="D22" s="48">
        <f t="shared" si="6"/>
        <v>0</v>
      </c>
      <c r="E22" s="56">
        <f t="shared" si="1"/>
        <v>0</v>
      </c>
      <c r="F22" s="60"/>
      <c r="G22" s="61"/>
      <c r="H22" s="722">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1950</v>
      </c>
      <c r="C23" s="59"/>
      <c r="D23" s="48">
        <f>ROUND($D$3*E23/$E$3,2)</f>
        <v>0</v>
      </c>
      <c r="E23" s="56">
        <f>SUM(F23:G23)</f>
        <v>0</v>
      </c>
      <c r="F23" s="60"/>
      <c r="G23" s="61"/>
      <c r="H23" s="722">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1950</v>
      </c>
      <c r="C24" s="59"/>
      <c r="D24" s="48">
        <f>ROUND($D$3*E24/$E$3,2)</f>
        <v>0</v>
      </c>
      <c r="E24" s="56">
        <f>SUM(F24:G24)</f>
        <v>0</v>
      </c>
      <c r="F24" s="60"/>
      <c r="G24" s="61"/>
      <c r="H24" s="722">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1950</v>
      </c>
      <c r="C25" s="59"/>
      <c r="D25" s="48">
        <f t="shared" si="6"/>
        <v>0</v>
      </c>
      <c r="E25" s="56">
        <f t="shared" si="1"/>
        <v>0</v>
      </c>
      <c r="F25" s="60"/>
      <c r="G25" s="61"/>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1950</v>
      </c>
      <c r="C26" s="62"/>
      <c r="D26" s="48">
        <f t="shared" si="6"/>
        <v>0</v>
      </c>
      <c r="E26" s="56">
        <f t="shared" si="1"/>
        <v>0</v>
      </c>
      <c r="F26" s="60"/>
      <c r="G26" s="61"/>
      <c r="H26" s="47">
        <f t="shared" si="7"/>
        <v>0</v>
      </c>
      <c r="I26" s="51">
        <f t="shared" si="2"/>
        <v>0</v>
      </c>
      <c r="J26" s="1394"/>
      <c r="K26" s="1400">
        <f t="shared" si="3"/>
        <v>0</v>
      </c>
      <c r="L26" s="1401">
        <f t="shared" si="4"/>
        <v>0</v>
      </c>
      <c r="M26" s="66">
        <f t="shared" si="8"/>
        <v>0</v>
      </c>
      <c r="N26" s="2262"/>
      <c r="O26" s="2263"/>
      <c r="P26" s="66">
        <f t="shared" si="9"/>
        <v>0</v>
      </c>
      <c r="R26" s="1249">
        <f t="shared" si="5"/>
        <v>0</v>
      </c>
      <c r="S26" s="1250">
        <f t="shared" si="5"/>
        <v>0</v>
      </c>
    </row>
    <row r="27" spans="1:19" ht="29.25" thickBot="1">
      <c r="A27" s="2261"/>
      <c r="B27" s="48"/>
      <c r="C27" s="2264" t="s">
        <v>1951</v>
      </c>
      <c r="D27" s="1395">
        <f>SUM(D19:D26)</f>
        <v>64465.009999999995</v>
      </c>
      <c r="E27" s="1396">
        <f>IF(SUM(E19:E26)='数据-基础表'!BA5,SUM(E19:E26),IF(F27="地上面积有误","面积有误","地下面积有误"))</f>
        <v>31156.999999999996</v>
      </c>
      <c r="F27" s="1395">
        <f>IF(SUM(F19:F26)=E8,SUM(F19:F26),"地上面积有误")</f>
        <v>31156.999999999996</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t="str">
        <f>IF(SUM(R19:R26)=$D$3,SUM(R19:R26),SUM(R19:R26)&amp;"误差"&amp;ROUND(SUM(R19:R26)-$D$3,2))</f>
        <v>64465.01误差0.01</v>
      </c>
      <c r="S27" s="1249">
        <f>IF(SUM(S19:S26)=$E$3,SUM(S19:S26),SUM(S19:S26)&amp;"误差"&amp;ROUND(SUM(S19:S26)-E3,2))</f>
        <v>31156.999999999996</v>
      </c>
    </row>
    <row r="28" spans="1:19">
      <c r="A28" s="2261"/>
      <c r="B28" s="50" t="s">
        <v>1952</v>
      </c>
      <c r="C28" s="1261" t="s">
        <v>1953</v>
      </c>
      <c r="D28" s="48">
        <f>ROUND($D$3*E28/$E$3,2)</f>
        <v>0</v>
      </c>
      <c r="E28" s="56">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1"/>
      <c r="B29" s="50" t="s">
        <v>1952</v>
      </c>
      <c r="C29" s="2265" t="s">
        <v>1954</v>
      </c>
      <c r="D29" s="48">
        <f>ROUND($D$3*E29/$E$3,2)</f>
        <v>0</v>
      </c>
      <c r="E29" s="56">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1"/>
      <c r="B30" s="50"/>
      <c r="C30" s="2266" t="s">
        <v>1951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09" t="s">
        <v>1955</v>
      </c>
      <c r="D31" s="728">
        <f>D27+D30</f>
        <v>64465.009999999995</v>
      </c>
      <c r="E31" s="728">
        <f>E27+E30</f>
        <v>31156.999999999996</v>
      </c>
      <c r="F31" s="729">
        <f>F27+F30</f>
        <v>31156.999999999996</v>
      </c>
      <c r="G31" s="730">
        <f>G27+G30</f>
        <v>0</v>
      </c>
      <c r="H31" s="1394"/>
      <c r="I31" s="1394"/>
      <c r="J31" s="1394"/>
      <c r="K31" s="1394"/>
      <c r="L31" s="1394"/>
      <c r="M31" s="1394"/>
      <c r="N31" s="1394"/>
      <c r="O31" s="1394"/>
      <c r="P31" s="1394"/>
    </row>
    <row r="32" spans="1:19">
      <c r="A32" s="2232"/>
      <c r="B32" s="2232" t="s">
        <v>1956</v>
      </c>
      <c r="C32" s="2232"/>
      <c r="D32" s="2232"/>
      <c r="E32" s="1276">
        <f>SUMIF(C19:C26,"*住宅*",E19:E26)</f>
        <v>0</v>
      </c>
      <c r="F32" s="2232"/>
      <c r="G32" s="2232"/>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K15" sqref="AK15"/>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1957</v>
      </c>
      <c r="B1" s="731"/>
      <c r="C1" s="1583"/>
      <c r="D1" s="2271"/>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1958</v>
      </c>
      <c r="B2" s="1268">
        <f>项目基本情况!D3</f>
        <v>43405</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7" t="s">
        <v>1959</v>
      </c>
      <c r="B4" s="2279"/>
      <c r="C4" s="2280"/>
      <c r="D4" s="2281"/>
      <c r="E4" s="2280" t="s">
        <v>1960</v>
      </c>
      <c r="F4" s="2280"/>
      <c r="G4" s="2280"/>
      <c r="H4" s="2280"/>
      <c r="I4" s="2280"/>
      <c r="J4" s="2282"/>
      <c r="K4" s="2283"/>
      <c r="L4" s="2284"/>
      <c r="M4" s="2280"/>
      <c r="N4" s="2280" t="s">
        <v>1961</v>
      </c>
      <c r="O4" s="2280"/>
      <c r="P4" s="2280"/>
      <c r="Q4" s="2280"/>
      <c r="R4" s="2280"/>
      <c r="S4" s="2282"/>
      <c r="T4" s="2285" t="str">
        <f>'数据-汇总表'!I17</f>
        <v>按面积比例</v>
      </c>
      <c r="U4" s="2279" t="s">
        <v>1962</v>
      </c>
      <c r="V4" s="2280"/>
      <c r="W4" s="2280"/>
      <c r="X4" s="2280"/>
      <c r="Y4" s="2282"/>
      <c r="Z4" s="2243" t="s">
        <v>1963</v>
      </c>
      <c r="AA4" s="2243"/>
      <c r="AB4" s="2243"/>
      <c r="AC4" s="2243"/>
      <c r="AD4" s="2243"/>
      <c r="AE4" s="2241" t="s">
        <v>1964</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1965</v>
      </c>
      <c r="B5" s="2288" t="s">
        <v>1966</v>
      </c>
      <c r="C5" s="2289" t="s">
        <v>1967</v>
      </c>
      <c r="D5" s="2290" t="s">
        <v>1968</v>
      </c>
      <c r="E5" s="1270" t="s">
        <v>1969</v>
      </c>
      <c r="F5" s="2291" t="s">
        <v>1970</v>
      </c>
      <c r="G5" s="1270" t="s">
        <v>1971</v>
      </c>
      <c r="H5" s="1270" t="s">
        <v>1972</v>
      </c>
      <c r="I5" s="1270" t="s">
        <v>1973</v>
      </c>
      <c r="J5" s="2292" t="s">
        <v>1974</v>
      </c>
      <c r="K5" s="2293" t="s">
        <v>1975</v>
      </c>
      <c r="L5" s="2294" t="s">
        <v>1976</v>
      </c>
      <c r="M5" s="2295" t="s">
        <v>1977</v>
      </c>
      <c r="N5" s="2296" t="s">
        <v>3094</v>
      </c>
      <c r="O5" s="2294" t="s">
        <v>1978</v>
      </c>
      <c r="P5" s="2297" t="s">
        <v>1979</v>
      </c>
      <c r="Q5" s="68" t="s">
        <v>1980</v>
      </c>
      <c r="R5" s="2298" t="s">
        <v>1981</v>
      </c>
      <c r="S5" s="2299" t="s">
        <v>1982</v>
      </c>
      <c r="T5" s="2300" t="s">
        <v>1983</v>
      </c>
      <c r="U5" s="1269" t="s">
        <v>1984</v>
      </c>
      <c r="V5" s="1270" t="s">
        <v>1985</v>
      </c>
      <c r="W5" s="1270" t="s">
        <v>1986</v>
      </c>
      <c r="X5" s="70"/>
      <c r="Y5" s="69" t="s">
        <v>1987</v>
      </c>
      <c r="Z5" s="2301" t="s">
        <v>1984</v>
      </c>
      <c r="AA5" s="1270" t="s">
        <v>1985</v>
      </c>
      <c r="AB5" s="1270" t="s">
        <v>1986</v>
      </c>
      <c r="AC5" s="70"/>
      <c r="AD5" s="70" t="s">
        <v>1987</v>
      </c>
      <c r="AE5" s="1269" t="s">
        <v>1988</v>
      </c>
      <c r="AF5" s="1270" t="s">
        <v>1989</v>
      </c>
      <c r="AG5" s="69" t="s">
        <v>1990</v>
      </c>
      <c r="AH5" s="1269" t="s">
        <v>1991</v>
      </c>
      <c r="AI5" s="2301" t="s">
        <v>1992</v>
      </c>
      <c r="AJ5" s="2301" t="s">
        <v>1993</v>
      </c>
      <c r="AK5" s="1270" t="s">
        <v>1994</v>
      </c>
      <c r="AL5" s="1270" t="s">
        <v>1995</v>
      </c>
      <c r="AM5" s="69" t="s">
        <v>1996</v>
      </c>
      <c r="AN5" s="2302" t="s">
        <v>1997</v>
      </c>
      <c r="AO5" s="2073" t="s">
        <v>1998</v>
      </c>
      <c r="AP5" s="1251" t="s">
        <v>1999</v>
      </c>
      <c r="AQ5" s="2303" t="s">
        <v>2000</v>
      </c>
      <c r="AR5" s="2303" t="s">
        <v>2001</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4" t="str">
        <f>'数据-汇总表'!C19</f>
        <v>沿街商业（基准）</v>
      </c>
      <c r="B6" s="2305" t="str">
        <f>IF(A6=0,"","经营性")</f>
        <v>经营性</v>
      </c>
      <c r="C6" s="2306" t="s">
        <v>1373</v>
      </c>
      <c r="D6" s="1053">
        <f>SUMIF(项目基本情况!D$12:I$12,C6,项目基本情况!D$14:I$14)</f>
        <v>40</v>
      </c>
      <c r="E6" s="1050">
        <f>IF(B6="","",SUMIF(项目基本情况!D$12:I$12,C6,项目基本情况!D$13:I$13))</f>
        <v>56185</v>
      </c>
      <c r="F6" s="71">
        <f>SUMIF(项目基本情况!D$12:I$12,C6,项目基本情况!D$15:I$15)</f>
        <v>35.01</v>
      </c>
      <c r="G6" s="72">
        <f>IF(ISERROR(ROUND(POWER(1+H6,D6-F6)*(POWER(1+H6,F6)-1)/(POWER(1+H6,D6)-1),3)),0,ROUND(POWER(1+H6,D6-F6)*(POWER(1+H6,F6)-1)/(POWER(1+H6,D6)-1),3))</f>
        <v>0.95399999999999996</v>
      </c>
      <c r="H6" s="801">
        <v>0.05</v>
      </c>
      <c r="I6" s="801">
        <v>5.5E-2</v>
      </c>
      <c r="J6" s="73">
        <v>0.08</v>
      </c>
      <c r="K6" s="1253">
        <f>SUMIF('数据-汇总表'!C$19:C$33,A6,'数据-汇总表'!E$19:E$33)</f>
        <v>287.93</v>
      </c>
      <c r="L6" s="802">
        <v>2400</v>
      </c>
      <c r="M6" s="74">
        <f t="shared" ref="M6:M14" si="0">ROUND(K6*L6/10000,0)</f>
        <v>69</v>
      </c>
      <c r="N6" s="800">
        <v>1</v>
      </c>
      <c r="O6" s="74" t="str">
        <f>IF($N$5="成新度","——",ROUND(M6*N6,0))</f>
        <v>——</v>
      </c>
      <c r="P6" s="75" t="str">
        <f>IF($N$5="成新度","——",M6-O6)</f>
        <v>——</v>
      </c>
      <c r="Q6" s="803">
        <v>0.1</v>
      </c>
      <c r="R6" s="76">
        <f ca="1">SUMIF('数据-汇总表'!C$19:C$33,A6,'数据-汇总表'!R$19:R$27)</f>
        <v>595.74</v>
      </c>
      <c r="S6" s="54">
        <f>IF('数据-汇总表'!$I$17="按面积比例",SUMIF('数据-汇总表'!C$19:C$33,A6,'数据-汇总表'!K$19:K$33),SUMIF('数据-汇总表'!C$19:C$33,A6,'数据-汇总表'!N$19:N$33))</f>
        <v>0</v>
      </c>
      <c r="T6" s="1445">
        <f>ROUND($L$14*S6/10000,0)</f>
        <v>0</v>
      </c>
      <c r="U6" s="77">
        <v>6</v>
      </c>
      <c r="V6" s="78">
        <v>0.03</v>
      </c>
      <c r="W6" s="78">
        <v>0.15</v>
      </c>
      <c r="X6" s="1263"/>
      <c r="Y6" s="79">
        <f>N6</f>
        <v>1</v>
      </c>
      <c r="Z6" s="80"/>
      <c r="AA6" s="73"/>
      <c r="AB6" s="73"/>
      <c r="AC6" s="1263"/>
      <c r="AD6" s="81"/>
      <c r="AE6" s="1264">
        <f ca="1">IF(AN6="",0,SUMIF(INDIRECT("'"&amp;AN6&amp;"'"&amp;"!E:E"),$AE$5,INDIRECT("'"&amp;AN6&amp;"'"&amp;"!F:F")))</f>
        <v>35.01</v>
      </c>
      <c r="AF6" s="1806"/>
      <c r="AG6" s="146">
        <f>IF(AF6="",0,AE6-AF6)</f>
        <v>0</v>
      </c>
      <c r="AH6" s="82"/>
      <c r="AI6" s="84">
        <v>365</v>
      </c>
      <c r="AJ6" s="85"/>
      <c r="AK6" s="86">
        <v>0.01</v>
      </c>
      <c r="AL6" s="87">
        <v>1.5E-3</v>
      </c>
      <c r="AM6" s="88">
        <v>0.01</v>
      </c>
      <c r="AN6" s="2307" t="s">
        <v>3095</v>
      </c>
      <c r="AO6" s="55">
        <f ca="1">SUMIF(INDIRECT("'"&amp;AN6&amp;"'"&amp;"!A:A"),"总价",INDIRECT("'"&amp;AN6&amp;"'"&amp;"!B:B"))</f>
        <v>977</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t="str">
        <f>'数据-汇总表'!C20</f>
        <v xml:space="preserve">沿街商业 </v>
      </c>
      <c r="B7" s="2305" t="str">
        <f t="shared" ref="B7:B13" si="1">IF(A7=0,"","经营性")</f>
        <v>经营性</v>
      </c>
      <c r="C7" s="2306" t="s">
        <v>1373</v>
      </c>
      <c r="D7" s="1053">
        <f>SUMIF(项目基本情况!D$12:I$12,C7,项目基本情况!D$14:I$14)</f>
        <v>40</v>
      </c>
      <c r="E7" s="1050">
        <f>IF(B7="","",SUMIF(项目基本情况!D$12:I$12,C7,项目基本情况!D$13:I$13))</f>
        <v>56185</v>
      </c>
      <c r="F7" s="71">
        <f>SUMIF(项目基本情况!D$12:I$12,C7,项目基本情况!D$15:I$15)</f>
        <v>35.01</v>
      </c>
      <c r="G7" s="72">
        <f t="shared" ref="G7:G11" si="2">IF(ISERROR(ROUND(POWER(1+H7,D7-F7)*(POWER(1+H7,F7)-1)/(POWER(1+H7,D7)-1),3)),0,ROUND(POWER(1+H7,D7-F7)*(POWER(1+H7,F7)-1)/(POWER(1+H7,D7)-1),3))</f>
        <v>0.95399999999999996</v>
      </c>
      <c r="H7" s="801">
        <v>0.05</v>
      </c>
      <c r="I7" s="801">
        <v>5.5E-2</v>
      </c>
      <c r="J7" s="73">
        <v>0.08</v>
      </c>
      <c r="K7" s="1253">
        <f>SUMIF('数据-汇总表'!C$19:C$33,A7,'数据-汇总表'!E$19:E$33)</f>
        <v>5659.18</v>
      </c>
      <c r="L7" s="802">
        <v>2400</v>
      </c>
      <c r="M7" s="74">
        <f t="shared" si="0"/>
        <v>1358</v>
      </c>
      <c r="N7" s="800">
        <v>1</v>
      </c>
      <c r="O7" s="74" t="str">
        <f t="shared" ref="O7:O14" si="3">IF($N$5="成新度","——",ROUND(M7*N7,0))</f>
        <v>——</v>
      </c>
      <c r="P7" s="75" t="str">
        <f t="shared" ref="P7:P14" si="4">IF($N$5="成新度","——",M7-O7)</f>
        <v>——</v>
      </c>
      <c r="Q7" s="803">
        <v>0.1</v>
      </c>
      <c r="R7" s="76">
        <f ca="1">SUMIF('数据-汇总表'!C$19:C$33,A7,'数据-汇总表'!R$19:R$27)</f>
        <v>11709.06</v>
      </c>
      <c r="S7" s="54">
        <f>IF('数据-汇总表'!$I$17="按面积比例",SUMIF('数据-汇总表'!C$19:C$33,A7,'数据-汇总表'!K$19:K$33),SUMIF('数据-汇总表'!C$19:C$33,A7,'数据-汇总表'!N$19:N$33))</f>
        <v>0</v>
      </c>
      <c r="T7" s="1445">
        <f t="shared" ref="T7:T13" si="5">ROUND($L$14*S7/10000,0)</f>
        <v>0</v>
      </c>
      <c r="U7" s="77"/>
      <c r="V7" s="78"/>
      <c r="W7" s="78"/>
      <c r="X7" s="1263"/>
      <c r="Y7" s="79"/>
      <c r="Z7" s="80"/>
      <c r="AA7" s="73"/>
      <c r="AB7" s="73"/>
      <c r="AC7" s="1263"/>
      <c r="AD7" s="81"/>
      <c r="AE7" s="1264">
        <f t="shared" ref="AE7:AE13" ca="1" si="6">IF(AN7="",0,SUMIF(INDIRECT("'"&amp;AN7&amp;"'"&amp;"!E:E"),$AE$5,INDIRECT("'"&amp;AN7&amp;"'"&amp;"!F:F")))</f>
        <v>0</v>
      </c>
      <c r="AF7" s="1806"/>
      <c r="AG7" s="146">
        <f t="shared" ref="AG7:AG13" si="7">IF(AF7="",0,AE7-AF7)</f>
        <v>0</v>
      </c>
      <c r="AH7" s="82"/>
      <c r="AI7" s="84"/>
      <c r="AJ7" s="85"/>
      <c r="AK7" s="86"/>
      <c r="AL7" s="87"/>
      <c r="AM7" s="88"/>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t="str">
        <f>'数据-汇总表'!C21</f>
        <v>独栋商业</v>
      </c>
      <c r="B8" s="2305" t="str">
        <f t="shared" si="1"/>
        <v>经营性</v>
      </c>
      <c r="C8" s="2306" t="s">
        <v>1373</v>
      </c>
      <c r="D8" s="1053">
        <f>SUMIF(项目基本情况!D$12:I$12,C8,项目基本情况!D$14:I$14)</f>
        <v>40</v>
      </c>
      <c r="E8" s="1050">
        <f>IF(B8="","",SUMIF(项目基本情况!D$12:I$12,C8,项目基本情况!D$13:I$13))</f>
        <v>56185</v>
      </c>
      <c r="F8" s="71">
        <f>SUMIF(项目基本情况!D$12:I$12,C8,项目基本情况!D$15:I$15)</f>
        <v>35.01</v>
      </c>
      <c r="G8" s="72">
        <f t="shared" si="2"/>
        <v>0.95399999999999996</v>
      </c>
      <c r="H8" s="801">
        <v>0.05</v>
      </c>
      <c r="I8" s="801">
        <v>5.5E-2</v>
      </c>
      <c r="J8" s="73">
        <v>0.08</v>
      </c>
      <c r="K8" s="1253">
        <f>SUMIF('数据-汇总表'!C$19:C$33,A8,'数据-汇总表'!E$19:E$33)</f>
        <v>25209.889999999996</v>
      </c>
      <c r="L8" s="802">
        <v>2400</v>
      </c>
      <c r="M8" s="74">
        <f>ROUND(K8*L8/10000,0)</f>
        <v>6050</v>
      </c>
      <c r="N8" s="800">
        <v>1</v>
      </c>
      <c r="O8" s="74" t="str">
        <f t="shared" si="3"/>
        <v>——</v>
      </c>
      <c r="P8" s="75" t="str">
        <f t="shared" si="4"/>
        <v>——</v>
      </c>
      <c r="Q8" s="803">
        <v>0.1</v>
      </c>
      <c r="R8" s="76">
        <f ca="1">SUMIF('数据-汇总表'!C$19:C$33,A8,'数据-汇总表'!R$19:R$27)</f>
        <v>52160.21</v>
      </c>
      <c r="S8" s="54">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6"/>
      <c r="AG8" s="146">
        <f t="shared" si="7"/>
        <v>0</v>
      </c>
      <c r="AH8" s="807"/>
      <c r="AI8" s="84"/>
      <c r="AJ8" s="85"/>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6"/>
      <c r="AG9" s="146">
        <f t="shared" si="7"/>
        <v>0</v>
      </c>
      <c r="AH9" s="82"/>
      <c r="AI9" s="84"/>
      <c r="AJ9" s="85"/>
      <c r="AK9" s="86"/>
      <c r="AL9" s="87"/>
      <c r="AM9" s="88"/>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6"/>
      <c r="AG10" s="146">
        <f t="shared" si="7"/>
        <v>0</v>
      </c>
      <c r="AH10" s="82"/>
      <c r="AI10" s="84"/>
      <c r="AJ10" s="85"/>
      <c r="AK10" s="86"/>
      <c r="AL10" s="87"/>
      <c r="AM10" s="88"/>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6"/>
      <c r="AG11" s="146">
        <f t="shared" si="7"/>
        <v>0</v>
      </c>
      <c r="AH11" s="82"/>
      <c r="AI11" s="84"/>
      <c r="AJ11" s="85"/>
      <c r="AK11" s="93"/>
      <c r="AL11" s="94"/>
      <c r="AM11" s="95"/>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6"/>
      <c r="AG12" s="146">
        <f t="shared" si="7"/>
        <v>0</v>
      </c>
      <c r="AH12" s="82"/>
      <c r="AI12" s="84"/>
      <c r="AJ12" s="85"/>
      <c r="AK12" s="93"/>
      <c r="AL12" s="94"/>
      <c r="AM12" s="95"/>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2002</v>
      </c>
      <c r="B14" s="2305" t="s">
        <v>2003</v>
      </c>
      <c r="C14" s="2310" t="s">
        <v>2002</v>
      </c>
      <c r="D14" s="1053"/>
      <c r="E14" s="1050"/>
      <c r="F14" s="71"/>
      <c r="G14" s="72"/>
      <c r="H14" s="1252"/>
      <c r="I14" s="1252"/>
      <c r="J14" s="1252"/>
      <c r="K14" s="1253">
        <f>SUMIF('数据-汇总表'!C$19:C$33,A14,'数据-汇总表'!E$19:E$33)</f>
        <v>0</v>
      </c>
      <c r="L14" s="90"/>
      <c r="M14" s="74">
        <f t="shared" si="0"/>
        <v>0</v>
      </c>
      <c r="N14" s="91"/>
      <c r="O14" s="74" t="str">
        <f t="shared" si="3"/>
        <v>——</v>
      </c>
      <c r="P14" s="75" t="str">
        <f t="shared" si="4"/>
        <v>——</v>
      </c>
      <c r="Q14" s="1256"/>
      <c r="R14" s="76"/>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2004</v>
      </c>
      <c r="B15" s="2305" t="s">
        <v>2003</v>
      </c>
      <c r="C15" s="2310" t="s">
        <v>2005</v>
      </c>
      <c r="D15" s="1053"/>
      <c r="E15" s="1050"/>
      <c r="F15" s="71"/>
      <c r="G15" s="72"/>
      <c r="H15" s="1252"/>
      <c r="I15" s="1252"/>
      <c r="J15" s="1252"/>
      <c r="K15" s="1253">
        <f>SUMIF('数据-汇总表'!C$19:C$33,A15,'数据-汇总表'!E$19:E$33)</f>
        <v>0</v>
      </c>
      <c r="L15" s="1254"/>
      <c r="M15" s="74"/>
      <c r="N15" s="1255"/>
      <c r="O15" s="74"/>
      <c r="P15" s="75"/>
      <c r="Q15" s="1256"/>
      <c r="R15" s="76"/>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2006</v>
      </c>
      <c r="B16" s="96"/>
      <c r="C16" s="1007"/>
      <c r="D16" s="2312"/>
      <c r="E16" s="96"/>
      <c r="F16" s="96"/>
      <c r="G16" s="97">
        <f>ROUND(SUMPRODUCT(G6:G13,K6:K13)/SUMPRODUCT((G6:G13&gt;0)*(K6:K13)),3)</f>
        <v>0.95399999999999996</v>
      </c>
      <c r="H16" s="98">
        <f>ROUND(SUMPRODUCT(H6:H13,K6:K13)/SUMPRODUCT((H6:H13&gt;0)*(K6:K13)),3)</f>
        <v>0.05</v>
      </c>
      <c r="I16" s="99"/>
      <c r="J16" s="99"/>
      <c r="K16" s="100">
        <f>SUM(K6:K15)</f>
        <v>31156.999999999996</v>
      </c>
      <c r="L16" s="101">
        <f>ROUND(M16*10000/SUM(K6:K14),0)</f>
        <v>2400</v>
      </c>
      <c r="M16" s="101">
        <f>SUM(M6:M14)</f>
        <v>7477</v>
      </c>
      <c r="N16" s="102">
        <f>ROUND(SUMPRODUCT(M6:M14,N6:N14)/M16,3)</f>
        <v>1</v>
      </c>
      <c r="O16" s="101">
        <f>SUM(O6:O14)</f>
        <v>0</v>
      </c>
      <c r="P16" s="101">
        <f>SUM(P6:P14)</f>
        <v>0</v>
      </c>
      <c r="Q16" s="103">
        <f>ROUND(SUMPRODUCT(Q6:Q13,K6:K13)/SUMPRODUCT((Q6:Q13&gt;0)*(K6:K13)),2)</f>
        <v>0.1</v>
      </c>
      <c r="R16" s="1257">
        <f ca="1">SUM(R6:R13)</f>
        <v>64465.009999999995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3"/>
      <c r="D17" s="2271"/>
      <c r="E17" s="2271"/>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2007</v>
      </c>
      <c r="B18" s="2278"/>
      <c r="C18" s="2275"/>
      <c r="D18" s="2276"/>
      <c r="E18" s="2275"/>
      <c r="F18" s="2275"/>
      <c r="G18" s="2275"/>
      <c r="H18" s="2275"/>
      <c r="I18" s="2275"/>
      <c r="J18" s="2275"/>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2008</v>
      </c>
      <c r="B19" s="111">
        <v>0</v>
      </c>
      <c r="C19" s="2275" t="s">
        <v>2009</v>
      </c>
      <c r="D19" s="2276"/>
      <c r="E19" s="2275"/>
      <c r="F19" s="2275"/>
      <c r="G19" s="2275"/>
      <c r="H19" s="2275"/>
      <c r="I19" s="2275"/>
      <c r="J19" s="2275"/>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2010</v>
      </c>
      <c r="B20" s="112">
        <v>1.5</v>
      </c>
      <c r="C20" s="2275" t="s">
        <v>2011</v>
      </c>
      <c r="D20" s="2276"/>
      <c r="E20" s="2275"/>
      <c r="F20" s="2275"/>
      <c r="G20" s="2275"/>
      <c r="H20" s="2275"/>
      <c r="I20" s="2275"/>
      <c r="J20" s="2275"/>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2012</v>
      </c>
      <c r="B21" s="112">
        <v>1.5</v>
      </c>
      <c r="C21" s="2275"/>
      <c r="D21" s="2276"/>
      <c r="E21" s="2275"/>
      <c r="F21" s="2275"/>
      <c r="G21" s="2275"/>
      <c r="H21" s="2275"/>
      <c r="I21" s="2275"/>
      <c r="J21" s="2275"/>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2013</v>
      </c>
      <c r="B22" s="113">
        <f>B19+B20</f>
        <v>1.5</v>
      </c>
      <c r="C22" s="2275"/>
      <c r="D22" s="2276"/>
      <c r="E22" s="2275"/>
      <c r="F22" s="2275"/>
      <c r="G22" s="2275"/>
      <c r="H22" s="2275"/>
      <c r="I22" s="2275"/>
      <c r="J22" s="2275"/>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2014</v>
      </c>
      <c r="B23" s="113">
        <f>B19+B21</f>
        <v>1.5</v>
      </c>
      <c r="C23" s="2275"/>
      <c r="D23" s="2276"/>
      <c r="E23" s="2275"/>
      <c r="F23" s="2275"/>
      <c r="G23" s="2275"/>
      <c r="H23" s="2275"/>
      <c r="I23" s="2275"/>
      <c r="J23" s="2275"/>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2015</v>
      </c>
      <c r="B24" s="114">
        <f>B20-B21</f>
        <v>0</v>
      </c>
      <c r="C24" s="2275"/>
      <c r="D24" s="2276"/>
      <c r="E24" s="2275"/>
      <c r="F24" s="2275"/>
      <c r="G24" s="2275"/>
      <c r="H24" s="2275"/>
      <c r="I24" s="2275"/>
      <c r="J24" s="2275"/>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2016</v>
      </c>
      <c r="B26" s="2318" t="s">
        <v>2017</v>
      </c>
      <c r="C26" s="2319" t="s">
        <v>2018</v>
      </c>
      <c r="D26" s="2276"/>
      <c r="E26" s="2275"/>
      <c r="F26" s="2275"/>
      <c r="G26" s="2275"/>
      <c r="H26" s="2275"/>
      <c r="I26" s="2275"/>
      <c r="J26" s="2275"/>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2019</v>
      </c>
      <c r="B27" s="115">
        <v>430</v>
      </c>
      <c r="C27" s="1766" t="s">
        <v>2020</v>
      </c>
      <c r="D27" s="2321"/>
      <c r="E27" s="1429"/>
      <c r="F27" s="1429"/>
      <c r="G27" s="2275"/>
      <c r="H27" s="2275"/>
      <c r="I27" s="2275"/>
      <c r="J27" s="2275"/>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2021</v>
      </c>
      <c r="B28" s="118">
        <v>430</v>
      </c>
      <c r="C28" s="2324"/>
      <c r="D28" s="2321"/>
      <c r="E28" s="1429"/>
      <c r="F28" s="1429"/>
      <c r="G28" s="2275"/>
      <c r="H28" s="2275"/>
      <c r="I28" s="2275"/>
      <c r="J28" s="2275"/>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2022</v>
      </c>
      <c r="B29" s="120"/>
      <c r="C29" s="1766" t="s">
        <v>2023</v>
      </c>
      <c r="D29" s="2321"/>
      <c r="E29" s="1429"/>
      <c r="F29" s="1429"/>
      <c r="G29" s="2275"/>
      <c r="H29" s="2275"/>
      <c r="I29" s="2275"/>
      <c r="J29" s="2275"/>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2024</v>
      </c>
      <c r="B30" s="723">
        <v>200</v>
      </c>
      <c r="C30" s="2324"/>
      <c r="D30" s="2321"/>
      <c r="E30" s="1429"/>
      <c r="F30" s="1429"/>
      <c r="G30" s="2275"/>
      <c r="H30" s="2275"/>
      <c r="I30" s="2275"/>
      <c r="J30" s="2275"/>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2025</v>
      </c>
      <c r="B31" s="119">
        <f>B30-B32</f>
        <v>200</v>
      </c>
      <c r="C31" s="1766"/>
      <c r="D31" s="2321"/>
      <c r="E31" s="1429"/>
      <c r="F31" s="1429"/>
      <c r="G31" s="2275"/>
      <c r="H31" s="2275"/>
      <c r="I31" s="2275"/>
      <c r="J31" s="2275"/>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2026</v>
      </c>
      <c r="B32" s="724">
        <v>0</v>
      </c>
      <c r="C32" s="2324"/>
      <c r="D32" s="2276"/>
      <c r="E32" s="2275"/>
      <c r="F32" s="2275"/>
      <c r="G32" s="2275"/>
      <c r="H32" s="2275"/>
      <c r="I32" s="2275"/>
      <c r="J32" s="2275"/>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2027</v>
      </c>
      <c r="B33" s="725">
        <v>0.03</v>
      </c>
      <c r="C33" s="1765" t="s">
        <v>2028</v>
      </c>
      <c r="D33" s="2276"/>
      <c r="E33" s="2275"/>
      <c r="F33" s="2275"/>
      <c r="G33" s="2275"/>
      <c r="H33" s="2275"/>
      <c r="I33" s="2275"/>
      <c r="J33" s="2275"/>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2029</v>
      </c>
      <c r="B34" s="121">
        <v>0</v>
      </c>
      <c r="C34" s="1765" t="s">
        <v>2030</v>
      </c>
      <c r="D34" s="2276" t="s">
        <v>2031</v>
      </c>
      <c r="E34" s="731"/>
      <c r="F34" s="2275"/>
      <c r="G34" s="2275"/>
      <c r="H34" s="2275"/>
      <c r="I34" s="2275"/>
      <c r="J34" s="2275"/>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2032</v>
      </c>
      <c r="B35" s="118">
        <v>200</v>
      </c>
      <c r="C35" s="1765" t="s">
        <v>2033</v>
      </c>
      <c r="D35" s="2321"/>
      <c r="E35" s="1429"/>
      <c r="F35" s="1429"/>
      <c r="G35" s="2275"/>
      <c r="H35" s="2275"/>
      <c r="I35" s="2275"/>
      <c r="J35" s="2275"/>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2034</v>
      </c>
      <c r="B36" s="122">
        <v>1.4999999999999999E-2</v>
      </c>
      <c r="C36" s="1765" t="s">
        <v>2035</v>
      </c>
      <c r="D36" s="2276"/>
      <c r="E36" s="2275"/>
      <c r="F36" s="2275"/>
      <c r="G36" s="2275"/>
      <c r="H36" s="2275"/>
      <c r="I36" s="2275"/>
      <c r="J36" s="2275"/>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2036</v>
      </c>
      <c r="B37" s="123">
        <v>0.02</v>
      </c>
      <c r="C37" s="1765" t="s">
        <v>2037</v>
      </c>
      <c r="D37" s="2276"/>
      <c r="E37" s="2275"/>
      <c r="F37" s="2275"/>
      <c r="G37" s="2275"/>
      <c r="H37" s="2275"/>
      <c r="I37" s="2275"/>
      <c r="J37" s="2275"/>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2038</v>
      </c>
      <c r="B38" s="121">
        <v>0.02</v>
      </c>
      <c r="C38" s="1765" t="s">
        <v>2037</v>
      </c>
      <c r="D38" s="2276"/>
      <c r="E38" s="2275"/>
      <c r="F38" s="2275"/>
      <c r="G38" s="2275"/>
      <c r="H38" s="2275"/>
      <c r="I38" s="2275"/>
      <c r="J38" s="2275"/>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2039</v>
      </c>
      <c r="B39" s="361">
        <f ca="1">存贷款利率!I1</f>
        <v>1.4999999999999999E-2</v>
      </c>
      <c r="C39" s="1765"/>
      <c r="D39" s="2276"/>
      <c r="E39" s="2275"/>
      <c r="F39" s="2275"/>
      <c r="G39" s="2275"/>
      <c r="H39" s="2275"/>
      <c r="I39" s="2275"/>
      <c r="J39" s="2275"/>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2040</v>
      </c>
      <c r="B40" s="1302">
        <f ca="1">存贷款利率!G1</f>
        <v>4.7500000000000001E-2</v>
      </c>
      <c r="C40" s="1765" t="s">
        <v>2041</v>
      </c>
      <c r="D40" s="1583"/>
      <c r="E40" s="2276"/>
      <c r="F40" s="2275"/>
      <c r="G40" s="2275"/>
      <c r="H40" s="2275"/>
      <c r="I40" s="2275"/>
      <c r="J40" s="2275"/>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2042</v>
      </c>
      <c r="B41" s="124">
        <f>B42+B43</f>
        <v>5.5000000000000007E-2</v>
      </c>
      <c r="C41" s="1766"/>
      <c r="D41" s="1583"/>
      <c r="E41" s="2276"/>
      <c r="F41" s="2275"/>
      <c r="G41" s="2275"/>
      <c r="H41" s="2275"/>
      <c r="I41" s="2275"/>
      <c r="J41" s="2275"/>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2043</v>
      </c>
      <c r="B42" s="125">
        <v>0.05</v>
      </c>
      <c r="C42" s="2329">
        <f>IF(B2&lt;DATE(2016,5,1),0,B42)</f>
        <v>0.05</v>
      </c>
      <c r="D42" s="2276"/>
      <c r="E42" s="2275"/>
      <c r="F42" s="2275"/>
      <c r="G42" s="2275"/>
      <c r="H42" s="2275"/>
      <c r="I42" s="2275"/>
      <c r="J42" s="2275"/>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2044</v>
      </c>
      <c r="B43" s="126">
        <f>B42*(B44+B45+B46)+B47</f>
        <v>5.000000000000001E-3</v>
      </c>
      <c r="C43" s="1766"/>
      <c r="D43" s="2276"/>
      <c r="E43" s="2275"/>
      <c r="F43" s="2275"/>
      <c r="G43" s="2275"/>
      <c r="H43" s="2275"/>
      <c r="I43" s="2275"/>
      <c r="J43" s="2275"/>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2045</v>
      </c>
      <c r="B44" s="127">
        <v>0.05</v>
      </c>
      <c r="C44" s="1765" t="s">
        <v>2046</v>
      </c>
      <c r="D44" s="2276"/>
      <c r="E44" s="2275"/>
      <c r="F44" s="2275"/>
      <c r="G44" s="2275"/>
      <c r="H44" s="2275"/>
      <c r="I44" s="2275"/>
      <c r="J44" s="2275"/>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2047</v>
      </c>
      <c r="B45" s="125">
        <v>0.03</v>
      </c>
      <c r="C45" s="1766" t="s">
        <v>2048</v>
      </c>
      <c r="D45" s="2276"/>
      <c r="E45" s="2275"/>
      <c r="F45" s="2275"/>
      <c r="G45" s="2275"/>
      <c r="H45" s="2275"/>
      <c r="I45" s="2275"/>
      <c r="J45" s="2275"/>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2049</v>
      </c>
      <c r="B46" s="125">
        <v>0.02</v>
      </c>
      <c r="C46" s="1766" t="s">
        <v>2050</v>
      </c>
      <c r="D46" s="2276"/>
      <c r="E46" s="2275"/>
      <c r="F46" s="2275"/>
      <c r="G46" s="2275"/>
      <c r="H46" s="2275"/>
      <c r="I46" s="2275"/>
      <c r="J46" s="2275"/>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2051</v>
      </c>
      <c r="B47" s="128"/>
      <c r="C47" s="1766" t="s">
        <v>2052</v>
      </c>
      <c r="D47" s="2276"/>
      <c r="E47" s="2275"/>
      <c r="F47" s="2275"/>
      <c r="G47" s="2275"/>
      <c r="H47" s="2275"/>
      <c r="I47" s="2275"/>
      <c r="J47" s="2275"/>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2053</v>
      </c>
      <c r="B48" s="129">
        <v>0.03</v>
      </c>
      <c r="C48" s="1773" t="s">
        <v>2054</v>
      </c>
      <c r="D48" s="2276"/>
      <c r="E48" s="2275"/>
      <c r="F48" s="2275"/>
      <c r="G48" s="2275"/>
      <c r="H48" s="2275"/>
      <c r="I48" s="2275"/>
      <c r="J48" s="2275"/>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2055</v>
      </c>
      <c r="B49" s="125">
        <v>5.0000000000000001E-4</v>
      </c>
      <c r="C49" s="1773" t="s">
        <v>2056</v>
      </c>
      <c r="D49" s="2276"/>
      <c r="E49" s="2275"/>
      <c r="F49" s="2275"/>
      <c r="G49" s="2275"/>
      <c r="H49" s="2275"/>
      <c r="I49" s="2275"/>
      <c r="J49" s="2275"/>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2057</v>
      </c>
      <c r="B50" s="130">
        <v>1.2E-2</v>
      </c>
      <c r="C50" s="1429"/>
      <c r="D50" s="2276"/>
      <c r="E50" s="2275"/>
      <c r="F50" s="2275"/>
      <c r="G50" s="2275"/>
      <c r="H50" s="2275"/>
      <c r="I50" s="2275"/>
      <c r="J50" s="2275"/>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2058</v>
      </c>
      <c r="B51" s="131">
        <v>0.12</v>
      </c>
      <c r="C51" s="1429"/>
      <c r="D51" s="2276"/>
      <c r="E51" s="2275"/>
      <c r="F51" s="2275"/>
      <c r="G51" s="2275"/>
      <c r="H51" s="2275"/>
      <c r="I51" s="2275"/>
      <c r="J51" s="2275"/>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2059</v>
      </c>
      <c r="B52" s="132">
        <f>SUMIF(A54:A63,B53,B54:B63)</f>
        <v>6</v>
      </c>
      <c r="C52" s="1429"/>
      <c r="D52" s="2276"/>
      <c r="E52" s="2275"/>
      <c r="F52" s="2275"/>
      <c r="G52" s="2275"/>
      <c r="H52" s="2275"/>
      <c r="I52" s="2275"/>
      <c r="J52" s="2275"/>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2060</v>
      </c>
      <c r="B53" s="2334" t="s">
        <v>137</v>
      </c>
      <c r="C53" s="1429" t="s">
        <v>2061</v>
      </c>
      <c r="D53" s="2335" t="s">
        <v>2062</v>
      </c>
      <c r="E53" s="2275"/>
      <c r="F53" s="2275"/>
      <c r="G53" s="2275"/>
      <c r="H53" s="2275"/>
      <c r="I53" s="2275"/>
      <c r="J53" s="2275"/>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2063</v>
      </c>
      <c r="B54" s="2968">
        <v>30</v>
      </c>
      <c r="C54" s="1429">
        <v>30</v>
      </c>
      <c r="D54" s="2276"/>
      <c r="E54" s="2275"/>
      <c r="F54" s="2275"/>
      <c r="G54" s="2275"/>
      <c r="H54" s="2275"/>
      <c r="I54" s="2275"/>
      <c r="J54" s="2275"/>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2064</v>
      </c>
      <c r="B55" s="2968">
        <v>20</v>
      </c>
      <c r="C55" s="1429">
        <v>24</v>
      </c>
      <c r="D55" s="2276"/>
      <c r="E55" s="2275"/>
      <c r="F55" s="2275"/>
      <c r="G55" s="2275"/>
      <c r="H55" s="2275"/>
      <c r="I55" s="2337"/>
      <c r="J55" s="2275"/>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2065</v>
      </c>
      <c r="B56" s="2968">
        <v>12</v>
      </c>
      <c r="C56" s="1429">
        <v>18</v>
      </c>
      <c r="D56" s="2276"/>
      <c r="E56" s="2275"/>
      <c r="F56" s="2275"/>
      <c r="G56" s="2275"/>
      <c r="H56" s="2275"/>
      <c r="I56" s="2275"/>
      <c r="J56" s="2275"/>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2066</v>
      </c>
      <c r="B57" s="2968">
        <v>6</v>
      </c>
      <c r="C57" s="1429">
        <v>12</v>
      </c>
      <c r="D57" s="2276"/>
      <c r="E57" s="2275"/>
      <c r="F57" s="2275"/>
      <c r="G57" s="2275"/>
      <c r="H57" s="2275"/>
      <c r="I57" s="2275"/>
      <c r="J57" s="2275"/>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2067</v>
      </c>
      <c r="B58" s="2968">
        <v>3</v>
      </c>
      <c r="C58" s="1429">
        <v>3</v>
      </c>
      <c r="D58" s="2276"/>
      <c r="E58" s="2275"/>
      <c r="F58" s="2275"/>
      <c r="G58" s="2275"/>
      <c r="H58" s="2275"/>
      <c r="I58" s="2275"/>
      <c r="J58" s="2275"/>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2068</v>
      </c>
      <c r="B59" s="2968">
        <v>1.5</v>
      </c>
      <c r="C59" s="1429">
        <v>1.5</v>
      </c>
      <c r="D59" s="2276"/>
      <c r="E59" s="2275"/>
      <c r="F59" s="2275"/>
      <c r="G59" s="2275"/>
      <c r="H59" s="2275"/>
      <c r="I59" s="2275"/>
      <c r="J59" s="2275"/>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2069</v>
      </c>
      <c r="B60" s="83"/>
      <c r="C60" s="2275"/>
      <c r="D60" s="2276"/>
      <c r="E60" s="2275"/>
      <c r="F60" s="2275"/>
      <c r="G60" s="2275"/>
      <c r="H60" s="2275"/>
      <c r="I60" s="2275"/>
      <c r="J60" s="2275"/>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2070</v>
      </c>
      <c r="B61" s="83"/>
      <c r="C61" s="2275"/>
      <c r="D61" s="2276"/>
      <c r="E61" s="2275"/>
      <c r="F61" s="2275"/>
      <c r="G61" s="2275"/>
      <c r="H61" s="2275"/>
      <c r="I61" s="2275"/>
      <c r="J61" s="2275"/>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2071</v>
      </c>
      <c r="B62" s="83"/>
      <c r="C62" s="2275"/>
      <c r="D62" s="2276"/>
      <c r="E62" s="2275"/>
      <c r="F62" s="2275"/>
      <c r="G62" s="2275"/>
      <c r="H62" s="2275"/>
      <c r="I62" s="2275"/>
      <c r="J62" s="2275"/>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2072</v>
      </c>
      <c r="B63" s="133"/>
      <c r="C63" s="2275"/>
      <c r="D63" s="2276"/>
      <c r="E63" s="2275"/>
      <c r="F63" s="2275"/>
      <c r="G63" s="2275"/>
      <c r="H63" s="2275"/>
      <c r="I63" s="2275"/>
      <c r="J63" s="2275"/>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60" t="s">
        <v>2073</v>
      </c>
      <c r="B1" s="3061"/>
      <c r="C1" s="3061"/>
      <c r="D1" s="3061"/>
      <c r="E1" s="3061"/>
      <c r="F1" s="3061"/>
      <c r="G1" s="3061"/>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2074</v>
      </c>
      <c r="D2" s="2364"/>
      <c r="E2" s="2365"/>
      <c r="F2" s="2284"/>
      <c r="G2" s="2363" t="s">
        <v>2075</v>
      </c>
      <c r="H2" s="2366"/>
      <c r="I2" s="2366"/>
      <c r="J2" s="2366"/>
      <c r="K2" s="2366"/>
      <c r="L2" s="2366"/>
      <c r="M2" s="2366"/>
      <c r="N2" s="2366"/>
      <c r="O2" s="2366"/>
      <c r="P2" s="2366"/>
      <c r="Q2" s="2366"/>
      <c r="R2" s="2366"/>
    </row>
    <row r="3" spans="1:29" ht="54">
      <c r="A3" s="414" t="s">
        <v>2076</v>
      </c>
      <c r="B3" s="1270" t="s">
        <v>2077</v>
      </c>
      <c r="C3" s="2368" t="s">
        <v>2078</v>
      </c>
      <c r="D3" s="2369"/>
      <c r="E3" s="430" t="s">
        <v>2076</v>
      </c>
      <c r="F3" s="2370" t="s">
        <v>2079</v>
      </c>
      <c r="G3" s="2371" t="s">
        <v>2080</v>
      </c>
      <c r="H3" s="2366"/>
      <c r="I3" s="2366"/>
      <c r="J3" s="2366"/>
      <c r="K3" s="2366"/>
      <c r="L3" s="2366"/>
      <c r="M3" s="2366"/>
      <c r="N3" s="2366"/>
      <c r="O3" s="2366"/>
      <c r="P3" s="2366"/>
      <c r="Q3" s="2366"/>
      <c r="R3" s="2366"/>
    </row>
    <row r="4" spans="1:29" ht="41.25">
      <c r="A4" s="430"/>
      <c r="B4" s="1797" t="s">
        <v>2081</v>
      </c>
      <c r="C4" s="2372" t="s">
        <v>2082</v>
      </c>
      <c r="D4" s="2369"/>
      <c r="E4" s="2373"/>
      <c r="F4" s="42" t="s">
        <v>2083</v>
      </c>
      <c r="G4" s="2374" t="s">
        <v>2084</v>
      </c>
      <c r="H4" s="2366"/>
      <c r="I4" s="2366"/>
      <c r="J4" s="2366"/>
      <c r="K4" s="2366"/>
      <c r="L4" s="2366"/>
      <c r="M4" s="2366"/>
      <c r="N4" s="2366"/>
      <c r="O4" s="2366"/>
      <c r="P4" s="2366"/>
      <c r="Q4" s="2366"/>
      <c r="R4" s="2366"/>
    </row>
    <row r="5" spans="1:29" ht="41.25">
      <c r="A5" s="430"/>
      <c r="B5" s="1797" t="s">
        <v>2085</v>
      </c>
      <c r="C5" s="2372" t="s">
        <v>2086</v>
      </c>
      <c r="D5" s="2369"/>
      <c r="E5" s="2373"/>
      <c r="F5" s="1797" t="s">
        <v>2087</v>
      </c>
      <c r="G5" s="2374" t="s">
        <v>2088</v>
      </c>
      <c r="H5" s="2366"/>
      <c r="I5" s="2366"/>
      <c r="J5" s="2366"/>
      <c r="K5" s="2366"/>
      <c r="L5" s="2366"/>
      <c r="M5" s="2366"/>
      <c r="N5" s="2366"/>
      <c r="O5" s="2366"/>
      <c r="P5" s="2366"/>
      <c r="Q5" s="2366"/>
      <c r="R5" s="2366"/>
    </row>
    <row r="6" spans="1:29" ht="54">
      <c r="A6" s="430"/>
      <c r="B6" s="1797" t="s">
        <v>2089</v>
      </c>
      <c r="C6" s="2374" t="s">
        <v>2084</v>
      </c>
      <c r="D6" s="2369"/>
      <c r="E6" s="2373"/>
      <c r="F6" s="1797" t="s">
        <v>2090</v>
      </c>
      <c r="G6" s="2374" t="s">
        <v>2091</v>
      </c>
      <c r="H6" s="2366"/>
      <c r="I6" s="2366"/>
      <c r="J6" s="2366"/>
      <c r="K6" s="2366"/>
      <c r="L6" s="2366"/>
      <c r="M6" s="2366"/>
      <c r="N6" s="2366"/>
      <c r="O6" s="2366"/>
      <c r="P6" s="2366"/>
      <c r="Q6" s="2366"/>
      <c r="R6" s="2366"/>
    </row>
    <row r="7" spans="1:29" ht="41.25" thickBot="1">
      <c r="A7" s="430"/>
      <c r="B7" s="1797" t="s">
        <v>2087</v>
      </c>
      <c r="C7" s="2374" t="s">
        <v>2088</v>
      </c>
      <c r="D7" s="2375"/>
      <c r="E7" s="2376"/>
      <c r="F7" s="2377" t="s">
        <v>2092</v>
      </c>
      <c r="G7" s="2378" t="s">
        <v>2093</v>
      </c>
      <c r="H7" s="2366"/>
      <c r="I7" s="2366"/>
      <c r="J7" s="2366"/>
      <c r="K7" s="2366"/>
      <c r="L7" s="2366"/>
      <c r="M7" s="2366"/>
      <c r="N7" s="2366"/>
      <c r="O7" s="2366"/>
      <c r="P7" s="2366"/>
      <c r="Q7" s="2366"/>
      <c r="R7" s="2366"/>
    </row>
    <row r="8" spans="1:29" ht="27">
      <c r="A8" s="430"/>
      <c r="B8" s="1797" t="s">
        <v>2090</v>
      </c>
      <c r="C8" s="2374" t="s">
        <v>2091</v>
      </c>
      <c r="D8" s="2375"/>
      <c r="E8" s="2375"/>
      <c r="F8" s="1135"/>
      <c r="G8" s="1135"/>
      <c r="H8" s="2366"/>
      <c r="I8" s="2366"/>
      <c r="J8" s="2366"/>
      <c r="K8" s="2366"/>
      <c r="L8" s="2366"/>
      <c r="M8" s="2366"/>
      <c r="N8" s="2366"/>
      <c r="O8" s="2366"/>
      <c r="P8" s="2366"/>
      <c r="Q8" s="2366"/>
      <c r="R8" s="2366"/>
    </row>
    <row r="9" spans="1:29" ht="27">
      <c r="A9" s="430"/>
      <c r="B9" s="1797" t="s">
        <v>2094</v>
      </c>
      <c r="C9" s="2372" t="s">
        <v>2095</v>
      </c>
      <c r="D9" s="2369"/>
      <c r="E9" s="2375"/>
      <c r="F9" s="1135"/>
      <c r="G9" s="1135"/>
      <c r="H9" s="2366"/>
      <c r="I9" s="2366"/>
      <c r="J9" s="2366"/>
      <c r="K9" s="2366"/>
      <c r="L9" s="2366"/>
      <c r="M9" s="2366"/>
      <c r="N9" s="2366"/>
      <c r="O9" s="2366"/>
      <c r="P9" s="2366"/>
      <c r="Q9" s="2366"/>
      <c r="R9" s="2366"/>
    </row>
    <row r="10" spans="1:29" s="116" customFormat="1" ht="15.75" thickBot="1">
      <c r="A10" s="2379"/>
      <c r="B10" s="2380" t="s">
        <v>2096</v>
      </c>
      <c r="C10" s="2381"/>
      <c r="D10" s="2369"/>
      <c r="E10" s="2369"/>
      <c r="F10" s="1135"/>
      <c r="G10" s="1135"/>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53"/>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3"/>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2097</v>
      </c>
      <c r="B13" s="2386"/>
      <c r="C13" s="2386"/>
      <c r="D13" s="2393"/>
      <c r="E13" s="2386"/>
      <c r="F13" s="2386"/>
      <c r="G13" s="2386"/>
    </row>
    <row r="14" spans="1:29" ht="15.75" thickBot="1">
      <c r="A14" s="2397"/>
      <c r="B14" s="2398"/>
      <c r="C14" s="2399" t="s">
        <v>2098</v>
      </c>
      <c r="D14" s="2369"/>
      <c r="E14" s="2400"/>
      <c r="F14" s="2400"/>
      <c r="G14" s="2363" t="s">
        <v>2099</v>
      </c>
    </row>
    <row r="15" spans="1:29" ht="57">
      <c r="A15" s="67" t="s">
        <v>2100</v>
      </c>
      <c r="B15" s="1269" t="s">
        <v>2077</v>
      </c>
      <c r="C15" s="2401" t="str">
        <f>C3</f>
        <v>估价对象周边居住用地比例、居住小区规模和社区发展完善程度，综合评价居住社区成熟度一般</v>
      </c>
      <c r="D15" s="2369"/>
      <c r="E15" s="2402" t="s">
        <v>2101</v>
      </c>
      <c r="F15" s="1269" t="s">
        <v>2102</v>
      </c>
      <c r="G15" s="134" t="str">
        <f>G3</f>
        <v>估价对象位于XX开发区，园区建设成熟度XX，产业集聚程度XX</v>
      </c>
    </row>
    <row r="16" spans="1:29" ht="42.75">
      <c r="A16" s="644"/>
      <c r="B16" s="2403" t="s">
        <v>2081</v>
      </c>
      <c r="C16" s="2404" t="str">
        <f>C4</f>
        <v>估价对象位于XX商圈，周边商业氛围成熟，人流量大，商业繁华度好</v>
      </c>
      <c r="D16" s="2369"/>
      <c r="E16" s="2405"/>
      <c r="F16" s="2406" t="s">
        <v>2083</v>
      </c>
      <c r="G16" s="135" t="str">
        <f>G4</f>
        <v>估价对象周边道路状况、公共交通通达情况、停车便捷程度，综合评价交通便捷度较好</v>
      </c>
    </row>
    <row r="17" spans="1:18" ht="42.75">
      <c r="A17" s="644"/>
      <c r="B17" s="2403" t="s">
        <v>2085</v>
      </c>
      <c r="C17" s="2404" t="str">
        <f>C5</f>
        <v>估价对象位于XX商圈，周边办公楼项目较多，入驻率高，办公集聚程度较好</v>
      </c>
      <c r="D17" s="2375"/>
      <c r="E17" s="2405"/>
      <c r="F17" s="2406" t="s">
        <v>2103</v>
      </c>
      <c r="G17" s="1571"/>
    </row>
    <row r="18" spans="1:18" ht="57">
      <c r="A18" s="644"/>
      <c r="B18" s="2406" t="s">
        <v>2089</v>
      </c>
      <c r="C18" s="135" t="str">
        <f>C6</f>
        <v>估价对象周边道路状况、公共交通通达情况、停车便捷程度，综合评价交通便捷度较好</v>
      </c>
      <c r="D18" s="2375"/>
      <c r="E18" s="2405"/>
      <c r="F18" s="2406" t="s">
        <v>2092</v>
      </c>
      <c r="G18" s="135" t="str">
        <f>G7</f>
        <v>该园区内是否有污染型企业，绿化情况，卫生条件，整体环境状况判断</v>
      </c>
    </row>
    <row r="19" spans="1:18" ht="28.5">
      <c r="A19" s="644"/>
      <c r="B19" s="2406" t="s">
        <v>2104</v>
      </c>
      <c r="C19" s="1571"/>
      <c r="D19" s="2369"/>
      <c r="E19" s="2405"/>
      <c r="F19" s="1797" t="s">
        <v>2087</v>
      </c>
      <c r="G19" s="135" t="str">
        <f>G5</f>
        <v>估价对象所在区域公共配套设施齐备情况</v>
      </c>
    </row>
    <row r="20" spans="1:18" ht="28.5">
      <c r="A20" s="644"/>
      <c r="B20" s="2406" t="s">
        <v>2105</v>
      </c>
      <c r="C20" s="2404" t="str">
        <f>C9</f>
        <v>区域自然环境：；人文环境；综合评价环境状况一般</v>
      </c>
      <c r="D20" s="2375"/>
      <c r="E20" s="2405"/>
      <c r="F20" s="1797" t="s">
        <v>2106</v>
      </c>
      <c r="G20" s="135" t="str">
        <f>G6</f>
        <v>估价对象所在区域基础设施水平</v>
      </c>
    </row>
    <row r="21" spans="1:18" ht="28.5">
      <c r="A21" s="644"/>
      <c r="B21" s="1797" t="s">
        <v>2087</v>
      </c>
      <c r="C21" s="135" t="str">
        <f>C7</f>
        <v>估价对象所在区域公共配套设施齐备情况</v>
      </c>
      <c r="D21" s="2369"/>
      <c r="E21" s="2405"/>
      <c r="F21" s="2406" t="s">
        <v>2107</v>
      </c>
      <c r="G21" s="2407"/>
    </row>
    <row r="22" spans="1:18" ht="13.5" customHeight="1">
      <c r="A22" s="644"/>
      <c r="B22" s="1797" t="s">
        <v>2090</v>
      </c>
      <c r="C22" s="135" t="str">
        <f>C8</f>
        <v>估价对象所在区域基础设施水平</v>
      </c>
      <c r="D22" s="2369"/>
      <c r="E22" s="2405"/>
      <c r="F22" s="2406" t="s">
        <v>2096</v>
      </c>
      <c r="G22" s="1571"/>
    </row>
    <row r="23" spans="1:18" s="2366" customFormat="1" ht="15.75" thickBot="1">
      <c r="A23" s="644"/>
      <c r="B23" s="2406" t="s">
        <v>2107</v>
      </c>
      <c r="C23" s="2407"/>
      <c r="D23" s="2394"/>
      <c r="E23" s="2408"/>
      <c r="F23" s="2409" t="s">
        <v>2108</v>
      </c>
      <c r="G23" s="2410"/>
      <c r="H23" s="2394"/>
      <c r="I23" s="2395"/>
      <c r="J23" s="2394"/>
      <c r="K23" s="2394"/>
      <c r="L23" s="2395"/>
      <c r="M23" s="2394"/>
      <c r="N23" s="2394"/>
      <c r="O23" s="2395"/>
      <c r="P23" s="2394"/>
      <c r="Q23" s="2394"/>
      <c r="R23" s="2396"/>
    </row>
    <row r="24" spans="1:18" s="2366" customFormat="1" ht="15.75" thickBot="1">
      <c r="A24" s="2411"/>
      <c r="B24" s="2409" t="s">
        <v>2109</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F5" sqref="F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31156.999999999996</v>
      </c>
      <c r="C1" s="1744"/>
      <c r="D1" s="1744"/>
      <c r="E1" s="1744"/>
      <c r="F1" s="1744"/>
      <c r="G1" s="1742"/>
    </row>
    <row r="2" spans="1:10" ht="16.5">
      <c r="A2" s="1745" t="s">
        <v>1349</v>
      </c>
      <c r="B2" s="1745">
        <f>SUM(C14:C23)</f>
        <v>64465</v>
      </c>
      <c r="C2" s="1744"/>
      <c r="D2" s="1744"/>
      <c r="E2" s="1744"/>
      <c r="F2" s="1744"/>
      <c r="G2" s="1742"/>
    </row>
    <row r="3" spans="1:10" ht="16.5">
      <c r="A3" s="1745" t="s">
        <v>1358</v>
      </c>
      <c r="B3" s="1746">
        <f>项目基本情况!D3</f>
        <v>43405</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105209</v>
      </c>
      <c r="C5" s="1745">
        <f ca="1">ROUND(B5*10000/$B$1,0)</f>
        <v>33767</v>
      </c>
      <c r="D5" s="1745">
        <f ca="1">ROUND(B5*10000/$B$2,0)</f>
        <v>16320</v>
      </c>
      <c r="E5" s="1744"/>
      <c r="F5" s="1742"/>
      <c r="G5" s="1742"/>
    </row>
    <row r="6" spans="1:10" ht="16.5">
      <c r="A6" s="1745" t="s">
        <v>1352</v>
      </c>
      <c r="B6" s="1745">
        <f ca="1">SUM(G14:G23)</f>
        <v>105209</v>
      </c>
      <c r="C6" s="1745">
        <f ca="1">ROUND(B6*10000/$B$1,0)</f>
        <v>33767</v>
      </c>
      <c r="D6" s="1745">
        <f ca="1">ROUND(B6*10000/$B$2,0)</f>
        <v>16320</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31156.999999999996</v>
      </c>
      <c r="C14" s="1743">
        <f>结果表!C118</f>
        <v>64465</v>
      </c>
      <c r="D14" s="1743">
        <f ca="1">典型户型修正!B20</f>
        <v>105209</v>
      </c>
      <c r="E14" s="1743">
        <f ca="1">ROUND(D14*10000/B14,0)</f>
        <v>33767</v>
      </c>
      <c r="F14" s="1743">
        <f ca="1">ROUND(D14*10000/C14,0)</f>
        <v>16320</v>
      </c>
      <c r="G14" s="1743">
        <f ca="1">典型户型修正!B20</f>
        <v>105209</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D17" sqref="D17"/>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4" t="s">
        <v>2110</v>
      </c>
      <c r="B1" s="2417"/>
      <c r="C1" s="2418"/>
      <c r="D1" s="2417"/>
      <c r="E1" s="2417"/>
      <c r="F1" s="2419" t="s">
        <v>2111</v>
      </c>
      <c r="G1" s="2070" t="s">
        <v>2112</v>
      </c>
      <c r="H1" s="2420" t="str">
        <f>IF(G1="现房","——","估价对象范围")</f>
        <v>估价对象范围</v>
      </c>
      <c r="I1" s="2421"/>
    </row>
    <row r="2" spans="1:12" ht="21.75" customHeight="1" thickBot="1">
      <c r="A2" s="3134" t="str">
        <f>项目基本情况!S2</f>
        <v>上海市浦东新区惠南镇惠南颐景园出让国有建设用地使用权及在建建筑物房地产</v>
      </c>
      <c r="B2" s="3135"/>
      <c r="C2" s="3135"/>
      <c r="D2" s="3135"/>
      <c r="E2" s="3135"/>
      <c r="F2" s="3135"/>
      <c r="G2" s="3135"/>
      <c r="H2" s="3135"/>
      <c r="I2" s="3136"/>
    </row>
    <row r="3" spans="1:12" ht="12.75">
      <c r="A3" s="3137" t="s">
        <v>2113</v>
      </c>
      <c r="B3" s="3138"/>
      <c r="C3" s="3138"/>
      <c r="D3" s="3138"/>
      <c r="E3" s="3138"/>
      <c r="F3" s="3138"/>
      <c r="G3" s="3138"/>
      <c r="H3" s="3138"/>
      <c r="I3" s="3138"/>
    </row>
    <row r="4" spans="1:12" ht="14.25">
      <c r="A4" s="2424" t="s">
        <v>2114</v>
      </c>
      <c r="B4" s="2425" t="s">
        <v>2115</v>
      </c>
      <c r="C4" s="2426" t="s">
        <v>3105</v>
      </c>
      <c r="D4" s="2426" t="s">
        <v>3095</v>
      </c>
      <c r="E4" s="3118" t="s">
        <v>2116</v>
      </c>
      <c r="F4" s="3131"/>
      <c r="G4" s="3131"/>
      <c r="H4" s="3131"/>
      <c r="I4" s="3119"/>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09" t="s">
        <v>2117</v>
      </c>
      <c r="B5" s="3035">
        <v>25</v>
      </c>
      <c r="C5" s="3139"/>
      <c r="D5" s="3127"/>
      <c r="E5" s="139" t="s">
        <v>2118</v>
      </c>
      <c r="F5" s="2428"/>
      <c r="G5" s="2428"/>
      <c r="H5" s="2428"/>
      <c r="I5" s="1833"/>
    </row>
    <row r="6" spans="1:12" ht="12.75">
      <c r="A6" s="3109"/>
      <c r="B6" s="3035"/>
      <c r="C6" s="3141"/>
      <c r="D6" s="3127"/>
      <c r="E6" s="139" t="s">
        <v>2119</v>
      </c>
      <c r="F6" s="2428"/>
      <c r="G6" s="2428"/>
      <c r="H6" s="2428"/>
      <c r="I6" s="1833"/>
    </row>
    <row r="7" spans="1:12" ht="12.75">
      <c r="A7" s="3109"/>
      <c r="B7" s="3035"/>
      <c r="C7" s="3140"/>
      <c r="D7" s="3127"/>
      <c r="E7" s="139" t="s">
        <v>2120</v>
      </c>
      <c r="F7" s="2428"/>
      <c r="G7" s="2428"/>
      <c r="H7" s="2428"/>
      <c r="I7" s="1833"/>
    </row>
    <row r="8" spans="1:12" ht="12.75">
      <c r="A8" s="3109" t="s">
        <v>2121</v>
      </c>
      <c r="B8" s="3035">
        <v>15</v>
      </c>
      <c r="C8" s="3139"/>
      <c r="D8" s="3127"/>
      <c r="E8" s="139" t="s">
        <v>2122</v>
      </c>
      <c r="F8" s="2428"/>
      <c r="G8" s="2428"/>
      <c r="H8" s="2428"/>
      <c r="I8" s="1833"/>
    </row>
    <row r="9" spans="1:12" ht="12.75">
      <c r="A9" s="3109"/>
      <c r="B9" s="3035"/>
      <c r="C9" s="3140"/>
      <c r="D9" s="3127"/>
      <c r="E9" s="139" t="s">
        <v>2123</v>
      </c>
      <c r="F9" s="2428"/>
      <c r="G9" s="2428"/>
      <c r="H9" s="2428"/>
      <c r="I9" s="1833"/>
    </row>
    <row r="10" spans="1:12" ht="12.75">
      <c r="A10" s="3109" t="s">
        <v>2124</v>
      </c>
      <c r="B10" s="3035">
        <v>15</v>
      </c>
      <c r="C10" s="3139"/>
      <c r="D10" s="3127"/>
      <c r="E10" s="139" t="s">
        <v>2125</v>
      </c>
      <c r="F10" s="2428"/>
      <c r="G10" s="2428"/>
      <c r="H10" s="2428"/>
      <c r="I10" s="1833"/>
    </row>
    <row r="11" spans="1:12" ht="12.75">
      <c r="A11" s="3109"/>
      <c r="B11" s="3035"/>
      <c r="C11" s="3140"/>
      <c r="D11" s="3127"/>
      <c r="E11" s="139" t="s">
        <v>2126</v>
      </c>
      <c r="F11" s="2428"/>
      <c r="G11" s="2428"/>
      <c r="H11" s="2428"/>
      <c r="I11" s="1833"/>
    </row>
    <row r="12" spans="1:12" ht="12.75">
      <c r="A12" s="3109" t="s">
        <v>2127</v>
      </c>
      <c r="B12" s="3035">
        <v>15</v>
      </c>
      <c r="C12" s="3139"/>
      <c r="D12" s="3127"/>
      <c r="E12" s="139" t="s">
        <v>2128</v>
      </c>
      <c r="F12" s="2428"/>
      <c r="G12" s="2428"/>
      <c r="H12" s="2428"/>
      <c r="I12" s="1833"/>
    </row>
    <row r="13" spans="1:12" ht="12.75">
      <c r="A13" s="3109"/>
      <c r="B13" s="3035"/>
      <c r="C13" s="3140"/>
      <c r="D13" s="3127"/>
      <c r="E13" s="139" t="s">
        <v>2129</v>
      </c>
      <c r="F13" s="2428"/>
      <c r="G13" s="2428"/>
      <c r="H13" s="2428"/>
      <c r="I13" s="1833"/>
    </row>
    <row r="14" spans="1:12" ht="12.75">
      <c r="A14" s="3109" t="s">
        <v>2130</v>
      </c>
      <c r="B14" s="3035">
        <v>30</v>
      </c>
      <c r="C14" s="3139">
        <v>6</v>
      </c>
      <c r="D14" s="3127">
        <f>10-C14</f>
        <v>4</v>
      </c>
      <c r="E14" s="139" t="s">
        <v>2131</v>
      </c>
      <c r="F14" s="2428"/>
      <c r="G14" s="2428"/>
      <c r="H14" s="2428"/>
      <c r="I14" s="1833"/>
    </row>
    <row r="15" spans="1:12" ht="12.75">
      <c r="A15" s="3109"/>
      <c r="B15" s="3035"/>
      <c r="C15" s="3141"/>
      <c r="D15" s="3127"/>
      <c r="E15" s="139" t="s">
        <v>2132</v>
      </c>
      <c r="F15" s="2428"/>
      <c r="G15" s="2428"/>
      <c r="H15" s="2428"/>
      <c r="I15" s="1833"/>
    </row>
    <row r="16" spans="1:12" ht="12.75">
      <c r="A16" s="3109"/>
      <c r="B16" s="3035"/>
      <c r="C16" s="3140"/>
      <c r="D16" s="3127"/>
      <c r="E16" s="139" t="s">
        <v>2133</v>
      </c>
      <c r="F16" s="2428"/>
      <c r="G16" s="2428"/>
      <c r="H16" s="2428"/>
      <c r="I16" s="1833"/>
    </row>
    <row r="17" spans="1:35" ht="15">
      <c r="A17" s="2429" t="s">
        <v>2134</v>
      </c>
      <c r="B17" s="63"/>
      <c r="C17" s="140">
        <f>SUM(C5:C16)</f>
        <v>6</v>
      </c>
      <c r="D17" s="140">
        <f>SUM(D5:D16)</f>
        <v>4</v>
      </c>
      <c r="E17" s="137"/>
      <c r="F17" s="137"/>
      <c r="G17" s="137"/>
      <c r="H17" s="137"/>
      <c r="I17" s="137"/>
      <c r="K17" s="2427"/>
      <c r="L17" s="2430" t="s">
        <v>2135</v>
      </c>
      <c r="M17" s="2430" t="s">
        <v>2136</v>
      </c>
    </row>
    <row r="18" spans="1:35" ht="15.75" thickBot="1">
      <c r="A18" s="2431" t="s">
        <v>2137</v>
      </c>
      <c r="B18" s="2432"/>
      <c r="C18" s="141">
        <f>ROUND(C17/SUM(C17:D17),2)</f>
        <v>0.6</v>
      </c>
      <c r="D18" s="141">
        <f>1-C18</f>
        <v>0.4</v>
      </c>
      <c r="E18" s="137"/>
      <c r="F18" s="137"/>
      <c r="G18" s="137"/>
      <c r="H18" s="137"/>
      <c r="I18" s="137"/>
      <c r="K18" s="2427" t="s">
        <v>2138</v>
      </c>
      <c r="L18" s="2427">
        <f>IF(C1="",'数据-汇总表'!E3,SUMIF(项目类型,C1,'数据-汇总表'!E17:E26)+SUMIF(项目类型,C1,'数据-汇总表'!I17:I26))</f>
        <v>31156.999999999996</v>
      </c>
      <c r="M18" s="2427">
        <f>IF(C1="",'数据-汇总表'!E3,SUMIF(项目类型,C1,'数据-汇总表'!E17:E26))</f>
        <v>31156.999999999996</v>
      </c>
    </row>
    <row r="19" spans="1:35" ht="15">
      <c r="A19" s="2433" t="s">
        <v>2139</v>
      </c>
      <c r="B19" s="2434" t="s">
        <v>2140</v>
      </c>
      <c r="C19" s="142">
        <f ca="1">SUMIF(INDIRECT("'"&amp;C4&amp;"'"&amp;"!A:A"),结果表!B19,INDIRECT("'"&amp;C4&amp;"'"&amp;"!B:B"))</f>
        <v>1121</v>
      </c>
      <c r="D19" s="143">
        <f ca="1">SUMIF(INDIRECT("'"&amp;D4&amp;"'"&amp;"!A:A"),结果表!B19,INDIRECT("'"&amp;D4&amp;"'"&amp;"!B:B"))</f>
        <v>977</v>
      </c>
      <c r="E19" s="2433" t="s">
        <v>2141</v>
      </c>
      <c r="F19" s="2434" t="s">
        <v>2140</v>
      </c>
      <c r="G19" s="144">
        <f ca="1">ROUND(C19*$C$18+D19*$D$18,0)</f>
        <v>1063</v>
      </c>
      <c r="H19" s="2435" t="s">
        <v>2142</v>
      </c>
      <c r="I19" s="137"/>
      <c r="K19" s="2427" t="s">
        <v>2143</v>
      </c>
      <c r="L19" s="2427">
        <f>IF(C1="",'数据-汇总表'!D3,SUMIF(项目类型,C1,'数据-汇总表'!D17:D26)+SUMIF(项目类型,C1,'数据-汇总表'!H17:H27))</f>
        <v>64465</v>
      </c>
      <c r="M19" s="2427">
        <f>IF(C1="",'数据-汇总表'!D3,SUMIF(项目类型,C1,'数据-汇总表'!D17:D26))</f>
        <v>64465</v>
      </c>
    </row>
    <row r="20" spans="1:35" ht="15">
      <c r="A20" s="2436"/>
      <c r="B20" s="1249" t="s">
        <v>2144</v>
      </c>
      <c r="C20" s="145">
        <f ca="1">SUMIF(INDIRECT("'"&amp;C4&amp;"'"&amp;"!A:A"),结果表!B20,INDIRECT("'"&amp;C4&amp;"'"&amp;"!B:B"))</f>
        <v>38923</v>
      </c>
      <c r="D20" s="146">
        <f ca="1">SUMIF(INDIRECT("'"&amp;D4&amp;"'"&amp;"!A:A"),结果表!B20,INDIRECT("'"&amp;D4&amp;"'"&amp;"!B:B"))</f>
        <v>33932</v>
      </c>
      <c r="E20" s="2436"/>
      <c r="F20" s="1249" t="s">
        <v>2144</v>
      </c>
      <c r="G20" s="147">
        <f ca="1">ROUND(C20*$C$18+D20*$D$18,0)</f>
        <v>36927</v>
      </c>
      <c r="H20" s="982" t="s">
        <v>2145</v>
      </c>
      <c r="I20" s="137"/>
    </row>
    <row r="21" spans="1:35" ht="15" customHeight="1" thickBot="1">
      <c r="A21" s="1002"/>
      <c r="B21" s="2437" t="s">
        <v>2146</v>
      </c>
      <c r="C21" s="788">
        <f ca="1">ROUND(C19*10000/L19,0)</f>
        <v>174</v>
      </c>
      <c r="D21" s="789">
        <f ca="1">ROUND(D19*10000/L19,0)</f>
        <v>152</v>
      </c>
      <c r="E21" s="1002"/>
      <c r="F21" s="2437" t="s">
        <v>2146</v>
      </c>
      <c r="G21" s="148">
        <f ca="1">ROUND(G19*10000/L19,0)</f>
        <v>165</v>
      </c>
      <c r="H21" s="2438" t="s">
        <v>2145</v>
      </c>
      <c r="I21" s="137"/>
    </row>
    <row r="22" spans="1:35" ht="15" thickBot="1">
      <c r="A22" s="2279" t="s">
        <v>2147</v>
      </c>
      <c r="B22" s="2439"/>
      <c r="C22" s="2440"/>
      <c r="D22" s="790">
        <f ca="1">IF(C19&lt;D19,D19/C19-1,C19/D19-1)</f>
        <v>0.14738996929375636</v>
      </c>
      <c r="E22" s="137"/>
      <c r="F22" s="137"/>
      <c r="G22" s="137"/>
      <c r="H22" s="137"/>
      <c r="I22" s="137"/>
    </row>
    <row r="23" spans="1:35" ht="13.5" thickBot="1">
      <c r="A23" s="2417"/>
      <c r="B23" s="2417"/>
      <c r="C23" s="2417"/>
      <c r="D23" s="2417"/>
      <c r="E23" s="137"/>
      <c r="F23" s="137"/>
      <c r="G23" s="137"/>
      <c r="H23" s="137"/>
      <c r="I23" s="137"/>
    </row>
    <row r="24" spans="1:35" ht="14.25">
      <c r="A24" s="3148" t="s">
        <v>2148</v>
      </c>
      <c r="B24" s="2434" t="s">
        <v>2140</v>
      </c>
      <c r="C24" s="144">
        <f>IF(B30=0,0,D30)</f>
        <v>0</v>
      </c>
      <c r="D24" s="2441"/>
      <c r="E24" s="137"/>
      <c r="F24" s="137"/>
      <c r="G24" s="137"/>
      <c r="H24" s="137"/>
      <c r="I24" s="137"/>
    </row>
    <row r="25" spans="1:35" ht="14.25">
      <c r="A25" s="3149"/>
      <c r="B25" s="1249" t="s">
        <v>2144</v>
      </c>
      <c r="C25" s="149">
        <f>IF(B30=0,0,C30)</f>
        <v>0</v>
      </c>
      <c r="D25" s="2442"/>
      <c r="E25" s="137"/>
      <c r="F25" s="137"/>
      <c r="G25" s="137"/>
      <c r="H25" s="137"/>
      <c r="I25" s="137"/>
    </row>
    <row r="26" spans="1:35" ht="13.5" customHeight="1">
      <c r="A26" s="2443" t="s">
        <v>2149</v>
      </c>
      <c r="B26" s="150" t="s">
        <v>2150</v>
      </c>
      <c r="C26" s="150" t="s">
        <v>2151</v>
      </c>
      <c r="D26" s="151" t="s">
        <v>2152</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2153</v>
      </c>
      <c r="B30" s="150"/>
      <c r="C30" s="150"/>
      <c r="D30" s="150"/>
      <c r="E30" s="2926" t="s">
        <v>3029</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2154</v>
      </c>
      <c r="B32" s="2447"/>
      <c r="C32" s="152">
        <f ca="1">IF(D32="总价",G19-C24,G20-C25)</f>
        <v>1063</v>
      </c>
      <c r="D32" s="2448" t="s">
        <v>2155</v>
      </c>
      <c r="E32" s="137"/>
      <c r="F32" s="137"/>
      <c r="G32" s="137"/>
      <c r="H32" s="137"/>
      <c r="I32" s="137"/>
    </row>
    <row r="33" spans="1:15" ht="15">
      <c r="A33" s="959" t="s">
        <v>2156</v>
      </c>
      <c r="B33" s="2449"/>
      <c r="C33" s="2450"/>
      <c r="D33" s="2451"/>
      <c r="E33" s="2452" t="s">
        <v>2157</v>
      </c>
      <c r="F33" s="2453" t="str">
        <f>IF(D32="楼面单价","取值（单价）","取值（总价）")</f>
        <v>取值（总价）</v>
      </c>
      <c r="G33" s="137"/>
      <c r="H33" s="137"/>
      <c r="I33" s="137"/>
    </row>
    <row r="34" spans="1:15" ht="15">
      <c r="A34" s="2454"/>
      <c r="B34" s="2455" t="s">
        <v>2158</v>
      </c>
      <c r="C34" s="156" t="e">
        <f ca="1">IF(C33="自定义",F34,C32-C35)</f>
        <v>#REF!</v>
      </c>
      <c r="D34" s="1057" t="e">
        <f ca="1">IF(C33="自定义",ROUND(C34/C32,3),IF(C33="收益比率",SUMIF(INDIRECT("'"&amp;D33&amp;"'"&amp;"!b:b"),"土地收益比率",INDIRECT("'"&amp;D33&amp;"'"&amp;"!c:c")),SUMIF(INDIRECT("'"&amp;D33&amp;"'"&amp;"!b:b"),"土地成本比率",INDIRECT("'"&amp;D33&amp;"'"&amp;"!c:c"))))</f>
        <v>#REF!</v>
      </c>
      <c r="E34" s="2456" t="s">
        <v>2159</v>
      </c>
      <c r="F34" s="1738"/>
      <c r="G34" s="137"/>
      <c r="H34" s="137"/>
      <c r="I34" s="137"/>
    </row>
    <row r="35" spans="1:15" ht="15.75" thickBot="1">
      <c r="A35" s="2457"/>
      <c r="B35" s="2458" t="s">
        <v>2160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9" t="s">
        <v>2161</v>
      </c>
      <c r="F35" s="162"/>
      <c r="G35" s="137"/>
      <c r="H35" s="137"/>
      <c r="I35" s="137"/>
    </row>
    <row r="36" spans="1:15" ht="15.75" thickBot="1">
      <c r="A36" s="3128" t="s">
        <v>2162</v>
      </c>
      <c r="B36" s="2460" t="s">
        <v>2163</v>
      </c>
      <c r="C36" s="153"/>
      <c r="D36" s="2461"/>
      <c r="E36" s="2462"/>
      <c r="F36" s="2463"/>
      <c r="G36" s="137"/>
      <c r="H36" s="137"/>
      <c r="I36" s="137"/>
    </row>
    <row r="37" spans="1:15" ht="15.75" thickBot="1">
      <c r="A37" s="3129"/>
      <c r="B37" s="2265" t="s">
        <v>2164</v>
      </c>
      <c r="C37" s="155"/>
      <c r="D37" s="1394"/>
      <c r="E37" s="1394"/>
      <c r="F37" s="2463"/>
      <c r="G37" s="137"/>
      <c r="H37" s="137"/>
      <c r="I37" s="137"/>
    </row>
    <row r="38" spans="1:15" ht="15.75" thickBot="1">
      <c r="A38" s="3130"/>
      <c r="B38" s="2464" t="s">
        <v>2165</v>
      </c>
      <c r="C38" s="726"/>
      <c r="D38" s="2465" t="s">
        <v>2166</v>
      </c>
      <c r="E38" s="1394"/>
      <c r="F38" s="2463"/>
      <c r="G38" s="137"/>
      <c r="H38" s="137"/>
      <c r="I38" s="137"/>
    </row>
    <row r="39" spans="1:15" ht="15">
      <c r="A39" s="2436" t="s">
        <v>2167</v>
      </c>
      <c r="B39" s="2466" t="s">
        <v>2168</v>
      </c>
      <c r="C39" s="2467" t="s">
        <v>2169</v>
      </c>
      <c r="D39" s="2467" t="s">
        <v>2170</v>
      </c>
      <c r="E39" s="2468" t="s">
        <v>2171</v>
      </c>
      <c r="F39" s="2463"/>
      <c r="G39" s="137"/>
      <c r="H39" s="137"/>
      <c r="I39" s="137"/>
    </row>
    <row r="40" spans="1:15" ht="14.25">
      <c r="A40" s="2469" t="s">
        <v>2172</v>
      </c>
      <c r="B40" s="157"/>
      <c r="C40" s="158"/>
      <c r="D40" s="158"/>
      <c r="E40" s="159"/>
      <c r="F40" s="2463"/>
      <c r="G40" s="137"/>
      <c r="H40" s="137"/>
      <c r="I40" s="137"/>
    </row>
    <row r="41" spans="1:15" ht="14.25">
      <c r="A41" s="2469" t="s">
        <v>2173</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4"/>
      <c r="B43" s="2164"/>
      <c r="C43" s="2164"/>
      <c r="D43" s="2164"/>
      <c r="E43" s="2164"/>
      <c r="F43" s="2471"/>
      <c r="G43" s="2471"/>
      <c r="H43" s="2471"/>
      <c r="I43" s="2472"/>
    </row>
    <row r="44" spans="1:15" ht="18.75">
      <c r="A44" s="2473" t="s">
        <v>2174</v>
      </c>
      <c r="B44" s="2474"/>
      <c r="C44" s="2474"/>
      <c r="D44" s="2475"/>
      <c r="E44" s="2475"/>
      <c r="F44" s="2476"/>
      <c r="G44" s="2476"/>
      <c r="H44" s="2476"/>
      <c r="I44" s="2476"/>
      <c r="J44" s="2477" t="s">
        <v>2175</v>
      </c>
      <c r="K44" s="2478"/>
      <c r="L44" s="2478"/>
      <c r="M44" s="2478"/>
      <c r="N44" s="2478"/>
      <c r="O44" s="2478"/>
    </row>
    <row r="45" spans="1:15" ht="14.25" customHeight="1" thickBot="1">
      <c r="A45" s="3145" t="s">
        <v>2176</v>
      </c>
      <c r="B45" s="3146"/>
      <c r="C45" s="3147"/>
      <c r="D45" s="163">
        <f ca="1">ROUND(H101*F45,0)</f>
        <v>1063</v>
      </c>
      <c r="E45" s="164" t="s">
        <v>2177</v>
      </c>
      <c r="F45" s="165">
        <v>1</v>
      </c>
      <c r="G45" s="166" t="s">
        <v>2178</v>
      </c>
      <c r="H45" s="137"/>
      <c r="I45" s="137"/>
      <c r="J45" s="3064" t="s">
        <v>2179</v>
      </c>
      <c r="K45" s="3064"/>
      <c r="L45" s="3064"/>
      <c r="M45" s="3064"/>
      <c r="N45" s="3064"/>
      <c r="O45" s="3064"/>
    </row>
    <row r="46" spans="1:15" ht="14.25" customHeight="1">
      <c r="A46" s="3142" t="s">
        <v>2180</v>
      </c>
      <c r="B46" s="3143"/>
      <c r="C46" s="3143"/>
      <c r="D46" s="3143"/>
      <c r="E46" s="3143"/>
      <c r="F46" s="3143"/>
      <c r="G46" s="3144"/>
      <c r="H46" s="2479"/>
      <c r="I46" s="167"/>
      <c r="J46" s="1811">
        <v>1</v>
      </c>
      <c r="K46" s="3064" t="s">
        <v>2181</v>
      </c>
      <c r="L46" s="3064"/>
      <c r="M46" s="3065"/>
      <c r="N46" s="3065"/>
      <c r="O46" s="3065"/>
    </row>
    <row r="47" spans="1:15" ht="12" customHeight="1">
      <c r="A47" s="168" t="s">
        <v>2182</v>
      </c>
      <c r="B47" s="169"/>
      <c r="C47" s="170"/>
      <c r="D47" s="171" t="s">
        <v>2183</v>
      </c>
      <c r="E47" s="24" t="s">
        <v>2184</v>
      </c>
      <c r="F47" s="172" t="s">
        <v>2185</v>
      </c>
      <c r="G47" s="173" t="s">
        <v>2186</v>
      </c>
      <c r="H47" s="2479"/>
      <c r="I47" s="167"/>
      <c r="J47" s="1811">
        <v>2</v>
      </c>
      <c r="K47" s="3064" t="s">
        <v>2187</v>
      </c>
      <c r="L47" s="3064"/>
      <c r="M47" s="3066">
        <f>'数据-取费表'!B2</f>
        <v>43405</v>
      </c>
      <c r="N47" s="3066"/>
      <c r="O47" s="3066"/>
    </row>
    <row r="48" spans="1:15" ht="25.5">
      <c r="A48" s="3132" t="s">
        <v>2188</v>
      </c>
      <c r="B48" s="3133"/>
      <c r="C48" s="3133"/>
      <c r="D48" s="139">
        <f>IF(H48="情况1",0,IF(H48="情况2",D52,IF(H48="情况3",D53,IF(H48="情况4",D54))))</f>
        <v>0</v>
      </c>
      <c r="E48" s="1800" t="str">
        <f>IF(H48="情况4","(销售额-原购置价)×税（费）率","销售额×税（费）率")</f>
        <v>销售额×税（费）率</v>
      </c>
      <c r="F48" s="174" t="str">
        <f>IF(H48="情况1","免征",'数据-取费表'!B41)</f>
        <v>免征</v>
      </c>
      <c r="G48" s="2480" t="s">
        <v>2189</v>
      </c>
      <c r="H48" s="2481" t="s">
        <v>2190</v>
      </c>
      <c r="I48" s="2479"/>
      <c r="J48" s="1811">
        <v>3</v>
      </c>
      <c r="K48" s="3064" t="s">
        <v>2191</v>
      </c>
      <c r="L48" s="3064"/>
      <c r="M48" s="3067">
        <f ca="1">H101</f>
        <v>1063</v>
      </c>
      <c r="N48" s="3067"/>
      <c r="O48" s="3067"/>
    </row>
    <row r="49" spans="1:35" ht="25.5" customHeight="1">
      <c r="A49" s="175" t="s">
        <v>2192</v>
      </c>
      <c r="B49" s="3112" t="s">
        <v>2193</v>
      </c>
      <c r="C49" s="3112"/>
      <c r="D49" s="176">
        <v>0</v>
      </c>
      <c r="E49" s="23" t="s">
        <v>2194</v>
      </c>
      <c r="F49" s="28" t="s">
        <v>34</v>
      </c>
      <c r="G49" s="3093"/>
      <c r="H49" s="137"/>
      <c r="I49" s="2482"/>
      <c r="J49" s="1811">
        <v>4</v>
      </c>
      <c r="K49" s="3064" t="str">
        <f>IF(项目基本情况!E8="房地产抵押价值","房地产抵押价值","抵押担保权已注销时的房地产抵押价值")</f>
        <v>房地产抵押价值</v>
      </c>
      <c r="L49" s="3064"/>
      <c r="M49" s="3067">
        <f ca="1">IF(项目基本情况!E8="房地产抵押价值",H107,H109)</f>
        <v>1063</v>
      </c>
      <c r="N49" s="3067"/>
      <c r="O49" s="3067"/>
    </row>
    <row r="50" spans="1:35" ht="25.5" customHeight="1">
      <c r="A50" s="177"/>
      <c r="B50" s="3112" t="s">
        <v>2195</v>
      </c>
      <c r="C50" s="3112"/>
      <c r="D50" s="178"/>
      <c r="E50" s="31"/>
      <c r="F50" s="179"/>
      <c r="G50" s="3094"/>
      <c r="H50" s="137"/>
      <c r="I50" s="2482"/>
      <c r="J50" s="3064" t="s">
        <v>2196</v>
      </c>
      <c r="K50" s="3064"/>
      <c r="L50" s="3064"/>
      <c r="M50" s="3064"/>
      <c r="N50" s="3064"/>
      <c r="O50" s="3064"/>
    </row>
    <row r="51" spans="1:35" ht="12" customHeight="1">
      <c r="A51" s="180"/>
      <c r="B51" s="3112" t="s">
        <v>2197</v>
      </c>
      <c r="C51" s="3112"/>
      <c r="D51" s="181"/>
      <c r="E51" s="30"/>
      <c r="F51" s="179"/>
      <c r="G51" s="3095"/>
      <c r="H51" s="137"/>
      <c r="I51" s="2482"/>
      <c r="J51" s="2483" t="s">
        <v>2198</v>
      </c>
      <c r="K51" s="3064" t="s">
        <v>2199</v>
      </c>
      <c r="L51" s="3064"/>
      <c r="M51" s="2483" t="s">
        <v>2200</v>
      </c>
      <c r="N51" s="2483" t="s">
        <v>2201</v>
      </c>
      <c r="O51" s="2483" t="s">
        <v>2202</v>
      </c>
    </row>
    <row r="52" spans="1:35" ht="24" customHeight="1">
      <c r="A52" s="182" t="s">
        <v>2203</v>
      </c>
      <c r="B52" s="3112" t="s">
        <v>2204</v>
      </c>
      <c r="C52" s="3112"/>
      <c r="D52" s="181">
        <f ca="1">ROUND(D45*'数据-取费表'!B41/(1+'数据-取费表'!C42),0)</f>
        <v>56</v>
      </c>
      <c r="E52" s="11" t="s">
        <v>2205</v>
      </c>
      <c r="F52" s="183">
        <f>'数据-取费表'!B41</f>
        <v>5.5000000000000007E-2</v>
      </c>
      <c r="G52" s="2484"/>
      <c r="H52" s="137"/>
      <c r="I52" s="2482"/>
      <c r="J52" s="1811">
        <v>1</v>
      </c>
      <c r="K52" s="3087" t="s">
        <v>2206</v>
      </c>
      <c r="L52" s="3087"/>
      <c r="M52" s="1753">
        <f>D48</f>
        <v>0</v>
      </c>
      <c r="N52" s="1811" t="str">
        <f>E48</f>
        <v>销售额×税（费）率</v>
      </c>
      <c r="O52" s="1754" t="str">
        <f>F48</f>
        <v>免征</v>
      </c>
    </row>
    <row r="53" spans="1:35" ht="12" customHeight="1">
      <c r="A53" s="182" t="s">
        <v>2207</v>
      </c>
      <c r="B53" s="3113" t="s">
        <v>2208</v>
      </c>
      <c r="C53" s="3114"/>
      <c r="D53" s="181">
        <f ca="1">ROUND(D45*'数据-取费表'!B41/(1+'数据-取费表'!C42),0)</f>
        <v>56</v>
      </c>
      <c r="E53" s="11" t="s">
        <v>2205</v>
      </c>
      <c r="F53" s="183">
        <f>'数据-取费表'!B41</f>
        <v>5.5000000000000007E-2</v>
      </c>
      <c r="G53" s="2484"/>
      <c r="H53" s="137"/>
      <c r="I53" s="2482"/>
      <c r="J53" s="1811">
        <v>2</v>
      </c>
      <c r="K53" s="3087" t="s">
        <v>2209</v>
      </c>
      <c r="L53" s="3087"/>
      <c r="M53" s="1753">
        <f t="shared" ref="M53:O54" ca="1" si="0">D55</f>
        <v>1</v>
      </c>
      <c r="N53" s="1811" t="str">
        <f t="shared" si="0"/>
        <v>销售额×税（费）率</v>
      </c>
      <c r="O53" s="1754">
        <f t="shared" si="0"/>
        <v>5.0000000000000001E-4</v>
      </c>
    </row>
    <row r="54" spans="1:35" ht="12" customHeight="1">
      <c r="A54" s="182" t="s">
        <v>2210</v>
      </c>
      <c r="B54" s="3113" t="s">
        <v>2211</v>
      </c>
      <c r="C54" s="3114"/>
      <c r="D54" s="181">
        <f ca="1">C68</f>
        <v>56</v>
      </c>
      <c r="E54" s="30" t="s">
        <v>2212</v>
      </c>
      <c r="F54" s="183">
        <f>'数据-取费表'!B41</f>
        <v>5.5000000000000007E-2</v>
      </c>
      <c r="G54" s="2484"/>
      <c r="H54" s="2485"/>
      <c r="I54" s="2482"/>
      <c r="J54" s="1811">
        <v>3</v>
      </c>
      <c r="K54" s="3087" t="s">
        <v>2213</v>
      </c>
      <c r="L54" s="3087"/>
      <c r="M54" s="1753">
        <f t="shared" ca="1" si="0"/>
        <v>602</v>
      </c>
      <c r="N54" s="1811" t="str">
        <f t="shared" si="0"/>
        <v>增值额×税（费）率</v>
      </c>
      <c r="O54" s="1755" t="str">
        <f t="shared" si="0"/>
        <v>——</v>
      </c>
    </row>
    <row r="55" spans="1:35" ht="24" customHeight="1">
      <c r="A55" s="3151" t="s">
        <v>2214</v>
      </c>
      <c r="B55" s="3133"/>
      <c r="C55" s="3133"/>
      <c r="D55" s="184">
        <f ca="1">IF(H55="个人住宅",0,ROUND(D45*I55,0))</f>
        <v>1</v>
      </c>
      <c r="E55" s="11" t="s">
        <v>2215</v>
      </c>
      <c r="F55" s="183">
        <f>IF(H55="正常",I55,"免征")</f>
        <v>5.0000000000000001E-4</v>
      </c>
      <c r="G55" s="2484"/>
      <c r="H55" s="2481" t="s">
        <v>2216</v>
      </c>
      <c r="I55" s="185">
        <f>'数据-取费表'!B49</f>
        <v>5.0000000000000001E-4</v>
      </c>
      <c r="J55" s="1811" t="str">
        <f>IF(H59="非个人房产","",4)</f>
        <v/>
      </c>
      <c r="K55" s="3087" t="str">
        <f>IF(H59="非个人房产","——","个人所得税")</f>
        <v>——</v>
      </c>
      <c r="L55" s="3087"/>
      <c r="M55" s="1756" t="str">
        <f>D59</f>
        <v>——</v>
      </c>
      <c r="N55" s="1809" t="str">
        <f>E59</f>
        <v>——</v>
      </c>
      <c r="O55" s="1757" t="str">
        <f>F59</f>
        <v>——</v>
      </c>
    </row>
    <row r="56" spans="1:35" ht="24.75">
      <c r="A56" s="3151" t="s">
        <v>2217</v>
      </c>
      <c r="B56" s="3133"/>
      <c r="C56" s="3133"/>
      <c r="D56" s="184">
        <f ca="1">IF(H56="个人住宅",D57,D58)</f>
        <v>602</v>
      </c>
      <c r="E56" s="11" t="s">
        <v>2218</v>
      </c>
      <c r="F56" s="183" t="str">
        <f>IF(H56="正常",F58,"免征")</f>
        <v>——</v>
      </c>
      <c r="G56" s="2486" t="s">
        <v>2219</v>
      </c>
      <c r="H56" s="2487" t="s">
        <v>2216</v>
      </c>
      <c r="I56" s="2488"/>
      <c r="J56" s="1811" t="str">
        <f>IF(项目基本情况!K6="上海银行",IF(J55="",4,J55+1),"")</f>
        <v/>
      </c>
      <c r="K56" s="3070" t="str">
        <f>IF(项目基本情况!K6="上海银行","其他处置费用","")</f>
        <v/>
      </c>
      <c r="L56" s="3071"/>
      <c r="M56" s="1753" t="str">
        <f>IF(项目基本情况!K6="上海银行",M69,"")</f>
        <v/>
      </c>
      <c r="N56" s="3073" t="str">
        <f>IF(项目基本情况!K6="上海银行","包含处置中涉及的律师、诉讼、拍卖、评估等费用","")</f>
        <v/>
      </c>
      <c r="O56" s="3074"/>
    </row>
    <row r="57" spans="1:35" ht="12.75">
      <c r="A57" s="182" t="s">
        <v>2192</v>
      </c>
      <c r="B57" s="3118" t="s">
        <v>2220</v>
      </c>
      <c r="C57" s="3119"/>
      <c r="D57" s="186">
        <v>0</v>
      </c>
      <c r="E57" s="23" t="s">
        <v>2194</v>
      </c>
      <c r="F57" s="154"/>
      <c r="G57" s="2484"/>
      <c r="H57" s="2488"/>
      <c r="I57" s="2488"/>
      <c r="J57" s="3087">
        <f>IF(AND(J55="",J56=""),4,IF(项目基本情况!K6="上海银行",结果表!J56+1,结果表!J55+1))</f>
        <v>4</v>
      </c>
      <c r="K57" s="3087" t="s">
        <v>2221</v>
      </c>
      <c r="L57" s="2489" t="s">
        <v>2222</v>
      </c>
      <c r="M57" s="1758"/>
      <c r="N57" s="1759">
        <f ca="1">SUMIF(M52:M56,"&lt;9e307")</f>
        <v>603</v>
      </c>
      <c r="O57" s="2490"/>
      <c r="P57" s="1752">
        <f ca="1">N57/M49</f>
        <v>0.56726246472248354</v>
      </c>
    </row>
    <row r="58" spans="1:35" ht="24.75">
      <c r="A58" s="182" t="s">
        <v>2203</v>
      </c>
      <c r="B58" s="3118" t="s">
        <v>2223</v>
      </c>
      <c r="C58" s="3131"/>
      <c r="D58" s="184">
        <f ca="1">IF(H58="转让取得",C81,C97)</f>
        <v>602</v>
      </c>
      <c r="E58" s="11" t="s">
        <v>2218</v>
      </c>
      <c r="F58" s="24" t="s">
        <v>34</v>
      </c>
      <c r="G58" s="2484"/>
      <c r="H58" s="2487" t="s">
        <v>2224</v>
      </c>
      <c r="I58" s="2488"/>
      <c r="J58" s="3087"/>
      <c r="K58" s="3087"/>
      <c r="L58" s="2489" t="s">
        <v>2225</v>
      </c>
      <c r="M58" s="1760"/>
      <c r="N58" s="2491" t="str">
        <f ca="1">NUMBERSTRING(INT(N57*10000),2)&amp;"元整"</f>
        <v>陆佰零叁万元整</v>
      </c>
      <c r="O58" s="2492"/>
    </row>
    <row r="59" spans="1:35" ht="24.75" thickBot="1">
      <c r="A59" s="3091" t="s">
        <v>2226</v>
      </c>
      <c r="B59" s="3092"/>
      <c r="C59" s="3092"/>
      <c r="D59" s="187" t="str">
        <f>IF(H59="非个人房产","——",IF(H59="个人住宅",0,ROUND(D45*I59,0)))</f>
        <v>——</v>
      </c>
      <c r="E59" s="188" t="str">
        <f>IF(H59="非个人房产","——","销售额×税（费）率")</f>
        <v>——</v>
      </c>
      <c r="F59" s="189" t="str">
        <f>IF(H59="非个人房产","——",IF(H59="个人住宅","免征",I59))</f>
        <v>——</v>
      </c>
      <c r="G59" s="2493" t="s">
        <v>2219</v>
      </c>
      <c r="H59" s="2487" t="s">
        <v>2227</v>
      </c>
      <c r="I59" s="190">
        <v>0.01</v>
      </c>
      <c r="J59" s="3089">
        <f>J57+1</f>
        <v>5</v>
      </c>
      <c r="K59" s="3087" t="s">
        <v>2228</v>
      </c>
      <c r="L59" s="1811" t="s">
        <v>2222</v>
      </c>
      <c r="M59" s="1761"/>
      <c r="N59" s="1762">
        <f ca="1">M49-N57</f>
        <v>460</v>
      </c>
      <c r="O59" s="2494"/>
    </row>
    <row r="60" spans="1:35" ht="12" customHeight="1">
      <c r="A60" s="2495"/>
      <c r="B60" s="2417"/>
      <c r="C60" s="2417"/>
      <c r="D60" s="2417"/>
      <c r="E60" s="2165"/>
      <c r="F60" s="2488"/>
      <c r="G60" s="2488"/>
      <c r="H60" s="2496"/>
      <c r="I60" s="137"/>
      <c r="J60" s="3090"/>
      <c r="K60" s="3087"/>
      <c r="L60" s="2489" t="s">
        <v>2225</v>
      </c>
      <c r="M60" s="1760"/>
      <c r="N60" s="2491" t="str">
        <f ca="1">NUMBERSTRING(INT(N59*10000),2)&amp;"元整"</f>
        <v>肆佰陆拾万元整</v>
      </c>
      <c r="O60" s="2492"/>
    </row>
    <row r="61" spans="1:35" ht="13.5" thickBot="1">
      <c r="A61" s="3150" t="s">
        <v>2229</v>
      </c>
      <c r="B61" s="3150"/>
      <c r="C61" s="3150"/>
      <c r="D61" s="3150"/>
      <c r="E61" s="3150"/>
      <c r="F61" s="2488"/>
      <c r="G61" s="2488"/>
      <c r="H61" s="2496"/>
      <c r="I61" s="137"/>
      <c r="J61" s="1811">
        <f>J59+1</f>
        <v>6</v>
      </c>
      <c r="K61" s="3087" t="s">
        <v>2230</v>
      </c>
      <c r="L61" s="3087"/>
      <c r="M61" s="1763"/>
      <c r="N61" s="1764">
        <f ca="1">ROUND(N59*10000/'数据-汇总表'!E3,0)</f>
        <v>148</v>
      </c>
      <c r="O61" s="2497"/>
    </row>
    <row r="62" spans="1:35" ht="12.75">
      <c r="A62" s="3107" t="s">
        <v>2231</v>
      </c>
      <c r="B62" s="3108"/>
      <c r="C62" s="1803"/>
      <c r="D62" s="1803" t="s">
        <v>2232</v>
      </c>
      <c r="E62" s="191" t="s">
        <v>2233</v>
      </c>
      <c r="F62" s="2488"/>
      <c r="G62" s="2488"/>
      <c r="H62" s="2496"/>
      <c r="I62" s="137"/>
    </row>
    <row r="63" spans="1:35" ht="12.75">
      <c r="A63" s="202" t="s">
        <v>775</v>
      </c>
      <c r="B63" s="192" t="s">
        <v>2234</v>
      </c>
      <c r="C63" s="193">
        <f ca="1">ROUND((C64+C65)/(1+'数据-取费表'!C42),0)</f>
        <v>1012</v>
      </c>
      <c r="D63" s="194"/>
      <c r="E63" s="195"/>
      <c r="F63" s="2488"/>
      <c r="G63" s="2488"/>
      <c r="H63" s="2496"/>
      <c r="I63" s="137"/>
      <c r="J63" s="3072" t="s">
        <v>2235</v>
      </c>
      <c r="K63" s="2498" t="s">
        <v>2236</v>
      </c>
      <c r="L63" s="1751">
        <f ca="1">IF(M49&gt;10000,M49*0.5%,IF(AND(M49&gt;1000,M49&lt;=10000),M49*1%,IF(AND(M49&gt;100,M49&lt;=1000),M49*3%,IF(AND(M49&gt;10,M49&lt;=100),M49*5%,M49*8%))))</f>
        <v>10.63</v>
      </c>
      <c r="M63" s="24">
        <f ca="1">ROUND(L63,1)</f>
        <v>10.6</v>
      </c>
      <c r="Z63" s="2422"/>
      <c r="AI63" s="2423"/>
    </row>
    <row r="64" spans="1:35" ht="14.25" customHeight="1">
      <c r="A64" s="196" t="s">
        <v>770</v>
      </c>
      <c r="B64" s="197" t="s">
        <v>2237</v>
      </c>
      <c r="C64" s="198">
        <f ca="1">D45</f>
        <v>1063</v>
      </c>
      <c r="D64" s="199" t="s">
        <v>32</v>
      </c>
      <c r="E64" s="200"/>
      <c r="F64" s="2488"/>
      <c r="G64" s="2488"/>
      <c r="H64" s="2496"/>
      <c r="I64" s="137"/>
      <c r="J64" s="3072"/>
      <c r="K64" s="2498" t="s">
        <v>2238</v>
      </c>
      <c r="L64" s="1751">
        <f ca="1">IF(M49&gt;2000,M49*0.5%,IF(AND(M49&gt;1000,M49&lt;=2000),M49*0.6%,IF(AND(M49&gt;500,M49&lt;=1000),M49*0.7%,IF(AND(M49&gt;200,M49&lt;=500),M49*0.8%,IF(AND(M49&gt;100,M49&lt;=200),M49*0.9%,IF(AND(M49&gt;50,M49&lt;=100),M49*1%,IF(AND(M49&gt;20,M49&lt;=50),M49*1.5%,IF(AND(M49&gt;10,M49&lt;=20),M49*2%,IF(AND(M49&gt;1,M49&lt;=10),M49*2.5%)))))))))</f>
        <v>6.3780000000000001</v>
      </c>
      <c r="M64" s="24">
        <f t="shared" ref="M64:M65" ca="1" si="1">ROUND(L64,1)</f>
        <v>6.4</v>
      </c>
      <c r="N64" s="137" t="s">
        <v>2239</v>
      </c>
      <c r="Z64" s="2422"/>
      <c r="AI64" s="2423"/>
    </row>
    <row r="65" spans="1:35" ht="14.25" customHeight="1">
      <c r="A65" s="196" t="s">
        <v>771</v>
      </c>
      <c r="B65" s="197" t="s">
        <v>2240</v>
      </c>
      <c r="C65" s="201"/>
      <c r="D65" s="199"/>
      <c r="E65" s="200"/>
      <c r="F65" s="2488"/>
      <c r="G65" s="2488"/>
      <c r="H65" s="2496"/>
      <c r="I65" s="137"/>
      <c r="J65" s="3072"/>
      <c r="K65" s="2498" t="s">
        <v>2241</v>
      </c>
      <c r="L65" s="1751">
        <f ca="1">IF(M49&gt;1000,M49*0.1%,IF(AND(M49&gt;500,M49&lt;=1000),M49*0.5%,IF(AND(M49&gt;50,M49&lt;=500),M49*1%,IF(AND(M49&gt;1,M49&lt;=50),M49*1.5%))))</f>
        <v>1.0629999999999999</v>
      </c>
      <c r="M65" s="24">
        <f t="shared" ca="1" si="1"/>
        <v>1.1000000000000001</v>
      </c>
      <c r="N65" s="137" t="s">
        <v>2239</v>
      </c>
      <c r="Z65" s="2422"/>
      <c r="AI65" s="2423"/>
    </row>
    <row r="66" spans="1:35" ht="14.25" customHeight="1">
      <c r="A66" s="202" t="s">
        <v>772</v>
      </c>
      <c r="B66" s="203" t="s">
        <v>2242</v>
      </c>
      <c r="C66" s="204"/>
      <c r="D66" s="205" t="s">
        <v>32</v>
      </c>
      <c r="E66" s="1775" t="s">
        <v>1367</v>
      </c>
      <c r="F66" s="2488"/>
      <c r="G66" s="2488"/>
      <c r="H66" s="2496"/>
      <c r="I66" s="137"/>
      <c r="J66" s="3072"/>
      <c r="K66" s="2498" t="s">
        <v>2243</v>
      </c>
      <c r="L66" s="1751">
        <f ca="1">M49*0.5%</f>
        <v>5.3150000000000004</v>
      </c>
      <c r="M66" s="24">
        <f ca="1">IF(L66&gt;0.5,0.5,ROUND(L66,0))</f>
        <v>0.5</v>
      </c>
      <c r="N66" s="137" t="s">
        <v>2244</v>
      </c>
      <c r="Z66" s="2422"/>
      <c r="AI66" s="2423"/>
    </row>
    <row r="67" spans="1:35" ht="14.25" customHeight="1">
      <c r="A67" s="202" t="s">
        <v>773</v>
      </c>
      <c r="B67" s="203" t="s">
        <v>2245</v>
      </c>
      <c r="C67" s="206">
        <f ca="1">C63-C66</f>
        <v>1012</v>
      </c>
      <c r="D67" s="199" t="s">
        <v>32</v>
      </c>
      <c r="E67" s="200"/>
      <c r="F67" s="2488"/>
      <c r="G67" s="2488"/>
      <c r="H67" s="2496"/>
      <c r="I67" s="137"/>
      <c r="J67" s="3072"/>
      <c r="K67" s="2498" t="s">
        <v>2246</v>
      </c>
      <c r="L67" s="1751">
        <f ca="1">IF(M49&gt;=10000,(8.25+(M49-10000)*0.01%),IF(AND(M49&gt;=8000,M49&lt;10000),(7.85+(M49-8000)*0.02%),IF(AND(M49&gt;=5000,M49&lt;8000),(6.65+(M49-5000)*0.04%),IF(AND(M49&gt;=2000,M49&lt;5000),(4.25+(PM49-2000)*0.08%),IF(AND(M49&gt;=1000,M49&lt;2000),(2.75+(M49-1000)*0.15%),IF(AND(M49&gt;=100,M49&lt;1000),(0.5+(M49-100)*0.25%),IF(AND(M49&gt;0,M49&lt;100),M49*0.5%)))))))</f>
        <v>2.8445</v>
      </c>
      <c r="M67" s="24">
        <f ca="1">ROUND(L67*0.9,1)</f>
        <v>2.6</v>
      </c>
      <c r="Z67" s="2422"/>
      <c r="AI67" s="2423"/>
    </row>
    <row r="68" spans="1:35" ht="14.25" customHeight="1" thickBot="1">
      <c r="A68" s="207" t="s">
        <v>774</v>
      </c>
      <c r="B68" s="208" t="s">
        <v>2247</v>
      </c>
      <c r="C68" s="209">
        <f ca="1">IF(C67&lt;=0,0,ROUND(C67*D68,0))</f>
        <v>56</v>
      </c>
      <c r="D68" s="210">
        <f>'数据-取费表'!B41</f>
        <v>5.5000000000000007E-2</v>
      </c>
      <c r="E68" s="211"/>
      <c r="F68" s="2488"/>
      <c r="G68" s="2488"/>
      <c r="H68" s="2496"/>
      <c r="I68" s="137"/>
      <c r="J68" s="3072"/>
      <c r="K68" s="2498" t="s">
        <v>2248</v>
      </c>
      <c r="L68" s="1751">
        <f ca="1">IF(M49&gt;10000,M49*0.5%,IF(AND(M49&gt;5000,M49&lt;=10000),M49*1%,IF(AND(M49&gt;1000,M49&lt;=5000),M49*2%,IF(AND(M49&gt;200,M49&lt;=1000),M49*3%,M49*5%))))</f>
        <v>21.26</v>
      </c>
      <c r="M68" s="24">
        <f ca="1">ROUND(L68,1)</f>
        <v>21.3</v>
      </c>
      <c r="Z68" s="2422"/>
      <c r="AI68" s="2423"/>
    </row>
    <row r="69" spans="1:35" s="2445" customFormat="1" ht="16.5" customHeight="1">
      <c r="A69" s="2499"/>
      <c r="B69" s="2500"/>
      <c r="C69" s="2501"/>
      <c r="D69" s="2502"/>
      <c r="E69" s="2503"/>
      <c r="F69" s="2165"/>
      <c r="G69" s="2165"/>
      <c r="H69" s="2164"/>
      <c r="I69" s="2417"/>
      <c r="J69" s="3072"/>
      <c r="K69" s="2498" t="s">
        <v>2249</v>
      </c>
      <c r="L69" s="2504"/>
      <c r="M69" s="24">
        <f ca="1">ROUND(SUM(M63:M68),0)</f>
        <v>43</v>
      </c>
      <c r="N69" s="1752">
        <f ca="1">M69/M49</f>
        <v>4.0451552210724363E-2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16" t="s">
        <v>2250</v>
      </c>
      <c r="B70" s="3117"/>
      <c r="C70" s="3117"/>
      <c r="D70" s="3117"/>
      <c r="E70" s="3117"/>
      <c r="F70" s="3117"/>
      <c r="G70" s="3117"/>
      <c r="H70" s="3117"/>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7" t="s">
        <v>2231</v>
      </c>
      <c r="B71" s="3108"/>
      <c r="C71" s="1803"/>
      <c r="D71" s="1803" t="s">
        <v>2232</v>
      </c>
      <c r="E71" s="212" t="s">
        <v>2233</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2251</v>
      </c>
      <c r="C72" s="206">
        <f ca="1">ROUND(D45/(1+'数据-取费表'!C42),0)</f>
        <v>1012</v>
      </c>
      <c r="D72" s="199" t="s">
        <v>32</v>
      </c>
      <c r="E72" s="1802"/>
      <c r="F72" s="1796"/>
      <c r="G72" s="1796"/>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2252</v>
      </c>
      <c r="C73" s="206">
        <f ca="1">C74+C78</f>
        <v>5</v>
      </c>
      <c r="D73" s="199" t="s">
        <v>32</v>
      </c>
      <c r="E73" s="1802"/>
      <c r="F73" s="1796"/>
      <c r="G73" s="1796"/>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2253</v>
      </c>
      <c r="C74" s="199">
        <f>ROUND(IF(G77="2016年5月1日后购买",C75/(1+'数据-取费表'!C42)+C76+C77,C75+C76+C77),0)</f>
        <v>0</v>
      </c>
      <c r="D74" s="199" t="s">
        <v>32</v>
      </c>
      <c r="E74" s="1802"/>
      <c r="F74" s="1796"/>
      <c r="G74" s="1796"/>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2254</v>
      </c>
      <c r="C75" s="217"/>
      <c r="D75" s="199" t="s">
        <v>32</v>
      </c>
      <c r="E75" s="218" t="s">
        <v>2255</v>
      </c>
      <c r="F75" s="2510" t="s">
        <v>2256</v>
      </c>
      <c r="G75" s="218" t="s">
        <v>2257</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2258</v>
      </c>
      <c r="C76" s="199">
        <f>IF(F75="购房发票",ROUND(C75*H75*D76,0),0)</f>
        <v>0</v>
      </c>
      <c r="D76" s="221">
        <v>0.05</v>
      </c>
      <c r="E76" s="3113" t="s">
        <v>2259</v>
      </c>
      <c r="F76" s="3112"/>
      <c r="G76" s="3112"/>
      <c r="H76" s="3115"/>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2260</v>
      </c>
      <c r="C77" s="199">
        <f>ROUND(IF(G77="个人住宅",0,IF(G77="2016年5月1日前购买",C75*D77,C75*D77/(1+'数据-取费表'!C42))),0)</f>
        <v>0</v>
      </c>
      <c r="D77" s="222">
        <f>'数据-取费表'!B48+'数据-取费表'!B49</f>
        <v>3.0499999999999999E-2</v>
      </c>
      <c r="E77" s="15" t="s">
        <v>2261</v>
      </c>
      <c r="F77" s="223"/>
      <c r="G77" s="2512" t="s">
        <v>2262</v>
      </c>
      <c r="H77" s="1807" t="str">
        <f>IF(G77="个人买卖住房","免征印花税"," ")</f>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2263</v>
      </c>
      <c r="C78" s="224">
        <f ca="1">ROUND(D45*D78/(1+'数据-取费表'!C42),0)</f>
        <v>5</v>
      </c>
      <c r="D78" s="225">
        <f>'数据-取费表'!B43</f>
        <v>5.000000000000001E-3</v>
      </c>
      <c r="E78" s="3104" t="s">
        <v>2264</v>
      </c>
      <c r="F78" s="3105"/>
      <c r="G78" s="3105"/>
      <c r="H78" s="3106"/>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2265</v>
      </c>
      <c r="C79" s="206">
        <f ca="1">C72-C73</f>
        <v>1007</v>
      </c>
      <c r="D79" s="199" t="s">
        <v>32</v>
      </c>
      <c r="E79" s="1802"/>
      <c r="F79" s="1796"/>
      <c r="G79" s="1796"/>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2266</v>
      </c>
      <c r="C80" s="226">
        <f ca="1">IF(C79&lt;=0,0,C79/C73)</f>
        <v>201.4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2267</v>
      </c>
      <c r="C81" s="227">
        <f ca="1">ROUND(IF(C79&lt;=0,0,IF(C80&gt;=200%,C79*60%-C73*35%,IF(C80&gt;=100%,C79*50%-C73*15%,IF(C80&gt;=50%,C79*40%-C73*5%,IF(C80&lt;50%,C79*30%,0))))),0)</f>
        <v>602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6" t="s">
        <v>2268</v>
      </c>
      <c r="B83" s="3117"/>
      <c r="C83" s="3117"/>
      <c r="D83" s="3117"/>
      <c r="E83" s="3117"/>
      <c r="F83" s="3117"/>
      <c r="G83" s="3117"/>
      <c r="H83" s="3117"/>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7" t="s">
        <v>2231</v>
      </c>
      <c r="B84" s="3108"/>
      <c r="C84" s="1803"/>
      <c r="D84" s="1803" t="s">
        <v>2232</v>
      </c>
      <c r="E84" s="212" t="s">
        <v>2233</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2251</v>
      </c>
      <c r="C85" s="206">
        <f ca="1">ROUND(D45/(1+'数据-取费表'!C42),0)</f>
        <v>1012</v>
      </c>
      <c r="D85" s="199" t="s">
        <v>32</v>
      </c>
      <c r="E85" s="1802"/>
      <c r="F85" s="1796"/>
      <c r="G85" s="1796"/>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2252</v>
      </c>
      <c r="C86" s="206">
        <f ca="1">IF(H88="仅含出让金",C87+C90+C91+C92+C93+C94,C87+C91+C92+C93+C94)</f>
        <v>5</v>
      </c>
      <c r="D86" s="234"/>
      <c r="E86" s="1802"/>
      <c r="F86" s="1796"/>
      <c r="G86" s="1796"/>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2269</v>
      </c>
      <c r="C87" s="224">
        <f>C88+C89</f>
        <v>0</v>
      </c>
      <c r="D87" s="225"/>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2270</v>
      </c>
      <c r="C88" s="235"/>
      <c r="D88" s="225"/>
      <c r="E88" s="236" t="s">
        <v>2271</v>
      </c>
      <c r="F88" s="1799"/>
      <c r="G88" s="237" t="s">
        <v>2272</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2260</v>
      </c>
      <c r="C89" s="224">
        <f>ROUND(C88*D89,0)</f>
        <v>0</v>
      </c>
      <c r="D89" s="225">
        <f>'数据-取费表'!B48+'数据-取费表'!B49</f>
        <v>3.0499999999999999E-2</v>
      </c>
      <c r="E89" s="236" t="s">
        <v>2273</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2274</v>
      </c>
      <c r="C90" s="235"/>
      <c r="D90" s="225"/>
      <c r="E90" s="236" t="str">
        <f>IF(H88="-","土地取得成本中已包含该笔费用"," ")</f>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2275</v>
      </c>
      <c r="B91" s="197" t="s">
        <v>2276</v>
      </c>
      <c r="C91" s="224">
        <f>IF(H91="——",成本法!C33,I91)</f>
        <v>0</v>
      </c>
      <c r="D91" s="225"/>
      <c r="E91" s="3104" t="s">
        <v>2277</v>
      </c>
      <c r="F91" s="3105"/>
      <c r="G91" s="3105"/>
      <c r="H91" s="2517" t="s">
        <v>2278</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2279</v>
      </c>
      <c r="B92" s="197" t="s">
        <v>2280</v>
      </c>
      <c r="C92" s="224">
        <f>ROUND((C87+C90+C91)*D92,0)</f>
        <v>0</v>
      </c>
      <c r="D92" s="225">
        <v>0.1</v>
      </c>
      <c r="E92" s="3104" t="s">
        <v>2281</v>
      </c>
      <c r="F92" s="3105"/>
      <c r="G92" s="3105"/>
      <c r="H92" s="3106"/>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2282</v>
      </c>
      <c r="B93" s="197" t="s">
        <v>2263</v>
      </c>
      <c r="C93" s="224">
        <f ca="1">ROUND(D45*D93/(1+'数据-取费表'!C42),0)</f>
        <v>5</v>
      </c>
      <c r="D93" s="225">
        <f>'数据-取费表'!B43</f>
        <v>5.000000000000001E-3</v>
      </c>
      <c r="E93" s="3104" t="s">
        <v>2264</v>
      </c>
      <c r="F93" s="3105"/>
      <c r="G93" s="3105"/>
      <c r="H93" s="3106"/>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2283</v>
      </c>
      <c r="B94" s="197" t="s">
        <v>2284</v>
      </c>
      <c r="C94" s="235">
        <f>ROUND((C87+C90+C91)*D94,0)</f>
        <v>0</v>
      </c>
      <c r="D94" s="225">
        <v>0.2</v>
      </c>
      <c r="E94" s="3152" t="s">
        <v>2285</v>
      </c>
      <c r="F94" s="3153"/>
      <c r="G94" s="3153"/>
      <c r="H94" s="3154"/>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2265</v>
      </c>
      <c r="C95" s="206">
        <f ca="1">ROUND(C85-C86,0)</f>
        <v>1007</v>
      </c>
      <c r="D95" s="199" t="s">
        <v>32</v>
      </c>
      <c r="E95" s="1802"/>
      <c r="F95" s="1796"/>
      <c r="G95" s="1796"/>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2266</v>
      </c>
      <c r="C96" s="226">
        <f ca="1">IF(C95&lt;=0,0,C95/C86)</f>
        <v>201.4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2267</v>
      </c>
      <c r="C97" s="227">
        <f ca="1">ROUND(IF(C95&lt;=0,0,IF(C96&gt;=200%,C95*60%-C86*35%,IF(C96&gt;=100%,C95*50%-C86*15%,IF(C96&gt;=50%,C95*40%-C86*5%,IF(C96&lt;50%,C95*30%,0))))),0)</f>
        <v>602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7"/>
    </row>
    <row r="99" spans="1:35" ht="21.75" customHeight="1" thickBot="1">
      <c r="A99" s="2473" t="s">
        <v>2286</v>
      </c>
      <c r="B99" s="2417"/>
      <c r="C99" s="2417"/>
      <c r="D99" s="2417"/>
      <c r="E99" s="2165"/>
      <c r="F99" s="2165"/>
      <c r="G99" s="2165"/>
      <c r="H99" s="2164"/>
      <c r="I99" s="137"/>
    </row>
    <row r="100" spans="1:35" ht="18.75" customHeight="1">
      <c r="A100" s="3056" t="s">
        <v>2287</v>
      </c>
      <c r="B100" s="3057"/>
      <c r="C100" s="3057"/>
      <c r="D100" s="3088"/>
      <c r="E100" s="3057" t="s">
        <v>2288</v>
      </c>
      <c r="F100" s="3057"/>
      <c r="G100" s="3057"/>
      <c r="H100" s="3088"/>
      <c r="I100" s="137"/>
    </row>
    <row r="101" spans="1:35" ht="18.75" customHeight="1">
      <c r="A101" s="3096" t="s">
        <v>2289</v>
      </c>
      <c r="B101" s="3097"/>
      <c r="C101" s="735" t="str">
        <f>C4</f>
        <v>比较法-商业</v>
      </c>
      <c r="D101" s="736" t="str">
        <f>D4</f>
        <v>收益法</v>
      </c>
      <c r="E101" s="3068" t="s">
        <v>2290</v>
      </c>
      <c r="F101" s="3069"/>
      <c r="G101" s="2519" t="s">
        <v>2291</v>
      </c>
      <c r="H101" s="1047">
        <f ca="1">H118</f>
        <v>1063</v>
      </c>
      <c r="I101" s="137"/>
    </row>
    <row r="102" spans="1:35" ht="18.75" customHeight="1">
      <c r="A102" s="3098" t="s">
        <v>2292</v>
      </c>
      <c r="B102" s="2519" t="s">
        <v>2291</v>
      </c>
      <c r="C102" s="735">
        <f ca="1">C19</f>
        <v>1121</v>
      </c>
      <c r="D102" s="736">
        <f ca="1">D19</f>
        <v>977</v>
      </c>
      <c r="E102" s="3068"/>
      <c r="F102" s="3069"/>
      <c r="G102" s="2519" t="s">
        <v>2293</v>
      </c>
      <c r="H102" s="370">
        <f ca="1">I118</f>
        <v>341</v>
      </c>
      <c r="I102" s="137"/>
    </row>
    <row r="103" spans="1:35" ht="42.75" customHeight="1">
      <c r="A103" s="3098"/>
      <c r="B103" s="2519" t="s">
        <v>2293</v>
      </c>
      <c r="C103" s="737">
        <f ca="1">C20</f>
        <v>38923</v>
      </c>
      <c r="D103" s="738">
        <f ca="1">D20</f>
        <v>33932</v>
      </c>
      <c r="E103" s="3062" t="s">
        <v>2294</v>
      </c>
      <c r="F103" s="3063"/>
      <c r="G103" s="2520" t="s">
        <v>2295</v>
      </c>
      <c r="H103" s="1047">
        <f>IF(D36="正常操作",H104+H105+H106,H105+H106)</f>
        <v>0</v>
      </c>
      <c r="I103" s="137"/>
    </row>
    <row r="104" spans="1:35" ht="18.75" customHeight="1">
      <c r="A104" s="3098" t="s">
        <v>2296</v>
      </c>
      <c r="B104" s="2521" t="s">
        <v>2291</v>
      </c>
      <c r="C104" s="739">
        <f ca="1">H118</f>
        <v>1063</v>
      </c>
      <c r="D104" s="740"/>
      <c r="E104" s="2265" t="s">
        <v>2297</v>
      </c>
      <c r="F104" s="2257"/>
      <c r="G104" s="2520" t="s">
        <v>2295</v>
      </c>
      <c r="H104" s="1048">
        <f>IF(D36="同一抵押权人同一抵押物续贷",C36&amp;"（未扣减，详见特别提示）",C36)</f>
        <v>0</v>
      </c>
      <c r="I104" s="137"/>
    </row>
    <row r="105" spans="1:35" ht="18.75" customHeight="1" thickBot="1">
      <c r="A105" s="3110"/>
      <c r="B105" s="2522" t="s">
        <v>2293</v>
      </c>
      <c r="C105" s="741">
        <f ca="1">I118</f>
        <v>341</v>
      </c>
      <c r="D105" s="742"/>
      <c r="E105" s="2265" t="s">
        <v>2298</v>
      </c>
      <c r="F105" s="2257"/>
      <c r="G105" s="2520" t="s">
        <v>2295</v>
      </c>
      <c r="H105" s="1048">
        <f>C37</f>
        <v>0</v>
      </c>
      <c r="I105" s="137"/>
    </row>
    <row r="106" spans="1:35" ht="18.75" customHeight="1">
      <c r="A106" s="2417" t="s">
        <v>2299</v>
      </c>
      <c r="B106" s="2417"/>
      <c r="C106" s="2417"/>
      <c r="D106" s="2417"/>
      <c r="E106" s="2523" t="s">
        <v>2300</v>
      </c>
      <c r="F106" s="2257"/>
      <c r="G106" s="2520" t="s">
        <v>2295</v>
      </c>
      <c r="H106" s="1048">
        <f>C38</f>
        <v>0</v>
      </c>
      <c r="I106" s="137"/>
    </row>
    <row r="107" spans="1:35" ht="18.75" customHeight="1">
      <c r="A107" s="137"/>
      <c r="B107" s="137"/>
      <c r="C107" s="137"/>
      <c r="D107" s="137"/>
      <c r="E107" s="3099" t="str">
        <f>IF(项目基本情况!E8="已注销","——","3.房地产抵押价值")</f>
        <v>3.房地产抵押价值</v>
      </c>
      <c r="F107" s="3069"/>
      <c r="G107" s="2519" t="s">
        <v>2291</v>
      </c>
      <c r="H107" s="1047">
        <f ca="1">IF(E107="——","——",H101-H103)</f>
        <v>1063</v>
      </c>
      <c r="I107" s="137"/>
    </row>
    <row r="108" spans="1:35" ht="18.75" customHeight="1">
      <c r="A108" s="137"/>
      <c r="B108" s="137"/>
      <c r="C108" s="137"/>
      <c r="D108" s="137"/>
      <c r="E108" s="3099"/>
      <c r="F108" s="3069"/>
      <c r="G108" s="2519" t="s">
        <v>2293</v>
      </c>
      <c r="H108" s="370">
        <f ca="1">ROUND(H107*10000/'数据-汇总表'!E3,0)</f>
        <v>341</v>
      </c>
      <c r="I108" s="137"/>
    </row>
    <row r="109" spans="1:35" ht="18.75" customHeight="1">
      <c r="A109" s="137"/>
      <c r="B109" s="137"/>
      <c r="C109" s="137"/>
      <c r="D109" s="137"/>
      <c r="E109" s="3099" t="str">
        <f>IF(项目基本情况!E8="已注销及未注销","4.抵押担保权已注销时的房地产抵押价值",IF(项目基本情况!E8="已注销","3.抵押担保权已注销时的房地产抵押价值","——"))</f>
        <v>——</v>
      </c>
      <c r="F109" s="3069"/>
      <c r="G109" s="2519" t="s">
        <v>2291</v>
      </c>
      <c r="H109" s="347" t="str">
        <f>IF(E109="——","——",H101-H105-H106)</f>
        <v>——</v>
      </c>
      <c r="I109" s="137"/>
    </row>
    <row r="110" spans="1:35" ht="18.75" customHeight="1">
      <c r="A110" s="137"/>
      <c r="B110" s="137"/>
      <c r="C110" s="137"/>
      <c r="D110" s="137"/>
      <c r="E110" s="3099"/>
      <c r="F110" s="3069"/>
      <c r="G110" s="2519" t="s">
        <v>2293</v>
      </c>
      <c r="H110" s="370" t="str">
        <f>IF(H109="——","——",ROUND(H109*10000/'数据-汇总表'!E3,0))</f>
        <v>——</v>
      </c>
      <c r="I110" s="137"/>
    </row>
    <row r="111" spans="1:35" ht="18.75" customHeight="1">
      <c r="A111" s="137"/>
      <c r="B111" s="137"/>
      <c r="C111" s="137"/>
      <c r="D111" s="137"/>
      <c r="E111" s="3100" t="str">
        <f>IF(项目基本情况!E9="抵押净值",IF(OR(项目基本情况!E8="已注销",项目基本情况!E8="房地产抵押价值"),"4.抵押净值","5.抵押净值"),"——")</f>
        <v>——</v>
      </c>
      <c r="F111" s="3101"/>
      <c r="G111" s="2519" t="s">
        <v>2291</v>
      </c>
      <c r="H111" s="1047" t="str">
        <f>IF(E111="——","——",N59)</f>
        <v>——</v>
      </c>
      <c r="I111" s="137"/>
    </row>
    <row r="112" spans="1:35" ht="18.75" customHeight="1" thickBot="1">
      <c r="A112" s="137"/>
      <c r="B112" s="137"/>
      <c r="C112" s="137"/>
      <c r="D112" s="137"/>
      <c r="E112" s="3102"/>
      <c r="F112" s="3103"/>
      <c r="G112" s="2524" t="s">
        <v>2293</v>
      </c>
      <c r="H112" s="789" t="str">
        <f>IF(E111="——","——",N61)</f>
        <v>——</v>
      </c>
      <c r="I112" s="137"/>
    </row>
    <row r="113" spans="1:11" ht="18.75" customHeight="1">
      <c r="A113" s="137"/>
      <c r="B113" s="137"/>
      <c r="C113" s="137"/>
      <c r="D113" s="137"/>
      <c r="E113" s="3111" t="s">
        <v>2299</v>
      </c>
      <c r="F113" s="3111"/>
      <c r="G113" s="3111"/>
      <c r="H113" s="3111"/>
      <c r="I113" s="137"/>
    </row>
    <row r="114" spans="1:11" ht="3.75" customHeight="1">
      <c r="A114" s="2417"/>
      <c r="B114" s="2417"/>
      <c r="C114" s="2417"/>
      <c r="D114" s="2417"/>
      <c r="E114" s="2495"/>
      <c r="F114" s="2495"/>
      <c r="G114" s="2495"/>
      <c r="H114" s="2495"/>
      <c r="I114" s="2417"/>
    </row>
    <row r="115" spans="1:11" ht="18.75" customHeight="1">
      <c r="A115" s="3124" t="s">
        <v>2301</v>
      </c>
      <c r="B115" s="3125"/>
      <c r="C115" s="3125"/>
      <c r="D115" s="3125"/>
      <c r="E115" s="3125"/>
      <c r="F115" s="3125"/>
      <c r="G115" s="3125"/>
      <c r="H115" s="3125"/>
      <c r="I115" s="3126"/>
    </row>
    <row r="116" spans="1:11" ht="27" customHeight="1">
      <c r="A116" s="3035" t="s">
        <v>2302</v>
      </c>
      <c r="B116" s="3078" t="s">
        <v>2303</v>
      </c>
      <c r="C116" s="3078" t="s">
        <v>2304</v>
      </c>
      <c r="D116" s="3084" t="s">
        <v>2305</v>
      </c>
      <c r="E116" s="3085"/>
      <c r="F116" s="3120" t="s">
        <v>2306</v>
      </c>
      <c r="G116" s="3120"/>
      <c r="H116" s="3035" t="s">
        <v>2307</v>
      </c>
      <c r="I116" s="3035"/>
    </row>
    <row r="117" spans="1:11" ht="18.75" customHeight="1">
      <c r="A117" s="3035"/>
      <c r="B117" s="3079"/>
      <c r="C117" s="3079"/>
      <c r="D117" s="1797" t="s">
        <v>2308</v>
      </c>
      <c r="E117" s="1797" t="s">
        <v>2309</v>
      </c>
      <c r="F117" s="1797" t="s">
        <v>2308</v>
      </c>
      <c r="G117" s="1797" t="s">
        <v>2310</v>
      </c>
      <c r="H117" s="1797" t="s">
        <v>2308</v>
      </c>
      <c r="I117" s="1797" t="s">
        <v>2310</v>
      </c>
    </row>
    <row r="118" spans="1:11" ht="24.75" customHeight="1">
      <c r="A118" s="2525" t="str">
        <f>项目基本情况!S2</f>
        <v>上海市浦东新区惠南镇惠南颐景园出让国有建设用地使用权及在建建筑物房地产</v>
      </c>
      <c r="B118" s="1797">
        <f>M18</f>
        <v>31156.999999999996</v>
      </c>
      <c r="C118" s="1797">
        <f>M19</f>
        <v>64465</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1063</v>
      </c>
      <c r="I118" s="1797">
        <f ca="1">ROUND(IF(D32="楼面单价",C32,H118*10000/B118),0)</f>
        <v>341</v>
      </c>
    </row>
    <row r="119" spans="1:11" ht="18.75" customHeight="1">
      <c r="A119" s="3035" t="s">
        <v>2311</v>
      </c>
      <c r="B119" s="3035"/>
      <c r="C119" s="3035"/>
      <c r="D119" s="3080" t="e">
        <f ca="1">NUMBERSTRING(INT(D118*10000),2)&amp;"元整"</f>
        <v>#REF!</v>
      </c>
      <c r="E119" s="3081"/>
      <c r="F119" s="3080" t="e">
        <f ca="1">NUMBERSTRING(INT(F118*10000),2)&amp;"元整"</f>
        <v>#REF!</v>
      </c>
      <c r="G119" s="3081"/>
      <c r="H119" s="3080" t="str">
        <f ca="1">NUMBERSTRING(INT(H118*10000),2)&amp;"元整"</f>
        <v>壹仟零陆拾叁万元整</v>
      </c>
      <c r="I119" s="3081"/>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2422" t="str">
        <f>IF(D120=0,"故，本次评估不存在"&amp;A120,"故，本次评估"&amp;A120&amp;"为人民币"&amp;D120&amp;"万元整。")</f>
        <v>故，本次评估不存在估价师知悉的法定优先受偿款</v>
      </c>
    </row>
    <row r="121" spans="1:11" ht="18.75" customHeight="1">
      <c r="A121" s="3121" t="s">
        <v>2311</v>
      </c>
      <c r="B121" s="3122"/>
      <c r="C121" s="3123"/>
      <c r="D121" s="3080" t="str">
        <f>IF(D120=0,"零元整",NUMBERSTRING(INT(D120*10000),2)&amp;"元整")</f>
        <v>零元整</v>
      </c>
      <c r="E121" s="3082"/>
      <c r="F121" s="3082"/>
      <c r="G121" s="3082"/>
      <c r="H121" s="3082"/>
      <c r="I121" s="3081"/>
    </row>
    <row r="122" spans="1:11" ht="18.75" customHeight="1">
      <c r="A122" s="3086" t="str">
        <f>IF(项目基本情况!B9="房地产市场价值","",MID(E107,3,LEN(E107)-2))</f>
        <v>房地产抵押价值</v>
      </c>
      <c r="B122" s="3086"/>
      <c r="C122" s="3086"/>
      <c r="D122" s="3075">
        <f ca="1">H107</f>
        <v>1063</v>
      </c>
      <c r="E122" s="3076"/>
      <c r="F122" s="3076"/>
      <c r="G122" s="3076"/>
      <c r="H122" s="3076"/>
      <c r="I122" s="3077"/>
    </row>
    <row r="123" spans="1:11" ht="18.75" customHeight="1">
      <c r="A123" s="3035" t="s">
        <v>2311</v>
      </c>
      <c r="B123" s="3035"/>
      <c r="C123" s="3035"/>
      <c r="D123" s="3080" t="str">
        <f ca="1">NUMBERSTRING(INT(D122*10000),2)&amp;"元整"</f>
        <v>壹仟零陆拾叁万元整</v>
      </c>
      <c r="E123" s="3082"/>
      <c r="F123" s="3082"/>
      <c r="G123" s="3082"/>
      <c r="H123" s="3082"/>
      <c r="I123" s="3081"/>
    </row>
    <row r="124" spans="1:11" ht="18.75" customHeight="1">
      <c r="A124" s="3086" t="str">
        <f>IF(项目基本情况!B9="房地产市场价值","",MID(E109,3,LEN(E109)-2))</f>
        <v/>
      </c>
      <c r="B124" s="3086"/>
      <c r="C124" s="3086"/>
      <c r="D124" s="3075" t="str">
        <f>H109</f>
        <v>——</v>
      </c>
      <c r="E124" s="3076"/>
      <c r="F124" s="3076"/>
      <c r="G124" s="3076"/>
      <c r="H124" s="3076"/>
      <c r="I124" s="3077"/>
    </row>
    <row r="125" spans="1:11" ht="18.75" customHeight="1">
      <c r="A125" s="3035" t="s">
        <v>2311</v>
      </c>
      <c r="B125" s="3035"/>
      <c r="C125" s="3035"/>
      <c r="D125" s="3080" t="e">
        <f>NUMBERSTRING(INT(D124*10000),2)&amp;"元整"</f>
        <v>#VALUE!</v>
      </c>
      <c r="E125" s="3082"/>
      <c r="F125" s="3082"/>
      <c r="G125" s="3082"/>
      <c r="H125" s="3082"/>
      <c r="I125" s="3081"/>
    </row>
    <row r="126" spans="1:11" ht="18.75" customHeight="1">
      <c r="A126" s="3086" t="str">
        <f>IF(项目基本情况!B9="房地产市场价值","",MID(E111,3,LEN(E111)-2))</f>
        <v/>
      </c>
      <c r="B126" s="3086"/>
      <c r="C126" s="3086"/>
      <c r="D126" s="3075" t="str">
        <f>H111</f>
        <v>——</v>
      </c>
      <c r="E126" s="3076"/>
      <c r="F126" s="3076"/>
      <c r="G126" s="3076"/>
      <c r="H126" s="3076"/>
      <c r="I126" s="3077"/>
    </row>
    <row r="127" spans="1:11" ht="18.75" customHeight="1">
      <c r="A127" s="3035" t="s">
        <v>2311</v>
      </c>
      <c r="B127" s="3035"/>
      <c r="C127" s="3035"/>
      <c r="D127" s="3080" t="e">
        <f>NUMBERSTRING(INT(D126*10000),2)&amp;"元整"</f>
        <v>#VALUE!</v>
      </c>
      <c r="E127" s="3082"/>
      <c r="F127" s="3082"/>
      <c r="G127" s="3082"/>
      <c r="H127" s="3082"/>
      <c r="I127" s="3081"/>
    </row>
    <row r="128" spans="1:11" ht="21.75" customHeight="1">
      <c r="A128" s="3083" t="s">
        <v>2312</v>
      </c>
      <c r="B128" s="3083"/>
      <c r="C128" s="3083"/>
      <c r="D128" s="3083"/>
      <c r="E128" s="3083"/>
      <c r="F128" s="3083"/>
      <c r="G128" s="3083"/>
      <c r="H128" s="3083"/>
      <c r="I128" s="3083"/>
    </row>
    <row r="129" spans="1:35" ht="21.75" customHeight="1">
      <c r="A129" s="2526" t="s">
        <v>2313</v>
      </c>
      <c r="B129" s="2527"/>
      <c r="C129" s="2528" t="s">
        <v>2314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2315</v>
      </c>
      <c r="G135" s="2543"/>
      <c r="H135" s="2543"/>
      <c r="I135" s="2544" t="s">
        <v>2316</v>
      </c>
    </row>
    <row r="136" spans="1:35" ht="21.75" customHeight="1">
      <c r="A136" s="794"/>
      <c r="B136" s="2545"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2318</v>
      </c>
    </row>
    <row r="139" spans="1:35" ht="21.75" customHeight="1">
      <c r="A139" s="794"/>
      <c r="B139" s="2545" t="s">
        <v>2319</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2318</v>
      </c>
    </row>
    <row r="142" spans="1:35" ht="21.75" customHeight="1">
      <c r="A142" s="794"/>
      <c r="B142" s="2545"/>
      <c r="C142" s="2546"/>
      <c r="D142" s="2547"/>
      <c r="E142" s="2547"/>
      <c r="F142" s="2339"/>
      <c r="G142" s="794"/>
      <c r="H142" s="794"/>
      <c r="I142" s="794"/>
    </row>
    <row r="143" spans="1:35" s="138"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9"/>
      <c r="C1" s="241"/>
      <c r="D1" s="241"/>
      <c r="E1" s="241"/>
      <c r="F1" s="241"/>
      <c r="G1" s="1381">
        <f>MATCH(B1,'数据-取费表'!A6:A16,0)+5</f>
        <v>9</v>
      </c>
    </row>
    <row r="2" spans="1:9" s="243" customFormat="1" ht="18" customHeight="1">
      <c r="A2" s="244" t="s">
        <v>2321</v>
      </c>
      <c r="B2" s="245">
        <f ca="1">IF(D2="——",C52,C52-E2)</f>
        <v>11368</v>
      </c>
      <c r="C2" s="242" t="s">
        <v>2322</v>
      </c>
      <c r="D2" s="2548" t="s">
        <v>70</v>
      </c>
      <c r="E2" s="1442" t="e">
        <f ca="1">SUMIF(INDIRECT("'"&amp;G2&amp;"'"&amp;"!A:A"),"承租人权益价值",INDIRECT("'"&amp;G2&amp;"'"&amp;"!c:c"))</f>
        <v>#REF!</v>
      </c>
      <c r="F2" s="2549" t="s">
        <v>2322</v>
      </c>
      <c r="G2" s="2550"/>
    </row>
    <row r="3" spans="1:9" s="243" customFormat="1" ht="18" customHeight="1" thickBot="1">
      <c r="A3" s="246" t="s">
        <v>2323</v>
      </c>
      <c r="B3" s="247">
        <f ca="1">ROUND(B2*10000/(IF(B1="",'数据-汇总表'!E3,INDIRECT("'数据-取费表'!k"&amp;$G$1))),0)</f>
        <v>3649</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C6+C7+C8</f>
        <v>0</v>
      </c>
      <c r="D5" s="254" t="s">
        <v>2328</v>
      </c>
      <c r="E5" s="255" t="s">
        <v>2329</v>
      </c>
      <c r="F5" s="255" t="s">
        <v>2330</v>
      </c>
      <c r="G5" s="256"/>
    </row>
    <row r="6" spans="1:9" s="257" customFormat="1" ht="13.5" customHeight="1">
      <c r="A6" s="951" t="s">
        <v>2331</v>
      </c>
      <c r="B6" s="258" t="s">
        <v>2332</v>
      </c>
      <c r="C6" s="259"/>
      <c r="D6" s="260"/>
      <c r="E6" s="261"/>
      <c r="F6" s="261"/>
      <c r="G6" s="262"/>
    </row>
    <row r="7" spans="1:9" s="257" customFormat="1" ht="13.5" customHeight="1">
      <c r="A7" s="951" t="s">
        <v>2333</v>
      </c>
      <c r="B7" s="258" t="s">
        <v>2334</v>
      </c>
      <c r="C7" s="263">
        <f>ROUND(C6*F7,0)</f>
        <v>0</v>
      </c>
      <c r="D7" s="263"/>
      <c r="E7" s="261"/>
      <c r="F7" s="264">
        <f>'数据-取费表'!B48+'数据-取费表'!B49</f>
        <v>3.0499999999999999E-2</v>
      </c>
      <c r="G7" s="262"/>
    </row>
    <row r="8" spans="1:9" s="266" customFormat="1">
      <c r="A8" s="951" t="s">
        <v>2335</v>
      </c>
      <c r="B8" s="258" t="s">
        <v>2336</v>
      </c>
      <c r="C8" s="263">
        <f>IF(G8="已包含在土地购买价格中","0",IF(B1="",'数据-取费表'!B29,IF(G9="全部缴纳",C9+C10,H9)))</f>
        <v>0</v>
      </c>
      <c r="D8" s="265"/>
      <c r="E8" s="263"/>
      <c r="F8" s="264"/>
      <c r="G8" s="2551"/>
    </row>
    <row r="9" spans="1:9" s="257" customFormat="1" ht="13.5" customHeight="1">
      <c r="A9" s="952" t="s">
        <v>800</v>
      </c>
      <c r="B9" s="267" t="s">
        <v>2337</v>
      </c>
      <c r="C9" s="268">
        <f ca="1">ROUND(D9*E9/10000,0)</f>
        <v>0</v>
      </c>
      <c r="D9" s="1034">
        <f ca="1">IF(B1="",'数据-汇总表'!E5,IF(INDIRECT("'数据-取费表'!c"&amp;$G$1)="住宅",INDIRECT("'数据-取费表'!k"&amp;$G$1),0))</f>
        <v>0</v>
      </c>
      <c r="E9" s="268">
        <f>'数据-取费表'!B27</f>
        <v>430</v>
      </c>
      <c r="F9" s="264"/>
      <c r="G9" s="2552"/>
      <c r="H9" s="1392"/>
      <c r="I9" s="2553" t="s">
        <v>2338</v>
      </c>
    </row>
    <row r="10" spans="1:9" s="257" customFormat="1" ht="13.5" customHeight="1">
      <c r="A10" s="952" t="s">
        <v>801</v>
      </c>
      <c r="B10" s="267" t="s">
        <v>2339</v>
      </c>
      <c r="C10" s="268">
        <f ca="1">ROUND(D10*E10/10000,0)</f>
        <v>1340</v>
      </c>
      <c r="D10" s="1034">
        <f ca="1">IF(B1="",'数据-汇总表'!E6,IF(INDIRECT("'数据-取费表'!c"&amp;$G$1)="住宅",INDIRECT("'数据-取费表'!s"&amp;$G$1),INDIRECT("'数据-取费表'!k"&amp;$G$1)+INDIRECT("'数据-取费表'!s"&amp;$G$1)))</f>
        <v>31156.999999999996</v>
      </c>
      <c r="E10" s="268">
        <f>'数据-取费表'!B28</f>
        <v>430</v>
      </c>
      <c r="F10" s="264"/>
      <c r="G10" s="269"/>
    </row>
    <row r="11" spans="1:9" s="257" customFormat="1" ht="13.5" hidden="1" customHeight="1">
      <c r="A11" s="270" t="s">
        <v>7</v>
      </c>
      <c r="B11" s="258" t="s">
        <v>2340</v>
      </c>
      <c r="C11" s="254"/>
      <c r="D11" s="1036"/>
      <c r="E11" s="261"/>
      <c r="F11" s="261"/>
      <c r="G11" s="262"/>
    </row>
    <row r="12" spans="1:9" s="257" customFormat="1" ht="13.5" hidden="1" customHeight="1">
      <c r="A12" s="270" t="s">
        <v>8</v>
      </c>
      <c r="B12" s="258" t="s">
        <v>2341</v>
      </c>
      <c r="C12" s="254">
        <v>0</v>
      </c>
      <c r="D12" s="1036"/>
      <c r="E12" s="271"/>
      <c r="F12" s="264">
        <v>3.0499999999999999E-2</v>
      </c>
      <c r="G12" s="262"/>
    </row>
    <row r="13" spans="1:9" s="257" customFormat="1" ht="13.5" hidden="1" customHeight="1">
      <c r="A13" s="270" t="s">
        <v>9</v>
      </c>
      <c r="B13" s="258" t="s">
        <v>2342</v>
      </c>
      <c r="C13" s="254"/>
      <c r="D13" s="1036"/>
      <c r="E13" s="261"/>
      <c r="F13" s="261"/>
      <c r="G13" s="262"/>
    </row>
    <row r="14" spans="1:9" s="257" customFormat="1" ht="13.5" hidden="1" customHeight="1">
      <c r="A14" s="270" t="s">
        <v>10</v>
      </c>
      <c r="B14" s="258" t="s">
        <v>2343</v>
      </c>
      <c r="C14" s="254"/>
      <c r="D14" s="1036"/>
      <c r="E14" s="261"/>
      <c r="F14" s="261"/>
      <c r="G14" s="262" t="s">
        <v>2344</v>
      </c>
    </row>
    <row r="15" spans="1:9" s="257" customFormat="1" ht="13.5" hidden="1" customHeight="1">
      <c r="A15" s="270" t="s">
        <v>11</v>
      </c>
      <c r="B15" s="258" t="s">
        <v>2345</v>
      </c>
      <c r="C15" s="263"/>
      <c r="D15" s="1036"/>
      <c r="E15" s="261"/>
      <c r="F15" s="261"/>
      <c r="G15" s="262" t="s">
        <v>2346</v>
      </c>
    </row>
    <row r="16" spans="1:9" s="257" customFormat="1" ht="13.5" hidden="1" customHeight="1">
      <c r="A16" s="270" t="s">
        <v>12</v>
      </c>
      <c r="B16" s="258" t="s">
        <v>2343</v>
      </c>
      <c r="C16" s="263"/>
      <c r="D16" s="1036"/>
      <c r="E16" s="261"/>
      <c r="F16" s="261"/>
      <c r="G16" s="262"/>
    </row>
    <row r="17" spans="1:7" s="257" customFormat="1" ht="13.5" hidden="1" customHeight="1">
      <c r="A17" s="270" t="s">
        <v>13</v>
      </c>
      <c r="B17" s="258" t="s">
        <v>2347</v>
      </c>
      <c r="C17" s="272"/>
      <c r="D17" s="1037"/>
      <c r="E17" s="272"/>
      <c r="F17" s="272"/>
      <c r="G17" s="262" t="s">
        <v>2346</v>
      </c>
    </row>
    <row r="18" spans="1:7" s="257" customFormat="1" ht="13.5" hidden="1" customHeight="1">
      <c r="A18" s="270" t="s">
        <v>14</v>
      </c>
      <c r="B18" s="258" t="s">
        <v>2348</v>
      </c>
      <c r="C18" s="263">
        <v>0</v>
      </c>
      <c r="D18" s="1036"/>
      <c r="E18" s="261"/>
      <c r="F18" s="264">
        <v>3.0499999999999999E-2</v>
      </c>
      <c r="G18" s="262" t="s">
        <v>2349</v>
      </c>
    </row>
    <row r="19" spans="1:7" s="266" customFormat="1" ht="13.5" customHeight="1">
      <c r="A19" s="298" t="s">
        <v>2350</v>
      </c>
      <c r="B19" s="253" t="s">
        <v>2351</v>
      </c>
      <c r="C19" s="254">
        <f ca="1">IF(G19="已包含在土地取得成本中","0",ROUND(D19*E19/10000,0))</f>
        <v>623</v>
      </c>
      <c r="D19" s="1038">
        <f ca="1">D9+D10</f>
        <v>31156.999999999996</v>
      </c>
      <c r="E19" s="254">
        <f>'数据-取费表'!B31</f>
        <v>200</v>
      </c>
      <c r="F19" s="274"/>
      <c r="G19" s="2551"/>
    </row>
    <row r="20" spans="1:7" s="257" customFormat="1" ht="13.5" customHeight="1">
      <c r="A20" s="298" t="s">
        <v>2352</v>
      </c>
      <c r="B20" s="253" t="s">
        <v>2353</v>
      </c>
      <c r="C20" s="275">
        <f ca="1">ROUND((C5+C19)*F20,0)</f>
        <v>12</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56">
        <f ca="1">ROUND(SUM(C23:C25),0)</f>
        <v>45</v>
      </c>
      <c r="D22" s="278">
        <f ca="1">C26</f>
        <v>6.9999999999999999E-4</v>
      </c>
      <c r="E22" s="279" t="s">
        <v>2357</v>
      </c>
      <c r="F22" s="280">
        <f ca="1">'数据-取费表'!B40</f>
        <v>4.7500000000000001E-2</v>
      </c>
      <c r="G22" s="277" t="str">
        <f>IF('数据-取费表'!B22&lt;=1,"单利计息","复利计息")</f>
        <v>复利计息</v>
      </c>
    </row>
    <row r="23" spans="1:7" s="257" customFormat="1" ht="13.5" customHeight="1">
      <c r="A23" s="953" t="s">
        <v>2361</v>
      </c>
      <c r="B23" s="258" t="s">
        <v>2362</v>
      </c>
      <c r="C23" s="1357">
        <f ca="1">ROUND(IF('数据-取费表'!B22&lt;=1,C5*F22*'数据-取费表'!B23,C5*(POWER((1+F22),'数据-取费表'!B23)-1)),0)</f>
        <v>0</v>
      </c>
      <c r="D23" s="281"/>
      <c r="E23" s="281"/>
      <c r="F23" s="282"/>
      <c r="G23" s="283" t="s">
        <v>2363</v>
      </c>
    </row>
    <row r="24" spans="1:7" s="257" customFormat="1" ht="13.5" customHeight="1">
      <c r="A24" s="953" t="s">
        <v>2364</v>
      </c>
      <c r="B24" s="258" t="s">
        <v>2365</v>
      </c>
      <c r="C24" s="1357">
        <f ca="1">ROUND(IF('数据-取费表'!B22&lt;=1,C19*F22*('数据-取费表'!B19/2+'数据-取费表'!B21),C19*(POWER((1+F22),('数据-取费表'!B19/2+'数据-取费表'!B21))-1)),0)</f>
        <v>45</v>
      </c>
      <c r="D24" s="281"/>
      <c r="E24" s="281"/>
      <c r="F24" s="282"/>
      <c r="G24" s="283" t="s">
        <v>2366</v>
      </c>
    </row>
    <row r="25" spans="1:7" s="257" customFormat="1" ht="24">
      <c r="A25" s="953" t="s">
        <v>2367</v>
      </c>
      <c r="B25" s="258" t="s">
        <v>2368</v>
      </c>
      <c r="C25" s="1357">
        <f ca="1">ROUND(IF('数据-取费表'!B22&lt;=1,C20*F22*'数据-取费表'!B23/2,C20*(POWER((1+F22),'数据-取费表'!B23/2)-1)),0)</f>
        <v>0</v>
      </c>
      <c r="D25" s="281"/>
      <c r="E25" s="284"/>
      <c r="F25" s="282"/>
      <c r="G25" s="285" t="s">
        <v>2369</v>
      </c>
    </row>
    <row r="26" spans="1:7" s="257" customFormat="1">
      <c r="A26" s="953" t="s">
        <v>795</v>
      </c>
      <c r="B26" s="258" t="s">
        <v>2370</v>
      </c>
      <c r="C26" s="281">
        <f ca="1">ROUND(IF('数据-取费表'!B22&lt;=1,F21*F22*'数据-取费表'!B23/2,F21*(POWER((1+F22),'数据-取费表'!B23/2)-1)),4)</f>
        <v>6.9999999999999999E-4</v>
      </c>
      <c r="D26" s="281"/>
      <c r="E26" s="284"/>
      <c r="F26" s="282"/>
      <c r="G26" s="286"/>
    </row>
    <row r="27" spans="1:7" s="257" customFormat="1" ht="24.75">
      <c r="A27" s="298" t="s">
        <v>2371</v>
      </c>
      <c r="B27" s="287" t="s">
        <v>2372</v>
      </c>
      <c r="C27" s="288">
        <f ca="1">C28</f>
        <v>64</v>
      </c>
      <c r="D27" s="278">
        <f ca="1">C29</f>
        <v>2E-3</v>
      </c>
      <c r="E27" s="279" t="s">
        <v>2373</v>
      </c>
      <c r="F27" s="289">
        <f ca="1">IF(B1="",'数据-取费表'!Q16,INDIRECT("'数据-取费表'!q"&amp;$G$1))</f>
        <v>0.1</v>
      </c>
      <c r="G27" s="290" t="s">
        <v>2374</v>
      </c>
    </row>
    <row r="28" spans="1:7" s="257" customFormat="1" ht="13.5" customHeight="1">
      <c r="A28" s="953" t="s">
        <v>791</v>
      </c>
      <c r="B28" s="291" t="s">
        <v>2375</v>
      </c>
      <c r="C28" s="292">
        <f ca="1">ROUND((C5+C19+C20)*F27*'数据-取费表'!B21/'数据-取费表'!B20,0)</f>
        <v>64</v>
      </c>
      <c r="D28" s="278"/>
      <c r="E28" s="279"/>
      <c r="F28" s="289"/>
      <c r="G28" s="290"/>
    </row>
    <row r="29" spans="1:7" s="257" customFormat="1" ht="13.5" customHeight="1">
      <c r="A29" s="953" t="s">
        <v>792</v>
      </c>
      <c r="B29" s="291" t="s">
        <v>2376</v>
      </c>
      <c r="C29" s="281">
        <f ca="1">ROUND(C21*F27*'数据-取费表'!B21/'数据-取费表'!B20,4)</f>
        <v>2E-3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804</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8436</v>
      </c>
      <c r="D33" s="275"/>
      <c r="E33" s="255"/>
      <c r="F33" s="284"/>
      <c r="G33" s="277"/>
    </row>
    <row r="34" spans="1:7" s="301" customFormat="1" ht="13.5" customHeight="1">
      <c r="A34" s="953" t="s">
        <v>791</v>
      </c>
      <c r="B34" s="258" t="s">
        <v>2384</v>
      </c>
      <c r="C34" s="263">
        <f ca="1">IF(B1="",IF(F34=100%,'数据-取费表'!M16,'数据-取费表'!O16),IF(F34=100%,INDIRECT("'数据-取费表'!m"&amp;$G$1)+INDIRECT("'数据-取费表'!t"&amp;$G$1),INDIRECT("'数据-取费表'!o"&amp;$G$1)+INDIRECT("'数据-取费表'!aq"&amp;$G$1)))</f>
        <v>7477</v>
      </c>
      <c r="D34" s="260"/>
      <c r="E34" s="263"/>
      <c r="F34" s="300">
        <f ca="1">IF('数据-取费表'!B24=0,1,IF(B1="",'数据-取费表'!N16,INDIRECT("'数据-取费表'!n"&amp;$G$1)))</f>
        <v>1</v>
      </c>
      <c r="G34" s="262" t="s">
        <v>2385</v>
      </c>
    </row>
    <row r="35" spans="1:7" ht="13.5" customHeight="1">
      <c r="A35" s="953" t="s">
        <v>796</v>
      </c>
      <c r="B35" s="258" t="s">
        <v>2386</v>
      </c>
      <c r="C35" s="263">
        <f ca="1">ROUND(C34*F35,0)</f>
        <v>224</v>
      </c>
      <c r="D35" s="263"/>
      <c r="E35" s="263"/>
      <c r="F35" s="302">
        <f>'数据-取费表'!B33</f>
        <v>0.03</v>
      </c>
      <c r="G35" s="262" t="s">
        <v>2387</v>
      </c>
    </row>
    <row r="36" spans="1:7" ht="24">
      <c r="A36" s="953"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3" t="s">
        <v>798</v>
      </c>
      <c r="B37" s="258" t="s">
        <v>2390</v>
      </c>
      <c r="C37" s="292">
        <f ca="1">ROUND(E37*D37*F34/10000,0)</f>
        <v>623</v>
      </c>
      <c r="D37" s="260">
        <f ca="1">D19</f>
        <v>31156.999999999996</v>
      </c>
      <c r="E37" s="292">
        <f>'数据-取费表'!B35</f>
        <v>200</v>
      </c>
      <c r="F37" s="302"/>
      <c r="G37" s="304" t="s">
        <v>2391</v>
      </c>
    </row>
    <row r="38" spans="1:7" ht="13.5" customHeight="1">
      <c r="A38" s="953" t="s">
        <v>799</v>
      </c>
      <c r="B38" s="258" t="s">
        <v>2392</v>
      </c>
      <c r="C38" s="263">
        <f ca="1">ROUND(C34*F38,0)</f>
        <v>112</v>
      </c>
      <c r="D38" s="263"/>
      <c r="E38" s="263"/>
      <c r="F38" s="302">
        <f>'数据-取费表'!B36</f>
        <v>1.4999999999999999E-2</v>
      </c>
      <c r="G38" s="262" t="s">
        <v>2387</v>
      </c>
    </row>
    <row r="39" spans="1:7" s="257" customFormat="1" ht="13.5" customHeight="1">
      <c r="A39" s="298" t="s">
        <v>2393</v>
      </c>
      <c r="B39" s="253" t="s">
        <v>2394</v>
      </c>
      <c r="C39" s="275">
        <f ca="1">ROUND(C33*F20,0)</f>
        <v>169</v>
      </c>
      <c r="D39" s="275"/>
      <c r="E39" s="275"/>
      <c r="F39" s="276"/>
      <c r="G39" s="277" t="s">
        <v>2395</v>
      </c>
    </row>
    <row r="40" spans="1:7" s="257" customFormat="1" ht="13.5" customHeight="1">
      <c r="A40" s="298" t="s">
        <v>2396</v>
      </c>
      <c r="B40" s="253" t="s">
        <v>2397</v>
      </c>
      <c r="C40" s="1730">
        <f>F21</f>
        <v>0.02</v>
      </c>
      <c r="D40" s="279" t="s">
        <v>2398</v>
      </c>
      <c r="E40" s="275"/>
      <c r="F40" s="276"/>
      <c r="G40" s="277" t="s">
        <v>2399</v>
      </c>
    </row>
    <row r="41" spans="1:7" s="257" customFormat="1" ht="13.5" customHeight="1">
      <c r="A41" s="298" t="s">
        <v>2400</v>
      </c>
      <c r="B41" s="253" t="s">
        <v>2401</v>
      </c>
      <c r="C41" s="275">
        <f ca="1">ROUND(SUM(C42:C43),0)</f>
        <v>305</v>
      </c>
      <c r="D41" s="278">
        <f ca="1">C44</f>
        <v>6.9999999999999999E-4</v>
      </c>
      <c r="E41" s="279" t="s">
        <v>2398</v>
      </c>
      <c r="F41" s="280"/>
      <c r="G41" s="277" t="str">
        <f>IF('数据-取费表'!B22&lt;=1,"单利计息","复利计息")</f>
        <v>复利计息</v>
      </c>
    </row>
    <row r="42" spans="1:7" ht="13.5" customHeight="1">
      <c r="A42" s="953" t="s">
        <v>791</v>
      </c>
      <c r="B42" s="258" t="s">
        <v>2402</v>
      </c>
      <c r="C42" s="281">
        <f ca="1">ROUND(IF('数据-取费表'!B22&lt;=1,C33*F22*'数据-取费表'!B21/2,C33*(POWER((1+F22),'数据-取费表'!B21/2)-1)),0)</f>
        <v>299</v>
      </c>
      <c r="D42" s="281"/>
      <c r="E42" s="281"/>
      <c r="F42" s="282"/>
      <c r="G42" s="3155" t="s">
        <v>2403</v>
      </c>
    </row>
    <row r="43" spans="1:7" ht="13.5" customHeight="1">
      <c r="A43" s="953" t="s">
        <v>792</v>
      </c>
      <c r="B43" s="258" t="s">
        <v>2404</v>
      </c>
      <c r="C43" s="281">
        <f ca="1">ROUND(IF('数据-取费表'!B22&lt;=1,C39*F22*'数据-取费表'!B21/2,C39*(POWER((1+F22),'数据-取费表'!B21/2)-1)),0)</f>
        <v>6</v>
      </c>
      <c r="D43" s="281"/>
      <c r="E43" s="281"/>
      <c r="F43" s="282"/>
      <c r="G43" s="3156"/>
    </row>
    <row r="44" spans="1:7" ht="13.5" customHeight="1">
      <c r="A44" s="953" t="s">
        <v>793</v>
      </c>
      <c r="B44" s="258" t="s">
        <v>2405</v>
      </c>
      <c r="C44" s="281">
        <f ca="1">ROUND(IF('数据-取费表'!B22&lt;=1,C40*F22*'数据-取费表'!B21/2,C40*(POWER((1+F22),'数据-取费表'!B21/2)-1)),4)</f>
        <v>6.9999999999999999E-4</v>
      </c>
      <c r="D44" s="281"/>
      <c r="E44" s="281"/>
      <c r="F44" s="282"/>
      <c r="G44" s="3157"/>
    </row>
    <row r="45" spans="1:7" s="257" customFormat="1" ht="13.5" customHeight="1">
      <c r="A45" s="298" t="s">
        <v>2406</v>
      </c>
      <c r="B45" s="287" t="s">
        <v>2372</v>
      </c>
      <c r="C45" s="288">
        <f ca="1">C46</f>
        <v>861</v>
      </c>
      <c r="D45" s="278">
        <f ca="1">C47</f>
        <v>2E-3</v>
      </c>
      <c r="E45" s="279" t="s">
        <v>2398</v>
      </c>
      <c r="F45" s="289"/>
      <c r="G45" s="290" t="s">
        <v>2407</v>
      </c>
    </row>
    <row r="46" spans="1:7" s="257" customFormat="1" ht="13.5" customHeight="1">
      <c r="A46" s="953" t="s">
        <v>791</v>
      </c>
      <c r="B46" s="291" t="s">
        <v>2408</v>
      </c>
      <c r="C46" s="292">
        <f ca="1">ROUND((C33+C39)*F27,0)</f>
        <v>861</v>
      </c>
      <c r="D46" s="306"/>
      <c r="E46" s="279"/>
      <c r="F46" s="289"/>
      <c r="G46" s="290"/>
    </row>
    <row r="47" spans="1:7" s="257" customFormat="1" ht="13.5" customHeight="1">
      <c r="A47" s="953" t="s">
        <v>792</v>
      </c>
      <c r="B47" s="291" t="s">
        <v>2409</v>
      </c>
      <c r="C47" s="281">
        <f ca="1">ROUND(C40*F27,4)</f>
        <v>2E-3</v>
      </c>
      <c r="D47" s="306"/>
      <c r="E47" s="279"/>
      <c r="F47" s="289"/>
      <c r="G47" s="290"/>
    </row>
    <row r="48" spans="1:7" s="257" customFormat="1" ht="13.5" customHeight="1">
      <c r="A48" s="298" t="s">
        <v>2371</v>
      </c>
      <c r="B48" s="253" t="s">
        <v>2410</v>
      </c>
      <c r="C48" s="1730">
        <f>ROUND(F30/(1+'数据-取费表'!C42),4)</f>
        <v>5.2400000000000002E-2</v>
      </c>
      <c r="D48" s="279" t="s">
        <v>2398</v>
      </c>
      <c r="E48" s="275"/>
      <c r="F48" s="280"/>
      <c r="G48" s="277" t="s">
        <v>2411</v>
      </c>
    </row>
    <row r="49" spans="1:7" ht="16.5" customHeight="1">
      <c r="A49" s="298" t="s">
        <v>2377</v>
      </c>
      <c r="B49" s="253" t="s">
        <v>2412</v>
      </c>
      <c r="C49" s="275">
        <f ca="1">ROUND((C33+C39+C41+C45)/(1-C40-D41-D45-C48),0)</f>
        <v>10564</v>
      </c>
      <c r="D49" s="275"/>
      <c r="E49" s="275"/>
      <c r="F49" s="307"/>
      <c r="G49" s="277" t="s">
        <v>2413</v>
      </c>
    </row>
    <row r="50" spans="1:7" s="301" customFormat="1" ht="24">
      <c r="A50" s="298" t="s">
        <v>2414</v>
      </c>
      <c r="B50" s="253" t="s">
        <v>2415</v>
      </c>
      <c r="C50" s="275"/>
      <c r="D50" s="275"/>
      <c r="E50" s="275"/>
      <c r="F50" s="307">
        <f>IF('数据-取费表'!B24=0,'数据-取费表'!N16,1)</f>
        <v>1</v>
      </c>
      <c r="G50" s="290" t="s">
        <v>2416</v>
      </c>
    </row>
    <row r="51" spans="1:7" ht="16.5" customHeight="1">
      <c r="A51" s="298" t="s">
        <v>2417</v>
      </c>
      <c r="B51" s="253" t="s">
        <v>2418</v>
      </c>
      <c r="C51" s="275">
        <f ca="1">ROUND(C49*F50,0)</f>
        <v>10564</v>
      </c>
      <c r="D51" s="275"/>
      <c r="E51" s="275"/>
      <c r="F51" s="307"/>
      <c r="G51" s="277" t="s">
        <v>2419</v>
      </c>
    </row>
    <row r="52" spans="1:7" s="251" customFormat="1" ht="16.5" thickBot="1">
      <c r="A52" s="308" t="s">
        <v>2420</v>
      </c>
      <c r="B52" s="309"/>
      <c r="C52" s="310">
        <f ca="1">C31+C51</f>
        <v>11368</v>
      </c>
      <c r="D52" s="309"/>
      <c r="E52" s="309"/>
      <c r="F52" s="309"/>
      <c r="G52" s="311"/>
    </row>
    <row r="55" spans="1:7" ht="15">
      <c r="B55" s="313" t="s">
        <v>2421</v>
      </c>
      <c r="C55" s="314"/>
    </row>
    <row r="56" spans="1:7">
      <c r="B56" s="316" t="s">
        <v>1509</v>
      </c>
      <c r="C56" s="318">
        <f ca="1">1-C57</f>
        <v>7.0999999999999952E-2</v>
      </c>
    </row>
    <row r="57" spans="1:7">
      <c r="B57" s="316" t="s">
        <v>1510</v>
      </c>
      <c r="C57" s="317">
        <f ca="1">ROUND(C51/C52,3)</f>
        <v>0.92900000000000005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2" t="str">
        <f>项目基本情况!B1</f>
        <v>上海市浦东新区惠南镇惠南颐景园出让国有建设用地使用权及在建建筑物房地产抵押价值预评估</v>
      </c>
      <c r="C37" s="2972"/>
      <c r="D37" s="2972"/>
      <c r="E37" s="2972"/>
      <c r="F37" s="2972"/>
      <c r="G37" s="2972"/>
      <c r="H37" s="2972"/>
      <c r="I37" s="2972"/>
    </row>
    <row r="38" spans="1:9">
      <c r="A38" s="1018"/>
      <c r="B38" s="1018"/>
    </row>
    <row r="39" spans="1:9">
      <c r="A39" s="1016" t="s">
        <v>818</v>
      </c>
      <c r="B39" s="1016" t="s">
        <v>820</v>
      </c>
    </row>
    <row r="40" spans="1:9">
      <c r="A40" s="1016"/>
      <c r="B40" s="1944" t="str">
        <f>项目基本情况!B5</f>
        <v>上海三盛房地产（集团）有限责任公司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项目基本情况!K4</f>
        <v>（注册号：0)、（注册号：0)</v>
      </c>
    </row>
    <row r="47" spans="1:9">
      <c r="A47" s="1016"/>
      <c r="B47" s="1016" t="str">
        <f>项目基本情况!K5</f>
        <v/>
      </c>
    </row>
    <row r="48" spans="1:9">
      <c r="A48" s="1016" t="s">
        <v>818</v>
      </c>
      <c r="B48" s="1016" t="s">
        <v>824</v>
      </c>
    </row>
    <row r="49" spans="2:2">
      <c r="B49" s="1944" t="str">
        <f>"康正预评字"&amp;项目基本情况!B2&amp;"号"</f>
        <v>康正预评字2018-1-0883号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9"/>
      <c r="C1" s="2554" t="s">
        <v>2422</v>
      </c>
      <c r="D1" s="241"/>
      <c r="E1" s="241"/>
      <c r="F1" s="241"/>
      <c r="G1" s="1381">
        <f>MATCH(B1,'数据-取费表'!A6:A16,0)+5</f>
        <v>9</v>
      </c>
      <c r="H1" s="1284" t="str">
        <f>IF(ISERROR(FIND("住宅",B1)),"非住宅","住宅")</f>
        <v>非住宅</v>
      </c>
    </row>
    <row r="2" spans="1:8" s="243" customFormat="1" ht="18" customHeight="1">
      <c r="A2" s="244" t="s">
        <v>2321</v>
      </c>
      <c r="B2" s="245">
        <f ca="1">ROUND(IF(D2="——",C52/10000,C52/10000-E2),0)</f>
        <v>13101</v>
      </c>
      <c r="C2" s="242" t="s">
        <v>2322</v>
      </c>
      <c r="D2" s="2548" t="s">
        <v>70</v>
      </c>
      <c r="E2" s="1442" t="e">
        <f ca="1">SUMIF(INDIRECT("'"&amp;G2&amp;"'"&amp;"!A:A"),"承租人权益价值",INDIRECT("'"&amp;G2&amp;"'"&amp;"!c:c"))</f>
        <v>#REF!</v>
      </c>
      <c r="F2" s="2549" t="s">
        <v>2322</v>
      </c>
      <c r="G2" s="2550"/>
    </row>
    <row r="3" spans="1:8" s="243" customFormat="1" ht="18" customHeight="1" thickBot="1">
      <c r="A3" s="246" t="s">
        <v>2323</v>
      </c>
      <c r="B3" s="247">
        <f ca="1">ROUND(B2*10000/(IF(B1="",'数据-汇总表'!E3,INDIRECT("'数据-取费表'!k"&amp;$G$1))),0)</f>
        <v>4205</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13397510</v>
      </c>
      <c r="D5" s="254" t="s">
        <v>2328</v>
      </c>
      <c r="E5" s="255" t="s">
        <v>2329</v>
      </c>
      <c r="F5" s="255" t="s">
        <v>2330</v>
      </c>
      <c r="G5" s="256"/>
    </row>
    <row r="6" spans="1:8" s="257" customFormat="1" ht="13.5" customHeight="1">
      <c r="A6" s="951" t="s">
        <v>2331</v>
      </c>
      <c r="B6" s="258" t="s">
        <v>2332</v>
      </c>
      <c r="C6" s="259"/>
      <c r="D6" s="260"/>
      <c r="E6" s="261"/>
      <c r="F6" s="261"/>
      <c r="G6" s="262"/>
    </row>
    <row r="7" spans="1:8" s="257" customFormat="1" ht="13.5" customHeight="1">
      <c r="A7" s="951" t="s">
        <v>2333</v>
      </c>
      <c r="B7" s="258" t="s">
        <v>2334</v>
      </c>
      <c r="C7" s="263">
        <f>ROUND(C6*F7,0)</f>
        <v>0</v>
      </c>
      <c r="D7" s="263"/>
      <c r="E7" s="261"/>
      <c r="F7" s="264">
        <f>'数据-取费表'!B48+'数据-取费表'!B49</f>
        <v>3.0499999999999999E-2</v>
      </c>
      <c r="G7" s="262"/>
    </row>
    <row r="8" spans="1:8" s="266" customFormat="1">
      <c r="A8" s="951" t="s">
        <v>2335</v>
      </c>
      <c r="B8" s="258" t="s">
        <v>2336</v>
      </c>
      <c r="C8" s="263">
        <f ca="1">IF(G8="已包含在土地购买价格中",0,C9+C10)</f>
        <v>13397510</v>
      </c>
      <c r="D8" s="265"/>
      <c r="E8" s="263"/>
      <c r="F8" s="264"/>
      <c r="G8" s="2551"/>
    </row>
    <row r="9" spans="1:8" s="257" customFormat="1" ht="13.5" customHeight="1">
      <c r="A9" s="952" t="s">
        <v>800</v>
      </c>
      <c r="B9" s="267" t="s">
        <v>2337</v>
      </c>
      <c r="C9" s="268">
        <f ca="1">ROUND(D9*E9,0)</f>
        <v>0</v>
      </c>
      <c r="D9" s="1034">
        <f ca="1">IF(B1="",'数据-汇总表'!E5,IF(INDIRECT("'数据-取费表'!c"&amp;$G$1)="住宅",INDIRECT("'数据-取费表'!k"&amp;$G$1),0))</f>
        <v>0</v>
      </c>
      <c r="E9" s="268">
        <f>'数据-取费表'!B27</f>
        <v>430</v>
      </c>
      <c r="F9" s="264"/>
      <c r="G9" s="269"/>
    </row>
    <row r="10" spans="1:8" s="257" customFormat="1" ht="13.5" customHeight="1">
      <c r="A10" s="952" t="s">
        <v>801</v>
      </c>
      <c r="B10" s="267" t="s">
        <v>2339</v>
      </c>
      <c r="C10" s="268">
        <f ca="1">ROUND(D10*E10,0)</f>
        <v>13397510</v>
      </c>
      <c r="D10" s="1034">
        <f ca="1">IF(B1="",'数据-汇总表'!E6,IF(INDIRECT("'数据-取费表'!c"&amp;$G$1)="住宅",INDIRECT("'数据-取费表'!s"&amp;$G$1),INDIRECT("'数据-取费表'!k"&amp;$G$1)+INDIRECT("'数据-取费表'!s"&amp;$G$1)))</f>
        <v>31156.999999999996</v>
      </c>
      <c r="E10" s="268">
        <f>'数据-取费表'!B28</f>
        <v>430</v>
      </c>
      <c r="F10" s="264"/>
      <c r="G10" s="269"/>
    </row>
    <row r="11" spans="1:8" s="257" customFormat="1" ht="13.5" hidden="1" customHeight="1">
      <c r="A11" s="270" t="s">
        <v>7</v>
      </c>
      <c r="B11" s="258" t="s">
        <v>2340</v>
      </c>
      <c r="C11" s="254"/>
      <c r="D11" s="1036"/>
      <c r="E11" s="261"/>
      <c r="F11" s="261"/>
      <c r="G11" s="262"/>
    </row>
    <row r="12" spans="1:8" s="257" customFormat="1" ht="13.5" hidden="1" customHeight="1">
      <c r="A12" s="270" t="s">
        <v>8</v>
      </c>
      <c r="B12" s="258" t="s">
        <v>2423</v>
      </c>
      <c r="C12" s="254">
        <v>0</v>
      </c>
      <c r="D12" s="1036"/>
      <c r="E12" s="271"/>
      <c r="F12" s="264">
        <v>3.0499999999999999E-2</v>
      </c>
      <c r="G12" s="262"/>
    </row>
    <row r="13" spans="1:8" s="257" customFormat="1" ht="13.5" hidden="1" customHeight="1">
      <c r="A13" s="270" t="s">
        <v>9</v>
      </c>
      <c r="B13" s="258" t="s">
        <v>2424</v>
      </c>
      <c r="C13" s="254"/>
      <c r="D13" s="1036"/>
      <c r="E13" s="261"/>
      <c r="F13" s="261"/>
      <c r="G13" s="262"/>
    </row>
    <row r="14" spans="1:8" s="257" customFormat="1" ht="13.5" hidden="1" customHeight="1">
      <c r="A14" s="270" t="s">
        <v>10</v>
      </c>
      <c r="B14" s="258" t="s">
        <v>2336</v>
      </c>
      <c r="C14" s="254"/>
      <c r="D14" s="1036"/>
      <c r="E14" s="261"/>
      <c r="F14" s="261"/>
      <c r="G14" s="262" t="s">
        <v>2425</v>
      </c>
    </row>
    <row r="15" spans="1:8" s="257" customFormat="1" ht="13.5" hidden="1" customHeight="1">
      <c r="A15" s="270" t="s">
        <v>11</v>
      </c>
      <c r="B15" s="258" t="s">
        <v>2426</v>
      </c>
      <c r="C15" s="263"/>
      <c r="D15" s="1036"/>
      <c r="E15" s="261"/>
      <c r="F15" s="261"/>
      <c r="G15" s="262" t="s">
        <v>2427</v>
      </c>
    </row>
    <row r="16" spans="1:8" s="257" customFormat="1" ht="13.5" hidden="1" customHeight="1">
      <c r="A16" s="270" t="s">
        <v>12</v>
      </c>
      <c r="B16" s="258" t="s">
        <v>2336</v>
      </c>
      <c r="C16" s="263"/>
      <c r="D16" s="1036"/>
      <c r="E16" s="261"/>
      <c r="F16" s="261"/>
      <c r="G16" s="262"/>
    </row>
    <row r="17" spans="1:7" s="257" customFormat="1" ht="13.5" hidden="1" customHeight="1">
      <c r="A17" s="270" t="s">
        <v>13</v>
      </c>
      <c r="B17" s="258" t="s">
        <v>2428</v>
      </c>
      <c r="C17" s="272"/>
      <c r="D17" s="1037"/>
      <c r="E17" s="272"/>
      <c r="F17" s="272"/>
      <c r="G17" s="262" t="s">
        <v>2427</v>
      </c>
    </row>
    <row r="18" spans="1:7" s="257" customFormat="1" ht="13.5" hidden="1" customHeight="1">
      <c r="A18" s="270" t="s">
        <v>14</v>
      </c>
      <c r="B18" s="258" t="s">
        <v>2429</v>
      </c>
      <c r="C18" s="263">
        <v>0</v>
      </c>
      <c r="D18" s="1036"/>
      <c r="E18" s="261"/>
      <c r="F18" s="264">
        <v>3.0499999999999999E-2</v>
      </c>
      <c r="G18" s="262" t="s">
        <v>2430</v>
      </c>
    </row>
    <row r="19" spans="1:7" s="266" customFormat="1" ht="13.5" customHeight="1">
      <c r="A19" s="298" t="s">
        <v>2431</v>
      </c>
      <c r="B19" s="253" t="s">
        <v>2432</v>
      </c>
      <c r="C19" s="254">
        <f ca="1">IF(G19="已包含在土地取得成本中","0",ROUND(D19*E19,0))</f>
        <v>6231400</v>
      </c>
      <c r="D19" s="1038">
        <f ca="1">D9+D10</f>
        <v>31156.999999999996</v>
      </c>
      <c r="E19" s="254">
        <f>'数据-取费表'!B31</f>
        <v>200</v>
      </c>
      <c r="F19" s="274"/>
      <c r="G19" s="2551"/>
    </row>
    <row r="20" spans="1:7" s="257" customFormat="1" ht="13.5" customHeight="1">
      <c r="A20" s="298" t="s">
        <v>2433</v>
      </c>
      <c r="B20" s="253" t="s">
        <v>2434</v>
      </c>
      <c r="C20" s="275">
        <f ca="1">ROUND((C5+C19)*F20,0)</f>
        <v>392578</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82">
        <f ca="1">ROUND(SUM(C23:C25),0)</f>
        <v>1428943</v>
      </c>
      <c r="D22" s="278">
        <f ca="1">C26</f>
        <v>6.9999999999999999E-4</v>
      </c>
      <c r="E22" s="279" t="s">
        <v>2438</v>
      </c>
      <c r="F22" s="280">
        <f ca="1">'数据-取费表'!B40</f>
        <v>4.7500000000000001E-2</v>
      </c>
      <c r="G22" s="277" t="str">
        <f>IF('数据-取费表'!B22&lt;=1,"单利计息","复利计息")</f>
        <v>复利计息</v>
      </c>
    </row>
    <row r="23" spans="1:7" s="257" customFormat="1" ht="13.5" customHeight="1">
      <c r="A23" s="953" t="s">
        <v>2331</v>
      </c>
      <c r="B23" s="258" t="s">
        <v>2442</v>
      </c>
      <c r="C23" s="1383">
        <f ca="1">ROUND(IF('数据-取费表'!B22&lt;=1,C5*F22*'数据-取费表'!B22,C5*(POWER((1+F22),'数据-取费表'!B22)-1)),0)</f>
        <v>965820</v>
      </c>
      <c r="D23" s="281"/>
      <c r="E23" s="281"/>
      <c r="F23" s="282"/>
      <c r="G23" s="283" t="s">
        <v>2443</v>
      </c>
    </row>
    <row r="24" spans="1:7" s="257" customFormat="1" ht="13.5" customHeight="1">
      <c r="A24" s="953" t="s">
        <v>2333</v>
      </c>
      <c r="B24" s="258" t="s">
        <v>2444</v>
      </c>
      <c r="C24" s="1383">
        <f ca="1">ROUND(IF('数据-取费表'!B22&lt;=1,C19*F22*('数据-取费表'!B19/2+'数据-取费表'!B20),C19*(POWER((1+F22),('数据-取费表'!B19/2+'数据-取费表'!B20))-1)),0)</f>
        <v>449219</v>
      </c>
      <c r="D24" s="281"/>
      <c r="E24" s="281"/>
      <c r="F24" s="282"/>
      <c r="G24" s="283" t="s">
        <v>2445</v>
      </c>
    </row>
    <row r="25" spans="1:7" s="257" customFormat="1" ht="24">
      <c r="A25" s="953" t="s">
        <v>2335</v>
      </c>
      <c r="B25" s="258" t="s">
        <v>2446</v>
      </c>
      <c r="C25" s="1383">
        <f ca="1">ROUND(IF('数据-取费表'!B22&lt;=1,C20*F22*'数据-取费表'!B22/2,C20*(POWER((1+F22),'数据-取费表'!B22/2)-1)),0)</f>
        <v>13904</v>
      </c>
      <c r="D25" s="281"/>
      <c r="E25" s="284"/>
      <c r="F25" s="282"/>
      <c r="G25" s="285" t="s">
        <v>2447</v>
      </c>
    </row>
    <row r="26" spans="1:7" s="257" customFormat="1">
      <c r="A26" s="953" t="s">
        <v>795</v>
      </c>
      <c r="B26" s="258" t="s">
        <v>2370</v>
      </c>
      <c r="C26" s="281">
        <f ca="1">ROUND(IF('数据-取费表'!B22&lt;=1,F21*F22*'数据-取费表'!B22/2,F21*(POWER((1+F22),'数据-取费表'!B22/2)-1)),4)</f>
        <v>6.9999999999999999E-4</v>
      </c>
      <c r="D26" s="281"/>
      <c r="E26" s="284"/>
      <c r="F26" s="282"/>
      <c r="G26" s="286"/>
    </row>
    <row r="27" spans="1:7" s="257" customFormat="1" ht="24.75">
      <c r="A27" s="298" t="s">
        <v>2371</v>
      </c>
      <c r="B27" s="287" t="s">
        <v>2372</v>
      </c>
      <c r="C27" s="288">
        <f ca="1">C28</f>
        <v>2002149</v>
      </c>
      <c r="D27" s="278">
        <f ca="1">C29</f>
        <v>2E-3</v>
      </c>
      <c r="E27" s="279" t="s">
        <v>2373</v>
      </c>
      <c r="F27" s="289">
        <f ca="1">IF(B1="",'数据-取费表'!Q16,INDIRECT("'数据-取费表'!q"&amp;$G$1))</f>
        <v>0.1</v>
      </c>
      <c r="G27" s="290" t="s">
        <v>2374</v>
      </c>
    </row>
    <row r="28" spans="1:7" s="257" customFormat="1" ht="13.5" customHeight="1">
      <c r="A28" s="953" t="s">
        <v>791</v>
      </c>
      <c r="B28" s="291" t="s">
        <v>2375</v>
      </c>
      <c r="C28" s="292">
        <f ca="1">ROUND((C5+C19+C20)*F27,0)</f>
        <v>2002149</v>
      </c>
      <c r="D28" s="278"/>
      <c r="E28" s="279"/>
      <c r="F28" s="289"/>
      <c r="G28" s="290"/>
    </row>
    <row r="29" spans="1:7" s="257" customFormat="1" ht="13.5" customHeight="1">
      <c r="A29" s="953" t="s">
        <v>792</v>
      </c>
      <c r="B29" s="291" t="s">
        <v>2376</v>
      </c>
      <c r="C29" s="281">
        <f ca="1">ROUND(C21*F27,4)</f>
        <v>2E-3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25356882</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84373156</v>
      </c>
      <c r="D33" s="275"/>
      <c r="E33" s="255"/>
      <c r="F33" s="284"/>
      <c r="G33" s="277"/>
    </row>
    <row r="34" spans="1:7" s="301" customFormat="1" ht="13.5" customHeight="1">
      <c r="A34" s="953" t="s">
        <v>791</v>
      </c>
      <c r="B34" s="258" t="s">
        <v>2384</v>
      </c>
      <c r="C34" s="263">
        <f ca="1">ROUND(IF(B1="",SUMPRODUCT('数据-取费表'!K6:K14,'数据-取费表'!L6:L14),INDIRECT("'数据-取费表'!l"&amp;$G$1)*INDIRECT("'数据-取费表'!k"&amp;$G$1)+'数据-取费表'!L14*INDIRECT("'数据-取费表'!S"&amp;$G$1)),0)</f>
        <v>74776800</v>
      </c>
      <c r="D34" s="260"/>
      <c r="E34" s="263"/>
      <c r="F34" s="300"/>
      <c r="G34" s="262"/>
    </row>
    <row r="35" spans="1:7" ht="13.5" customHeight="1">
      <c r="A35" s="953" t="s">
        <v>796</v>
      </c>
      <c r="B35" s="258" t="s">
        <v>2386</v>
      </c>
      <c r="C35" s="263">
        <f ca="1">ROUND(C34*F35,0)</f>
        <v>2243304</v>
      </c>
      <c r="D35" s="263"/>
      <c r="E35" s="263"/>
      <c r="F35" s="302">
        <f>'数据-取费表'!B33</f>
        <v>0.03</v>
      </c>
      <c r="G35" s="262" t="s">
        <v>2387</v>
      </c>
    </row>
    <row r="36" spans="1:7" ht="24">
      <c r="A36" s="953"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3" t="s">
        <v>798</v>
      </c>
      <c r="B37" s="258" t="s">
        <v>2390</v>
      </c>
      <c r="C37" s="292">
        <f ca="1">ROUND(E37*D37,0)</f>
        <v>6231400</v>
      </c>
      <c r="D37" s="260">
        <f ca="1">D19</f>
        <v>31156.999999999996</v>
      </c>
      <c r="E37" s="292">
        <f>'数据-取费表'!B35</f>
        <v>200</v>
      </c>
      <c r="F37" s="302"/>
      <c r="G37" s="304"/>
    </row>
    <row r="38" spans="1:7" ht="13.5" customHeight="1">
      <c r="A38" s="953" t="s">
        <v>799</v>
      </c>
      <c r="B38" s="258" t="s">
        <v>2392</v>
      </c>
      <c r="C38" s="263">
        <f ca="1">ROUND(C34*F38,0)</f>
        <v>1121652</v>
      </c>
      <c r="D38" s="263"/>
      <c r="E38" s="263"/>
      <c r="F38" s="302">
        <f>'数据-取费表'!B36</f>
        <v>1.4999999999999999E-2</v>
      </c>
      <c r="G38" s="262" t="s">
        <v>2387</v>
      </c>
    </row>
    <row r="39" spans="1:7" s="257" customFormat="1" ht="13.5" customHeight="1">
      <c r="A39" s="298" t="s">
        <v>2393</v>
      </c>
      <c r="B39" s="253" t="s">
        <v>2394</v>
      </c>
      <c r="C39" s="275">
        <f ca="1">ROUND(C33*F20,0)</f>
        <v>1687463</v>
      </c>
      <c r="D39" s="275"/>
      <c r="E39" s="275"/>
      <c r="F39" s="276"/>
      <c r="G39" s="277" t="s">
        <v>2395</v>
      </c>
    </row>
    <row r="40" spans="1:7" s="257" customFormat="1" ht="13.5" customHeight="1">
      <c r="A40" s="298" t="s">
        <v>2396</v>
      </c>
      <c r="B40" s="253" t="s">
        <v>2397</v>
      </c>
      <c r="C40" s="1730">
        <f>F21</f>
        <v>0.02</v>
      </c>
      <c r="D40" s="279" t="s">
        <v>2398</v>
      </c>
      <c r="E40" s="275"/>
      <c r="F40" s="276"/>
      <c r="G40" s="277" t="s">
        <v>2399</v>
      </c>
    </row>
    <row r="41" spans="1:7" s="257" customFormat="1" ht="13.5" customHeight="1">
      <c r="A41" s="298" t="s">
        <v>2400</v>
      </c>
      <c r="B41" s="253" t="s">
        <v>2401</v>
      </c>
      <c r="C41" s="275">
        <f ca="1">ROUND(SUM(C42:C43),0)</f>
        <v>3048057</v>
      </c>
      <c r="D41" s="278">
        <f ca="1">C44</f>
        <v>6.9999999999999999E-4</v>
      </c>
      <c r="E41" s="279" t="s">
        <v>2398</v>
      </c>
      <c r="F41" s="280"/>
      <c r="G41" s="277" t="str">
        <f>IF('数据-取费表'!B22&lt;=1,"单利计息","复利计息")</f>
        <v>复利计息</v>
      </c>
    </row>
    <row r="42" spans="1:7" ht="13.5" customHeight="1">
      <c r="A42" s="953" t="s">
        <v>791</v>
      </c>
      <c r="B42" s="258" t="s">
        <v>2402</v>
      </c>
      <c r="C42" s="281">
        <f ca="1">ROUND(IF('数据-取费表'!B22&lt;=1,C33*F22*'数据-取费表'!B20/2,C33*(POWER((1+F22),'数据-取费表'!B20/2)-1)),0)</f>
        <v>2988291</v>
      </c>
      <c r="D42" s="281"/>
      <c r="E42" s="281"/>
      <c r="F42" s="282"/>
      <c r="G42" s="3155" t="s">
        <v>2450</v>
      </c>
    </row>
    <row r="43" spans="1:7" ht="13.5" customHeight="1">
      <c r="A43" s="953" t="s">
        <v>792</v>
      </c>
      <c r="B43" s="258" t="s">
        <v>2404</v>
      </c>
      <c r="C43" s="281">
        <f ca="1">ROUND(IF('数据-取费表'!B22&lt;=1,C39*F22*'数据-取费表'!B20/2,C39*(POWER((1+F22),'数据-取费表'!B20/2)-1)),0)</f>
        <v>59766</v>
      </c>
      <c r="D43" s="281"/>
      <c r="E43" s="281"/>
      <c r="F43" s="282"/>
      <c r="G43" s="3156"/>
    </row>
    <row r="44" spans="1:7" ht="13.5" customHeight="1">
      <c r="A44" s="953" t="s">
        <v>793</v>
      </c>
      <c r="B44" s="258" t="s">
        <v>2405</v>
      </c>
      <c r="C44" s="281">
        <f ca="1">ROUND(IF('数据-取费表'!B22&lt;=1,C40*F22*'数据-取费表'!B20/2,C40*(POWER((1+F22),'数据-取费表'!B20/2)-1)),4)</f>
        <v>6.9999999999999999E-4</v>
      </c>
      <c r="D44" s="281"/>
      <c r="E44" s="281"/>
      <c r="F44" s="282"/>
      <c r="G44" s="3157"/>
    </row>
    <row r="45" spans="1:7" s="257" customFormat="1" ht="13.5" customHeight="1">
      <c r="A45" s="298" t="s">
        <v>2406</v>
      </c>
      <c r="B45" s="287" t="s">
        <v>2372</v>
      </c>
      <c r="C45" s="288">
        <f ca="1">C46</f>
        <v>8606062</v>
      </c>
      <c r="D45" s="278">
        <f ca="1">C47</f>
        <v>2E-3</v>
      </c>
      <c r="E45" s="279" t="s">
        <v>2398</v>
      </c>
      <c r="F45" s="289"/>
      <c r="G45" s="290" t="s">
        <v>2407</v>
      </c>
    </row>
    <row r="46" spans="1:7" s="257" customFormat="1" ht="13.5" customHeight="1">
      <c r="A46" s="953" t="s">
        <v>791</v>
      </c>
      <c r="B46" s="291" t="s">
        <v>2408</v>
      </c>
      <c r="C46" s="292">
        <f ca="1">ROUND((C33+C39)*F27,0)</f>
        <v>8606062</v>
      </c>
      <c r="D46" s="306"/>
      <c r="E46" s="279"/>
      <c r="F46" s="289"/>
      <c r="G46" s="290"/>
    </row>
    <row r="47" spans="1:7" s="257" customFormat="1" ht="13.5" customHeight="1">
      <c r="A47" s="953" t="s">
        <v>792</v>
      </c>
      <c r="B47" s="291" t="s">
        <v>2409</v>
      </c>
      <c r="C47" s="281">
        <f ca="1">ROUND(C40*F27,4)</f>
        <v>2E-3</v>
      </c>
      <c r="D47" s="306"/>
      <c r="E47" s="279"/>
      <c r="F47" s="289"/>
      <c r="G47" s="290"/>
    </row>
    <row r="48" spans="1:7" s="257" customFormat="1" ht="13.5" customHeight="1">
      <c r="A48" s="298" t="s">
        <v>2371</v>
      </c>
      <c r="B48" s="253" t="s">
        <v>2410</v>
      </c>
      <c r="C48" s="305">
        <f>ROUND(F30/(1+'数据-取费表'!C42),4)</f>
        <v>5.2400000000000002E-2</v>
      </c>
      <c r="D48" s="279" t="s">
        <v>2398</v>
      </c>
      <c r="E48" s="275"/>
      <c r="F48" s="280"/>
      <c r="G48" s="277" t="s">
        <v>2411</v>
      </c>
    </row>
    <row r="49" spans="1:7" ht="16.5" customHeight="1">
      <c r="A49" s="298" t="s">
        <v>2377</v>
      </c>
      <c r="B49" s="253" t="s">
        <v>2451</v>
      </c>
      <c r="C49" s="275">
        <f ca="1">ROUND((C33+C39+C41+C45)/(1-C40-D41-D45-C48),0)</f>
        <v>105648976</v>
      </c>
      <c r="D49" s="275"/>
      <c r="E49" s="275"/>
      <c r="F49" s="307"/>
      <c r="G49" s="277" t="s">
        <v>2413</v>
      </c>
    </row>
    <row r="50" spans="1:7" s="301" customFormat="1">
      <c r="A50" s="298" t="s">
        <v>2414</v>
      </c>
      <c r="B50" s="253" t="s">
        <v>2415</v>
      </c>
      <c r="C50" s="275"/>
      <c r="D50" s="275"/>
      <c r="E50" s="275"/>
      <c r="F50" s="307">
        <f>IF('数据-取费表'!B24=0,'数据-取费表'!N16,1)</f>
        <v>1</v>
      </c>
      <c r="G50" s="290"/>
    </row>
    <row r="51" spans="1:7" ht="16.5" customHeight="1">
      <c r="A51" s="298" t="s">
        <v>2417</v>
      </c>
      <c r="B51" s="253" t="s">
        <v>2452</v>
      </c>
      <c r="C51" s="275">
        <f ca="1">ROUND(C49*F50,0)</f>
        <v>105648976</v>
      </c>
      <c r="D51" s="275"/>
      <c r="E51" s="275"/>
      <c r="F51" s="307"/>
      <c r="G51" s="277" t="s">
        <v>2419</v>
      </c>
    </row>
    <row r="52" spans="1:7" s="251" customFormat="1" ht="16.5" thickBot="1">
      <c r="A52" s="308" t="s">
        <v>2420</v>
      </c>
      <c r="B52" s="309"/>
      <c r="C52" s="310">
        <f ca="1">C31+C51</f>
        <v>131005858</v>
      </c>
      <c r="D52" s="309"/>
      <c r="E52" s="309"/>
      <c r="F52" s="309"/>
      <c r="G52" s="311"/>
    </row>
    <row r="55" spans="1:7" ht="15">
      <c r="B55" s="313" t="s">
        <v>2421</v>
      </c>
      <c r="C55" s="314"/>
    </row>
    <row r="56" spans="1:7">
      <c r="B56" s="316" t="s">
        <v>1509</v>
      </c>
      <c r="C56" s="318">
        <f ca="1">1-C57</f>
        <v>0.19399999999999995</v>
      </c>
    </row>
    <row r="57" spans="1:7">
      <c r="B57" s="316" t="s">
        <v>1510</v>
      </c>
      <c r="C57" s="317">
        <f ca="1">ROUND(C51/C52,3)</f>
        <v>0.80600000000000005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2453</v>
      </c>
      <c r="B1" s="1583"/>
      <c r="C1" s="1584"/>
      <c r="D1" s="1582"/>
      <c r="E1" s="319"/>
      <c r="F1" s="319"/>
      <c r="G1" s="1583"/>
      <c r="H1" s="319"/>
      <c r="I1" s="319"/>
      <c r="J1" s="319"/>
      <c r="K1" s="319">
        <f>MATCH(C1,'数据-取费表'!A6:A16,0)+5</f>
        <v>9</v>
      </c>
    </row>
    <row r="2" spans="1:33" ht="18" customHeight="1">
      <c r="A2" s="244" t="s">
        <v>2321</v>
      </c>
      <c r="B2" s="247">
        <f ca="1">C32</f>
        <v>-1462</v>
      </c>
      <c r="C2" s="319" t="s">
        <v>2454</v>
      </c>
      <c r="D2" s="319"/>
      <c r="E2" s="319"/>
      <c r="F2" s="319"/>
      <c r="G2" s="319"/>
      <c r="H2" s="319"/>
      <c r="I2" s="319"/>
      <c r="J2" s="319"/>
      <c r="K2" s="319"/>
    </row>
    <row r="3" spans="1:33" ht="18" customHeight="1" thickBot="1">
      <c r="A3" s="246" t="s">
        <v>2323</v>
      </c>
      <c r="B3" s="247">
        <f ca="1">ROUND(B2*10000/IF(C1="",'数据-汇总表'!E3,INDIRECT("'数据-取费表'!K"&amp;$K$1)),0)</f>
        <v>-469</v>
      </c>
      <c r="C3" s="319" t="s">
        <v>2455</v>
      </c>
      <c r="D3" s="319"/>
      <c r="E3" s="319"/>
      <c r="F3" s="319"/>
      <c r="G3" s="319"/>
      <c r="H3" s="319"/>
      <c r="I3" s="319"/>
      <c r="J3" s="319"/>
      <c r="K3" s="319"/>
    </row>
    <row r="4" spans="1:33" s="958" customFormat="1" ht="16.5" customHeight="1">
      <c r="A4" s="955" t="s">
        <v>2456</v>
      </c>
      <c r="B4" s="956"/>
      <c r="C4" s="998">
        <f>SUM(C8:K8)</f>
        <v>0</v>
      </c>
      <c r="D4" s="956"/>
      <c r="E4" s="956"/>
      <c r="F4" s="956"/>
      <c r="G4" s="956"/>
      <c r="H4" s="956"/>
      <c r="I4" s="956"/>
      <c r="J4" s="956"/>
      <c r="K4" s="957"/>
    </row>
    <row r="5" spans="1:33" s="962" customFormat="1" ht="24.75">
      <c r="A5" s="959" t="s">
        <v>2457</v>
      </c>
      <c r="B5" s="960" t="s">
        <v>2458</v>
      </c>
      <c r="C5" s="2555" t="s">
        <v>2459</v>
      </c>
      <c r="D5" s="2555" t="s">
        <v>2460</v>
      </c>
      <c r="E5" s="2555" t="s">
        <v>2461</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2465</v>
      </c>
      <c r="B8" s="176" t="s">
        <v>2466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2467</v>
      </c>
      <c r="B9" s="956"/>
      <c r="C9" s="956"/>
      <c r="D9" s="956"/>
      <c r="E9" s="956"/>
      <c r="F9" s="956"/>
      <c r="G9" s="956"/>
      <c r="H9" s="956"/>
      <c r="I9" s="956"/>
      <c r="J9" s="956"/>
      <c r="K9" s="957"/>
    </row>
    <row r="10" spans="1:33" s="972" customFormat="1" ht="13.5" customHeight="1">
      <c r="A10" s="959" t="s">
        <v>2468</v>
      </c>
      <c r="B10" s="8" t="s">
        <v>2469</v>
      </c>
      <c r="C10" s="968" t="s">
        <v>2470</v>
      </c>
      <c r="D10" s="969" t="s">
        <v>2471</v>
      </c>
      <c r="E10" s="969" t="s">
        <v>2472</v>
      </c>
      <c r="F10" s="969" t="s">
        <v>2473</v>
      </c>
      <c r="G10" s="8"/>
      <c r="H10" s="970"/>
      <c r="I10" s="970"/>
      <c r="J10" s="970"/>
      <c r="K10" s="971"/>
    </row>
    <row r="11" spans="1:33" s="977" customFormat="1" ht="13.5" customHeight="1">
      <c r="A11" s="973" t="s">
        <v>1330</v>
      </c>
      <c r="B11" s="974" t="s">
        <v>2474</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1331</v>
      </c>
      <c r="B12" s="974" t="s">
        <v>2475</v>
      </c>
      <c r="C12" s="24">
        <f ca="1">ROUND(C11*F12,0)</f>
        <v>0</v>
      </c>
      <c r="D12" s="975"/>
      <c r="E12" s="374"/>
      <c r="F12" s="978">
        <f>'数据-取费表'!B33</f>
        <v>0.03</v>
      </c>
      <c r="G12" s="8" t="s">
        <v>2476</v>
      </c>
      <c r="H12" s="970"/>
      <c r="I12" s="970"/>
      <c r="J12" s="970"/>
      <c r="K12" s="971"/>
    </row>
    <row r="13" spans="1:33" s="977" customFormat="1" ht="13.5" customHeight="1">
      <c r="A13" s="973" t="s">
        <v>1332</v>
      </c>
      <c r="B13" s="974" t="s">
        <v>2477</v>
      </c>
      <c r="C13" s="24">
        <f ca="1">ROUND(IF(C1="",SUMIF('数据-取费表'!C:C,"住宅",'数据-取费表'!P:P)*F13,IF(INDIRECT("'数据-取费表'!c"&amp;$K$1)="住宅",INDIRECT("'数据-取费表'!P"&amp;$K$1)*F13,0)),0)</f>
        <v>0</v>
      </c>
      <c r="D13" s="1035"/>
      <c r="E13" s="374"/>
      <c r="F13" s="978">
        <f>'数据-取费表'!B34</f>
        <v>0</v>
      </c>
      <c r="G13" s="8" t="s">
        <v>2478</v>
      </c>
      <c r="H13" s="970"/>
      <c r="I13" s="970"/>
      <c r="J13" s="970"/>
      <c r="K13" s="971"/>
    </row>
    <row r="14" spans="1:33" s="979" customFormat="1" ht="13.5" customHeight="1">
      <c r="A14" s="973" t="s">
        <v>1333</v>
      </c>
      <c r="B14" s="974" t="s">
        <v>2479</v>
      </c>
      <c r="C14" s="24">
        <f ca="1">ROUND(D14*E14*F11/10000,0)</f>
        <v>0</v>
      </c>
      <c r="D14" s="1035">
        <f ca="1">IF(C1="",'数据-汇总表'!E3,INDIRECT("'数据-取费表'!K"&amp;$K$1)+INDIRECT("'数据-取费表'!S"&amp;$K$1))</f>
        <v>31156.999999999996</v>
      </c>
      <c r="E14" s="24">
        <f>'数据-取费表'!B35</f>
        <v>200</v>
      </c>
      <c r="F14" s="978"/>
      <c r="G14" s="8" t="s">
        <v>2480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2481</v>
      </c>
      <c r="C15" s="985">
        <f ca="1">ROUND(C11*F15,0)</f>
        <v>0</v>
      </c>
      <c r="D15" s="980"/>
      <c r="E15" s="985"/>
      <c r="F15" s="986">
        <f>'数据-取费表'!B36</f>
        <v>1.4999999999999999E-2</v>
      </c>
      <c r="G15" s="139" t="s">
        <v>2482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2483</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2484</v>
      </c>
      <c r="C17" s="24">
        <f ca="1">ROUND(D17*E17/10000,0)</f>
        <v>0</v>
      </c>
      <c r="D17" s="1035">
        <f ca="1">D14</f>
        <v>31156.999999999996</v>
      </c>
      <c r="E17" s="24">
        <f>'数据-取费表'!B32</f>
        <v>0</v>
      </c>
      <c r="F17" s="980"/>
      <c r="G17" s="139" t="s">
        <v>2485</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2486</v>
      </c>
      <c r="C18" s="24">
        <f ca="1">C19+C20-IF(C1="",'数据-取费表'!B29,IF(G18="已全部缴纳",C19+C20,H18))</f>
        <v>1340</v>
      </c>
      <c r="D18" s="1035"/>
      <c r="E18" s="24"/>
      <c r="F18" s="978"/>
      <c r="G18" s="2557"/>
      <c r="H18" s="1579"/>
      <c r="I18" s="2558" t="s">
        <v>2487</v>
      </c>
      <c r="J18" s="981"/>
      <c r="K18" s="982"/>
    </row>
    <row r="19" spans="1:33" s="977" customFormat="1" ht="13.5" customHeight="1">
      <c r="A19" s="973" t="s">
        <v>805</v>
      </c>
      <c r="B19" s="974" t="s">
        <v>2488</v>
      </c>
      <c r="C19" s="24">
        <f ca="1">ROUND(D19*E19/10000,0)</f>
        <v>0</v>
      </c>
      <c r="D19" s="1035">
        <f ca="1">IF(C1="",'数据-汇总表'!E5,IF(INDIRECT("'数据-取费表'!c"&amp;$K$1)="住宅",INDIRECT("'数据-取费表'!k"&amp;$K$1),0))</f>
        <v>0</v>
      </c>
      <c r="E19" s="24">
        <f>'数据-取费表'!B27</f>
        <v>430</v>
      </c>
      <c r="F19" s="978"/>
      <c r="G19" s="15"/>
      <c r="H19" s="1581"/>
      <c r="I19" s="983"/>
      <c r="J19" s="983"/>
      <c r="K19" s="984"/>
    </row>
    <row r="20" spans="1:33" s="977" customFormat="1" ht="13.5" customHeight="1">
      <c r="A20" s="973" t="s">
        <v>806</v>
      </c>
      <c r="B20" s="974" t="s">
        <v>2489</v>
      </c>
      <c r="C20" s="24">
        <f ca="1">ROUND(D20*E20/10000,0)</f>
        <v>1340</v>
      </c>
      <c r="D20" s="1035">
        <f ca="1">IF(C1="",'数据-汇总表'!E6,IF(INDIRECT("'数据-取费表'!c"&amp;$K$1)="住宅",INDIRECT("'数据-取费表'!s"&amp;$K$1),INDIRECT("'数据-取费表'!k"&amp;$K$1)+INDIRECT("'数据-取费表'!s"&amp;$K$1)))</f>
        <v>31156.999999999996</v>
      </c>
      <c r="E20" s="24">
        <f>'数据-取费表'!B28</f>
        <v>430</v>
      </c>
      <c r="F20" s="978"/>
      <c r="G20" s="15"/>
      <c r="H20" s="983"/>
      <c r="I20" s="983"/>
      <c r="J20" s="983"/>
      <c r="K20" s="984"/>
    </row>
    <row r="21" spans="1:33" s="977" customFormat="1" ht="13.5" customHeight="1">
      <c r="A21" s="963" t="s">
        <v>802</v>
      </c>
      <c r="B21" s="987" t="s">
        <v>2490</v>
      </c>
      <c r="C21" s="988">
        <f ca="1">C16+C17+C18</f>
        <v>1340</v>
      </c>
      <c r="D21" s="989"/>
      <c r="E21" s="324"/>
      <c r="F21" s="324"/>
      <c r="G21" s="139" t="s">
        <v>2491</v>
      </c>
      <c r="H21" s="981"/>
      <c r="I21" s="981"/>
      <c r="J21" s="981"/>
      <c r="K21" s="982"/>
    </row>
    <row r="22" spans="1:33" s="977" customFormat="1" ht="13.5" customHeight="1">
      <c r="A22" s="963" t="s">
        <v>2463</v>
      </c>
      <c r="B22" s="987" t="s">
        <v>2492</v>
      </c>
      <c r="C22" s="988">
        <f ca="1">ROUND(C21*F22,0)</f>
        <v>27</v>
      </c>
      <c r="D22" s="324"/>
      <c r="E22" s="324"/>
      <c r="F22" s="990">
        <f>'数据-取费表'!B37</f>
        <v>0.02</v>
      </c>
      <c r="G22" s="8" t="s">
        <v>2493</v>
      </c>
      <c r="H22" s="970"/>
      <c r="I22" s="970"/>
      <c r="J22" s="970"/>
      <c r="K22" s="971"/>
    </row>
    <row r="23" spans="1:33" s="977" customFormat="1" ht="13.5" customHeight="1">
      <c r="A23" s="963" t="s">
        <v>2465</v>
      </c>
      <c r="B23" s="987" t="s">
        <v>2494</v>
      </c>
      <c r="C23" s="988">
        <f ca="1">ROUND(C4*F23*F11,0)</f>
        <v>0</v>
      </c>
      <c r="D23" s="324"/>
      <c r="E23" s="324"/>
      <c r="F23" s="990">
        <f>'数据-取费表'!B38</f>
        <v>0.02</v>
      </c>
      <c r="G23" s="8" t="s">
        <v>2495</v>
      </c>
      <c r="H23" s="970"/>
      <c r="I23" s="970"/>
      <c r="J23" s="970"/>
      <c r="K23" s="971"/>
    </row>
    <row r="24" spans="1:33" s="977" customFormat="1" ht="13.5" customHeight="1">
      <c r="A24" s="963" t="s">
        <v>2496</v>
      </c>
      <c r="B24" s="987" t="s">
        <v>2497</v>
      </c>
      <c r="C24" s="323">
        <f>ROUND(F24/(1+'数据-取费表'!C42),4)</f>
        <v>2.9000000000000001E-2</v>
      </c>
      <c r="D24" s="324" t="s">
        <v>15</v>
      </c>
      <c r="E24" s="324"/>
      <c r="F24" s="990">
        <f>'数据-取费表'!B48+'数据-取费表'!B49</f>
        <v>3.0499999999999999E-2</v>
      </c>
      <c r="G24" s="8" t="s">
        <v>2498</v>
      </c>
      <c r="H24" s="992"/>
      <c r="I24" s="992"/>
      <c r="J24" s="992"/>
      <c r="K24" s="993"/>
    </row>
    <row r="25" spans="1:33" s="977" customFormat="1" ht="13.5" customHeight="1">
      <c r="A25" s="963" t="s">
        <v>2499</v>
      </c>
      <c r="B25" s="989" t="s">
        <v>2500</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2501</v>
      </c>
      <c r="C26" s="1359">
        <f ca="1">ROUND(IF('数据-取费表'!B22&lt;=1,(1+C24)*F25*'数据-取费表'!B24,(1+C24)*(POWER((1+F25),'数据-取费表'!B24)-1)),4)</f>
        <v>0</v>
      </c>
      <c r="D26" s="327"/>
      <c r="E26" s="328"/>
      <c r="F26" s="329"/>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2502</v>
      </c>
      <c r="C27" s="1360">
        <f ca="1">ROUND(IF('数据-取费表'!B22&lt;=1,(C21+C22+C23)*F25*'数据-取费表'!B24/2,(C21+C22+C23)*(POWER((1+F25),'数据-取费表'!B24/2)-1)),0)</f>
        <v>0</v>
      </c>
      <c r="D27" s="327"/>
      <c r="E27" s="328"/>
      <c r="F27" s="329"/>
      <c r="G27" s="2559" t="str">
        <f>IF('数据-取费表'!B22&lt;=1,"（1）-（3）项×年利率×建设期÷2","（1）-（3）项×((1+年利率)^(建设期÷2)-1)")</f>
        <v>（1）-（3）项×((1+年利率)^(建设期÷2)-1)</v>
      </c>
      <c r="H27" s="981"/>
      <c r="I27" s="981"/>
      <c r="J27" s="981"/>
      <c r="K27" s="982"/>
    </row>
    <row r="28" spans="1:33" s="332" customFormat="1" ht="13.5" customHeight="1">
      <c r="A28" s="963" t="s">
        <v>2503</v>
      </c>
      <c r="B28" s="2560" t="s">
        <v>2504</v>
      </c>
      <c r="C28" s="330">
        <f ca="1">C30</f>
        <v>137</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2505</v>
      </c>
      <c r="C29" s="327">
        <f ca="1">ROUND((1+C24)*F28*'数据-取费表'!B24/'数据-取费表'!B20,4)</f>
        <v>0</v>
      </c>
      <c r="D29" s="327"/>
      <c r="E29" s="328"/>
      <c r="F29" s="333"/>
      <c r="G29" s="139" t="s">
        <v>2506</v>
      </c>
      <c r="H29" s="981"/>
      <c r="I29" s="981"/>
      <c r="J29" s="981"/>
      <c r="K29" s="982"/>
    </row>
    <row r="30" spans="1:33" s="334" customFormat="1" ht="13.5" customHeight="1">
      <c r="A30" s="973" t="s">
        <v>804</v>
      </c>
      <c r="B30" s="996" t="s">
        <v>2507</v>
      </c>
      <c r="C30" s="335">
        <f ca="1">ROUND((C21+C22+C23)*F28,0)</f>
        <v>137</v>
      </c>
      <c r="D30" s="327"/>
      <c r="E30" s="328"/>
      <c r="F30" s="333"/>
      <c r="G30" s="139"/>
      <c r="H30" s="981"/>
      <c r="I30" s="981"/>
      <c r="J30" s="981"/>
      <c r="K30" s="982"/>
    </row>
    <row r="31" spans="1:33" s="977" customFormat="1" ht="13.5" customHeight="1" thickBot="1">
      <c r="A31" s="2561" t="s">
        <v>2508</v>
      </c>
      <c r="B31" s="1007" t="s">
        <v>2509</v>
      </c>
      <c r="C31" s="1008">
        <f>ROUND(C4*F31/(1+'数据-取费表'!C42),0)</f>
        <v>0</v>
      </c>
      <c r="D31" s="1009"/>
      <c r="E31" s="1010"/>
      <c r="F31" s="1011">
        <f>'数据-取费表'!B41</f>
        <v>5.5000000000000007E-2</v>
      </c>
      <c r="G31" s="1012" t="s">
        <v>2510</v>
      </c>
      <c r="H31" s="1013"/>
      <c r="I31" s="1013"/>
      <c r="J31" s="1013"/>
      <c r="K31" s="1014"/>
    </row>
    <row r="32" spans="1:33" s="972" customFormat="1" ht="13.5" customHeight="1" thickBot="1">
      <c r="A32" s="1002" t="s">
        <v>2511</v>
      </c>
      <c r="B32" s="1003"/>
      <c r="C32" s="1004">
        <f ca="1">ROUND((C4-C21-C22-C23-C25-C28-C31)/(1+C24+D25+D28),0)</f>
        <v>-1462</v>
      </c>
      <c r="D32" s="1003"/>
      <c r="E32" s="1003"/>
      <c r="F32" s="1003"/>
      <c r="G32" s="1005" t="s">
        <v>2512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abSelected="1" topLeftCell="A65" zoomScale="90" zoomScaleNormal="90" workbookViewId="0">
      <selection activeCell="M23" sqref="M2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2522</v>
      </c>
      <c r="B1" s="2583" t="s">
        <v>2636</v>
      </c>
      <c r="C1" s="1636" t="s">
        <v>2524</v>
      </c>
      <c r="D1" s="1623" t="s">
        <v>3096</v>
      </c>
      <c r="E1" s="2658"/>
      <c r="F1" s="2585" t="s">
        <v>3106</v>
      </c>
      <c r="G1" s="1633" t="s">
        <v>2637</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7" customFormat="1" ht="28.5" customHeight="1" thickTop="1">
      <c r="A2" s="1619" t="s">
        <v>2321</v>
      </c>
      <c r="B2" s="1420">
        <f>IF(C2="——",ROUND(C49*D3/10000,0),ROUND(C49*D3/10000,0)-D2)</f>
        <v>1121</v>
      </c>
      <c r="C2" s="2587" t="s">
        <v>70</v>
      </c>
      <c r="D2" s="1367" t="e">
        <f ca="1">SUMIF(INDIRECT("'"&amp;F2&amp;"'"&amp;"!A:A"),"承租人权益价值",INDIRECT("'"&amp;F2&amp;"'"&amp;"!c:c"))</f>
        <v>#REF!</v>
      </c>
      <c r="E2" s="2588" t="s">
        <v>2322</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7" customFormat="1" ht="28.5" customHeight="1" thickBot="1">
      <c r="A3" s="246" t="s">
        <v>2323</v>
      </c>
      <c r="B3" s="608">
        <f>IF(C2="——",C49,ROUND(B2*10000/D3,0))</f>
        <v>38923</v>
      </c>
      <c r="C3" s="399" t="s">
        <v>2638</v>
      </c>
      <c r="D3" s="398">
        <f>IF(D1="",'数据-汇总表'!E3,SUMIF('数据-汇总表'!$C19:$C33,D1,'数据-汇总表'!$E19:$E33))</f>
        <v>287.93</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0" t="s">
        <v>2639</v>
      </c>
      <c r="B4" s="401"/>
      <c r="C4" s="3177" t="s">
        <v>2640</v>
      </c>
      <c r="D4" s="3178"/>
      <c r="E4" s="3179" t="s">
        <v>2641</v>
      </c>
      <c r="F4" s="3180"/>
      <c r="G4" s="3177" t="s">
        <v>2642</v>
      </c>
      <c r="H4" s="3178"/>
      <c r="I4" s="3177" t="s">
        <v>2643</v>
      </c>
      <c r="J4" s="3178"/>
      <c r="K4" s="609" t="s">
        <v>2644</v>
      </c>
      <c r="L4" s="1132"/>
      <c r="M4" s="1133"/>
      <c r="N4" s="1133"/>
      <c r="O4" s="1133"/>
      <c r="P4" s="3181" t="s">
        <v>2645</v>
      </c>
      <c r="Q4" s="3182"/>
      <c r="R4" s="3164" t="s">
        <v>2641</v>
      </c>
      <c r="S4" s="3165"/>
      <c r="T4" s="3164" t="s">
        <v>2642</v>
      </c>
      <c r="U4" s="3165"/>
      <c r="V4" s="3161" t="s">
        <v>2643</v>
      </c>
      <c r="W4" s="3161"/>
      <c r="X4" s="1815"/>
      <c r="Y4" s="3164" t="s">
        <v>2645</v>
      </c>
      <c r="Z4" s="3165"/>
      <c r="AA4" s="3158" t="s">
        <v>2641</v>
      </c>
      <c r="AB4" s="3161" t="s">
        <v>2642</v>
      </c>
      <c r="AC4" s="3158" t="s">
        <v>2643</v>
      </c>
    </row>
    <row r="5" spans="1:29" ht="15">
      <c r="A5" s="403"/>
      <c r="B5" s="404"/>
      <c r="C5" s="3170" t="s">
        <v>2536</v>
      </c>
      <c r="D5" s="3171"/>
      <c r="E5" s="3168" t="s">
        <v>2537</v>
      </c>
      <c r="F5" s="3169"/>
      <c r="G5" s="3170" t="s">
        <v>2538</v>
      </c>
      <c r="H5" s="3171"/>
      <c r="I5" s="3170" t="s">
        <v>2539</v>
      </c>
      <c r="J5" s="3171"/>
      <c r="K5" s="609"/>
      <c r="L5" s="1132"/>
      <c r="M5" s="1133"/>
      <c r="N5" s="1133"/>
      <c r="O5" s="1133"/>
      <c r="P5" s="3183"/>
      <c r="Q5" s="3184"/>
      <c r="R5" s="3166"/>
      <c r="S5" s="3167"/>
      <c r="T5" s="3166"/>
      <c r="U5" s="3167"/>
      <c r="V5" s="3161"/>
      <c r="W5" s="3161"/>
      <c r="X5" s="1815"/>
      <c r="Y5" s="3166"/>
      <c r="Z5" s="3167"/>
      <c r="AA5" s="3159"/>
      <c r="AB5" s="3161"/>
      <c r="AC5" s="3159"/>
    </row>
    <row r="6" spans="1:29" ht="15.75" thickBot="1">
      <c r="A6" s="405"/>
      <c r="B6" s="406"/>
      <c r="C6" s="3172" t="s">
        <v>2540</v>
      </c>
      <c r="D6" s="3173"/>
      <c r="E6" s="3174" t="s">
        <v>2540</v>
      </c>
      <c r="F6" s="3175"/>
      <c r="G6" s="3172" t="s">
        <v>2540</v>
      </c>
      <c r="H6" s="3173"/>
      <c r="I6" s="3172" t="s">
        <v>2540</v>
      </c>
      <c r="J6" s="3173"/>
      <c r="K6" s="609" t="s">
        <v>2541</v>
      </c>
      <c r="L6" s="1132"/>
      <c r="M6" s="1133"/>
      <c r="N6" s="1133"/>
      <c r="O6" s="1133"/>
      <c r="P6" s="3185"/>
      <c r="Q6" s="3186"/>
      <c r="R6" s="3166"/>
      <c r="S6" s="3167"/>
      <c r="T6" s="3187"/>
      <c r="U6" s="3188"/>
      <c r="V6" s="3161"/>
      <c r="W6" s="3161"/>
      <c r="X6" s="1815"/>
      <c r="Y6" s="3187"/>
      <c r="Z6" s="3188"/>
      <c r="AA6" s="3160"/>
      <c r="AB6" s="3161"/>
      <c r="AC6" s="3160"/>
    </row>
    <row r="7" spans="1:29" s="116" customFormat="1" ht="15.75" thickBot="1">
      <c r="A7" s="407" t="s">
        <v>2542</v>
      </c>
      <c r="B7" s="408"/>
      <c r="C7" s="409">
        <f>'数据-取费表'!B2</f>
        <v>43405</v>
      </c>
      <c r="D7" s="410">
        <v>100</v>
      </c>
      <c r="E7" s="411">
        <v>43405</v>
      </c>
      <c r="F7" s="412">
        <f>SUMIF(58:58,YEAR(E7)&amp;"-"&amp;MONTH(E7),59:59)</f>
        <v>100</v>
      </c>
      <c r="G7" s="411">
        <v>43405</v>
      </c>
      <c r="H7" s="410">
        <f>SUMIF(58:58,YEAR(G7)&amp;"-"&amp;MONTH(G7),59:59)</f>
        <v>100</v>
      </c>
      <c r="I7" s="411">
        <v>43405</v>
      </c>
      <c r="J7" s="410">
        <f>SUMIF(58:58,YEAR(I7)&amp;"-"&amp;MONTH(I7),59:59)</f>
        <v>100</v>
      </c>
      <c r="K7" s="610"/>
      <c r="L7" s="1134"/>
      <c r="M7" s="1135"/>
      <c r="N7" s="1135"/>
      <c r="O7" s="1135"/>
      <c r="P7" s="3162" t="s">
        <v>2543</v>
      </c>
      <c r="Q7" s="3189"/>
      <c r="R7" s="769" t="s">
        <v>17</v>
      </c>
      <c r="S7" s="770">
        <f t="shared" ref="S7:S15" si="0">F7</f>
        <v>100</v>
      </c>
      <c r="T7" s="769" t="s">
        <v>17</v>
      </c>
      <c r="U7" s="770">
        <f t="shared" ref="U7:U15" si="1">H7</f>
        <v>100</v>
      </c>
      <c r="V7" s="769" t="s">
        <v>17</v>
      </c>
      <c r="W7" s="770">
        <f t="shared" ref="W7:W15" si="2">J7</f>
        <v>100</v>
      </c>
      <c r="X7" s="771"/>
      <c r="Y7" s="3162" t="s">
        <v>2543</v>
      </c>
      <c r="Z7" s="3163"/>
      <c r="AA7" s="772">
        <f>D7/F7</f>
        <v>1</v>
      </c>
      <c r="AB7" s="772">
        <f>D7/H7</f>
        <v>1</v>
      </c>
      <c r="AC7" s="772">
        <f>D7/J7</f>
        <v>1</v>
      </c>
    </row>
    <row r="8" spans="1:29" s="116" customFormat="1" ht="15.75" thickBot="1">
      <c r="A8" s="407" t="s">
        <v>2544</v>
      </c>
      <c r="B8" s="408"/>
      <c r="C8" s="413" t="s">
        <v>2646</v>
      </c>
      <c r="D8" s="410">
        <v>100</v>
      </c>
      <c r="E8" s="413" t="s">
        <v>2646</v>
      </c>
      <c r="F8" s="412">
        <f>SUMIF(61:61,E8,62:62)-SUMIF(61:61,C8,62:62)+100</f>
        <v>100</v>
      </c>
      <c r="G8" s="413" t="s">
        <v>2646</v>
      </c>
      <c r="H8" s="410">
        <f>SUMIF(61:61,G8,62:62)-SUMIF(61:61,C8,62:62)+100</f>
        <v>100</v>
      </c>
      <c r="I8" s="413" t="s">
        <v>2646</v>
      </c>
      <c r="J8" s="410">
        <f>SUMIF(61:61,I8,62:62)-SUMIF(61:61,C8,62:62)+100</f>
        <v>100</v>
      </c>
      <c r="K8" s="610"/>
      <c r="L8" s="1134"/>
      <c r="M8" s="1135"/>
      <c r="N8" s="1135"/>
      <c r="O8" s="1135"/>
      <c r="P8" s="3162" t="s">
        <v>2546</v>
      </c>
      <c r="Q8" s="3163"/>
      <c r="R8" s="769" t="s">
        <v>17</v>
      </c>
      <c r="S8" s="770">
        <f t="shared" si="0"/>
        <v>100</v>
      </c>
      <c r="T8" s="769" t="s">
        <v>17</v>
      </c>
      <c r="U8" s="770">
        <f t="shared" si="1"/>
        <v>100</v>
      </c>
      <c r="V8" s="769" t="s">
        <v>17</v>
      </c>
      <c r="W8" s="770">
        <f t="shared" si="2"/>
        <v>100</v>
      </c>
      <c r="X8" s="771"/>
      <c r="Y8" s="3162" t="s">
        <v>2546</v>
      </c>
      <c r="Z8" s="3163"/>
      <c r="AA8" s="772">
        <f t="shared" ref="AA8:AA46" si="3">D8/F8</f>
        <v>1</v>
      </c>
      <c r="AB8" s="772">
        <f t="shared" ref="AB8:AB46" si="4">D8/H8</f>
        <v>1</v>
      </c>
      <c r="AC8" s="772">
        <f t="shared" ref="AC8:AC46" si="5">D8/J8</f>
        <v>1</v>
      </c>
    </row>
    <row r="9" spans="1:29" s="116" customFormat="1">
      <c r="A9" s="414" t="s">
        <v>2547</v>
      </c>
      <c r="B9" s="70" t="s">
        <v>2548</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76" t="s">
        <v>2549</v>
      </c>
      <c r="Q9" s="1797" t="str">
        <f t="shared" ref="Q9:Q15" si="6">B9</f>
        <v>用途</v>
      </c>
      <c r="R9" s="769" t="s">
        <v>17</v>
      </c>
      <c r="S9" s="770">
        <f t="shared" si="0"/>
        <v>100</v>
      </c>
      <c r="T9" s="769" t="s">
        <v>17</v>
      </c>
      <c r="U9" s="770">
        <f t="shared" si="1"/>
        <v>100</v>
      </c>
      <c r="V9" s="769" t="s">
        <v>17</v>
      </c>
      <c r="W9" s="770">
        <f t="shared" si="2"/>
        <v>100</v>
      </c>
      <c r="X9" s="771"/>
      <c r="Y9" s="3035"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76"/>
      <c r="Q10" s="1797"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75" thickBot="1">
      <c r="A11" s="427"/>
      <c r="B11" s="421" t="s">
        <v>2552</v>
      </c>
      <c r="C11" s="428"/>
      <c r="D11" s="135">
        <v>100</v>
      </c>
      <c r="E11" s="429"/>
      <c r="F11" s="424">
        <f>LOOKUP(E11,68:68,69:69)-LOOKUP(C11,68:68,69:69)+100</f>
        <v>100</v>
      </c>
      <c r="G11" s="428"/>
      <c r="H11" s="135">
        <f>LOOKUP(G11,68:68,69:69)-LOOKUP(C11,68:68,69:69)+100</f>
        <v>100</v>
      </c>
      <c r="I11" s="428"/>
      <c r="J11" s="135">
        <f>LOOKUP(I11,68:68,69:69)-LOOKUP(C11,68:68,69:69)+100</f>
        <v>100</v>
      </c>
      <c r="K11" s="611"/>
      <c r="L11" s="1140"/>
      <c r="M11" s="1133"/>
      <c r="N11" s="1133"/>
      <c r="O11" s="1133"/>
      <c r="P11" s="3176"/>
      <c r="Q11" s="1797" t="str">
        <f t="shared" si="6"/>
        <v>容积率</v>
      </c>
      <c r="R11" s="769" t="s">
        <v>17</v>
      </c>
      <c r="S11" s="770">
        <f t="shared" si="0"/>
        <v>100</v>
      </c>
      <c r="T11" s="769" t="s">
        <v>17</v>
      </c>
      <c r="U11" s="770">
        <f t="shared" si="1"/>
        <v>100</v>
      </c>
      <c r="V11" s="769" t="s">
        <v>17</v>
      </c>
      <c r="W11" s="770">
        <f t="shared" si="2"/>
        <v>100</v>
      </c>
      <c r="X11" s="771"/>
      <c r="Y11" s="3035"/>
      <c r="Z11" s="55" t="str">
        <f t="shared" si="7"/>
        <v>容积率</v>
      </c>
      <c r="AA11" s="772">
        <f t="shared" si="3"/>
        <v>1</v>
      </c>
      <c r="AB11" s="772">
        <f t="shared" si="4"/>
        <v>1</v>
      </c>
      <c r="AC11" s="772">
        <f t="shared" si="5"/>
        <v>1</v>
      </c>
    </row>
    <row r="12" spans="1:29" s="116" customFormat="1" ht="15" hidden="1">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76"/>
      <c r="Q12" s="1797">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 hidden="1">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76"/>
      <c r="Q13" s="1797">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15.75" hidden="1"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76"/>
      <c r="Q14" s="1797">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772">
        <f t="shared" si="5"/>
        <v>1</v>
      </c>
    </row>
    <row r="15" spans="1:29" ht="71.25">
      <c r="A15" s="439" t="s">
        <v>2553</v>
      </c>
      <c r="B15" s="68" t="s">
        <v>2647</v>
      </c>
      <c r="C15" s="260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90" t="s">
        <v>2554</v>
      </c>
      <c r="Q15" s="1812" t="str">
        <f t="shared" si="6"/>
        <v>商业繁华度</v>
      </c>
      <c r="R15" s="773" t="s">
        <v>17</v>
      </c>
      <c r="S15" s="774">
        <f t="shared" si="0"/>
        <v>100</v>
      </c>
      <c r="T15" s="773" t="s">
        <v>17</v>
      </c>
      <c r="U15" s="774">
        <f t="shared" si="1"/>
        <v>100</v>
      </c>
      <c r="V15" s="773" t="s">
        <v>17</v>
      </c>
      <c r="W15" s="774">
        <f t="shared" si="2"/>
        <v>100</v>
      </c>
      <c r="X15" s="1815"/>
      <c r="Y15" s="3192" t="s">
        <v>2554</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191"/>
      <c r="Q16" s="1812"/>
      <c r="R16" s="773"/>
      <c r="S16" s="774"/>
      <c r="T16" s="773"/>
      <c r="U16" s="774"/>
      <c r="V16" s="773"/>
      <c r="W16" s="774"/>
      <c r="X16" s="1815"/>
      <c r="Y16" s="3193"/>
      <c r="Z16" s="1816"/>
      <c r="AA16" s="1813">
        <v>1</v>
      </c>
      <c r="AB16" s="1813">
        <v>1</v>
      </c>
      <c r="AC16" s="1813">
        <v>1</v>
      </c>
    </row>
    <row r="17" spans="1:29" ht="85.5">
      <c r="A17" s="427"/>
      <c r="B17" s="450" t="s">
        <v>2089</v>
      </c>
      <c r="C17" s="260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91"/>
      <c r="Q17" s="1812" t="str">
        <f>B17</f>
        <v>交通便捷度</v>
      </c>
      <c r="R17" s="773" t="s">
        <v>17</v>
      </c>
      <c r="S17" s="774">
        <f>F17</f>
        <v>100</v>
      </c>
      <c r="T17" s="773" t="s">
        <v>17</v>
      </c>
      <c r="U17" s="774">
        <f>H17</f>
        <v>100</v>
      </c>
      <c r="V17" s="773" t="s">
        <v>17</v>
      </c>
      <c r="W17" s="774">
        <f>J17</f>
        <v>100</v>
      </c>
      <c r="X17" s="1815"/>
      <c r="Y17" s="3193"/>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33"/>
      <c r="P18" s="3191"/>
      <c r="Q18" s="1812"/>
      <c r="R18" s="773"/>
      <c r="S18" s="774"/>
      <c r="T18" s="773"/>
      <c r="U18" s="774"/>
      <c r="V18" s="773"/>
      <c r="W18" s="774"/>
      <c r="X18" s="1815"/>
      <c r="Y18" s="3193"/>
      <c r="Z18" s="1816"/>
      <c r="AA18" s="1813">
        <v>1</v>
      </c>
      <c r="AB18" s="1813">
        <v>1</v>
      </c>
      <c r="AC18" s="1813">
        <v>1</v>
      </c>
    </row>
    <row r="19" spans="1:29" ht="42.75">
      <c r="A19" s="427"/>
      <c r="B19" s="450" t="s">
        <v>2648</v>
      </c>
      <c r="C19" s="260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91"/>
      <c r="Q19" s="1812" t="str">
        <f>B19</f>
        <v>公共配套设施</v>
      </c>
      <c r="R19" s="773" t="s">
        <v>17</v>
      </c>
      <c r="S19" s="774">
        <f>F19</f>
        <v>100</v>
      </c>
      <c r="T19" s="773" t="s">
        <v>17</v>
      </c>
      <c r="U19" s="774">
        <f>H19</f>
        <v>100</v>
      </c>
      <c r="V19" s="773" t="s">
        <v>17</v>
      </c>
      <c r="W19" s="774">
        <f>J19</f>
        <v>100</v>
      </c>
      <c r="X19" s="1815"/>
      <c r="Y19" s="3193"/>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33"/>
      <c r="P20" s="3191"/>
      <c r="Q20" s="1812"/>
      <c r="R20" s="773"/>
      <c r="S20" s="774"/>
      <c r="T20" s="773"/>
      <c r="U20" s="774"/>
      <c r="V20" s="773"/>
      <c r="W20" s="774"/>
      <c r="X20" s="1815"/>
      <c r="Y20" s="3193"/>
      <c r="Z20" s="1816"/>
      <c r="AA20" s="1813">
        <v>1</v>
      </c>
      <c r="AB20" s="1813">
        <v>1</v>
      </c>
      <c r="AC20" s="1813">
        <v>1</v>
      </c>
    </row>
    <row r="21" spans="1:29" ht="28.5">
      <c r="A21" s="427"/>
      <c r="B21" s="1386" t="s">
        <v>2649</v>
      </c>
      <c r="C21" s="260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91"/>
      <c r="Q21" s="1812" t="str">
        <f>B21</f>
        <v>基础设施水平</v>
      </c>
      <c r="R21" s="773" t="s">
        <v>17</v>
      </c>
      <c r="S21" s="774">
        <f>F21</f>
        <v>100</v>
      </c>
      <c r="T21" s="773" t="s">
        <v>17</v>
      </c>
      <c r="U21" s="774">
        <f>H21</f>
        <v>100</v>
      </c>
      <c r="V21" s="773" t="s">
        <v>17</v>
      </c>
      <c r="W21" s="774">
        <f>J21</f>
        <v>100</v>
      </c>
      <c r="X21" s="1815"/>
      <c r="Y21" s="3193"/>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33"/>
      <c r="P22" s="3191"/>
      <c r="Q22" s="1812"/>
      <c r="R22" s="773"/>
      <c r="S22" s="774"/>
      <c r="T22" s="773"/>
      <c r="U22" s="774"/>
      <c r="V22" s="773"/>
      <c r="W22" s="774"/>
      <c r="X22" s="1815"/>
      <c r="Y22" s="3193"/>
      <c r="Z22" s="1816"/>
      <c r="AA22" s="1813">
        <v>1</v>
      </c>
      <c r="AB22" s="1813">
        <v>1</v>
      </c>
      <c r="AC22" s="1813">
        <v>1</v>
      </c>
    </row>
    <row r="23" spans="1:29" ht="57">
      <c r="A23" s="427"/>
      <c r="B23" s="450" t="s">
        <v>2094</v>
      </c>
      <c r="C23" s="266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91"/>
      <c r="Q23" s="1812" t="str">
        <f>B23</f>
        <v>自然及人文环境</v>
      </c>
      <c r="R23" s="773" t="s">
        <v>17</v>
      </c>
      <c r="S23" s="774">
        <f>F23</f>
        <v>100</v>
      </c>
      <c r="T23" s="773" t="s">
        <v>17</v>
      </c>
      <c r="U23" s="774">
        <f>H23</f>
        <v>100</v>
      </c>
      <c r="V23" s="773" t="s">
        <v>17</v>
      </c>
      <c r="W23" s="774">
        <f>J23</f>
        <v>100</v>
      </c>
      <c r="X23" s="1815"/>
      <c r="Y23" s="3193"/>
      <c r="Z23" s="1816" t="str">
        <f>Q23</f>
        <v>自然及人文环境</v>
      </c>
      <c r="AA23" s="1813">
        <f t="shared" si="3"/>
        <v>1</v>
      </c>
      <c r="AB23" s="1813">
        <f t="shared" si="4"/>
        <v>1</v>
      </c>
      <c r="AC23" s="1813">
        <f t="shared" si="5"/>
        <v>1</v>
      </c>
    </row>
    <row r="24" spans="1:29" ht="15">
      <c r="A24" s="427"/>
      <c r="B24" s="455"/>
      <c r="C24" s="446"/>
      <c r="D24" s="447"/>
      <c r="E24" s="2606"/>
      <c r="F24" s="448"/>
      <c r="G24" s="2605"/>
      <c r="H24" s="447"/>
      <c r="I24" s="2606"/>
      <c r="J24" s="447"/>
      <c r="K24" s="614"/>
      <c r="L24" s="1142"/>
      <c r="M24" s="1133"/>
      <c r="N24" s="1133"/>
      <c r="O24" s="1133"/>
      <c r="P24" s="3191"/>
      <c r="Q24" s="1812"/>
      <c r="R24" s="773"/>
      <c r="S24" s="774"/>
      <c r="T24" s="773"/>
      <c r="U24" s="774"/>
      <c r="V24" s="773"/>
      <c r="W24" s="774"/>
      <c r="X24" s="1815"/>
      <c r="Y24" s="3193"/>
      <c r="Z24" s="1816"/>
      <c r="AA24" s="1813">
        <v>1</v>
      </c>
      <c r="AB24" s="1813">
        <v>1</v>
      </c>
      <c r="AC24" s="1813">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91"/>
      <c r="Q25" s="1812" t="str">
        <f t="shared" ref="Q25:Q46" si="11">B25</f>
        <v>临街状况</v>
      </c>
      <c r="R25" s="773" t="s">
        <v>17</v>
      </c>
      <c r="S25" s="774">
        <f>F25</f>
        <v>100</v>
      </c>
      <c r="T25" s="773" t="s">
        <v>17</v>
      </c>
      <c r="U25" s="774">
        <f>H25</f>
        <v>100</v>
      </c>
      <c r="V25" s="773" t="s">
        <v>17</v>
      </c>
      <c r="W25" s="774">
        <f>J25</f>
        <v>100</v>
      </c>
      <c r="X25" s="1815"/>
      <c r="Y25" s="3193"/>
      <c r="Z25" s="1816" t="str">
        <f>Q25</f>
        <v>临街状况</v>
      </c>
      <c r="AA25" s="1813">
        <f t="shared" si="3"/>
        <v>1</v>
      </c>
      <c r="AB25" s="1813">
        <f t="shared" si="4"/>
        <v>1</v>
      </c>
      <c r="AC25" s="1813">
        <f t="shared" si="5"/>
        <v>1</v>
      </c>
    </row>
    <row r="26" spans="1:29" ht="15">
      <c r="A26" s="427"/>
      <c r="B26" s="1388" t="s">
        <v>2651</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91"/>
      <c r="Q26" s="1812" t="str">
        <f t="shared" si="11"/>
        <v>平面位置/可视性</v>
      </c>
      <c r="R26" s="773" t="s">
        <v>17</v>
      </c>
      <c r="S26" s="774">
        <f>F26</f>
        <v>100</v>
      </c>
      <c r="T26" s="773" t="s">
        <v>17</v>
      </c>
      <c r="U26" s="774">
        <f>H26</f>
        <v>100</v>
      </c>
      <c r="V26" s="773" t="s">
        <v>17</v>
      </c>
      <c r="W26" s="774">
        <f>J26</f>
        <v>100</v>
      </c>
      <c r="X26" s="1815"/>
      <c r="Y26" s="3193"/>
      <c r="Z26" s="1816" t="str">
        <f>Q26</f>
        <v>平面位置/可视性</v>
      </c>
      <c r="AA26" s="1813">
        <f t="shared" si="3"/>
        <v>1</v>
      </c>
      <c r="AB26" s="1813">
        <f t="shared" si="4"/>
        <v>1</v>
      </c>
      <c r="AC26" s="1813">
        <f t="shared" si="5"/>
        <v>1</v>
      </c>
    </row>
    <row r="27" spans="1:29" s="116" customFormat="1" ht="15">
      <c r="A27" s="430"/>
      <c r="B27" s="450" t="s">
        <v>2652</v>
      </c>
      <c r="C27" s="2666"/>
      <c r="D27" s="461">
        <v>100</v>
      </c>
      <c r="E27" s="2666"/>
      <c r="F27" s="463">
        <f>SUMIF(90:90,E27,91:91)-SUMIF(90:90,C27,91:91)+100</f>
        <v>100</v>
      </c>
      <c r="G27" s="2666"/>
      <c r="H27" s="461">
        <f>SUMIF(90:90,G27,91:91)-SUMIF(90:90,C27,91:91)+100</f>
        <v>100</v>
      </c>
      <c r="I27" s="2666"/>
      <c r="J27" s="461">
        <f>SUMIF(90:90,I27,91:91)-SUMIF(90:90,C27,91:91)+100</f>
        <v>100</v>
      </c>
      <c r="K27" s="611"/>
      <c r="L27" s="1134"/>
      <c r="M27" s="1135"/>
      <c r="N27" s="1135"/>
      <c r="O27" s="1135"/>
      <c r="P27" s="3191"/>
      <c r="Q27" s="1797" t="str">
        <f t="shared" si="11"/>
        <v>人流量</v>
      </c>
      <c r="R27" s="769" t="s">
        <v>17</v>
      </c>
      <c r="S27" s="770">
        <f>F27</f>
        <v>100</v>
      </c>
      <c r="T27" s="769" t="s">
        <v>17</v>
      </c>
      <c r="U27" s="770">
        <f>H27</f>
        <v>100</v>
      </c>
      <c r="V27" s="769" t="s">
        <v>17</v>
      </c>
      <c r="W27" s="770">
        <f>J27</f>
        <v>100</v>
      </c>
      <c r="X27" s="771"/>
      <c r="Y27" s="3193"/>
      <c r="Z27" s="55" t="str">
        <f>Q27</f>
        <v>人流量</v>
      </c>
      <c r="AA27" s="1813">
        <f>D27/F27</f>
        <v>1</v>
      </c>
      <c r="AB27" s="1813">
        <f>D27/H27</f>
        <v>1</v>
      </c>
      <c r="AC27" s="1813">
        <f>D27/J27</f>
        <v>1</v>
      </c>
    </row>
    <row r="28" spans="1:29" ht="15.75" thickBot="1">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91"/>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93"/>
      <c r="Z28" s="1816" t="str">
        <f t="shared" ref="Z28:Z46" si="15">Q28</f>
        <v>楼层</v>
      </c>
      <c r="AA28" s="1813">
        <f t="shared" si="3"/>
        <v>1</v>
      </c>
      <c r="AB28" s="1813">
        <f t="shared" si="4"/>
        <v>1</v>
      </c>
      <c r="AC28" s="1813">
        <f t="shared" si="5"/>
        <v>1</v>
      </c>
    </row>
    <row r="29" spans="1:29" ht="15" hidden="1">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91"/>
      <c r="Q29" s="1812">
        <f t="shared" si="11"/>
        <v>111</v>
      </c>
      <c r="R29" s="773" t="s">
        <v>17</v>
      </c>
      <c r="S29" s="774">
        <f t="shared" si="12"/>
        <v>100</v>
      </c>
      <c r="T29" s="773" t="s">
        <v>17</v>
      </c>
      <c r="U29" s="774">
        <f t="shared" si="13"/>
        <v>100</v>
      </c>
      <c r="V29" s="773" t="s">
        <v>17</v>
      </c>
      <c r="W29" s="774">
        <f t="shared" si="14"/>
        <v>100</v>
      </c>
      <c r="X29" s="1815"/>
      <c r="Y29" s="3193"/>
      <c r="Z29" s="1816">
        <f t="shared" si="15"/>
        <v>111</v>
      </c>
      <c r="AA29" s="1813">
        <f t="shared" si="3"/>
        <v>1</v>
      </c>
      <c r="AB29" s="1813">
        <f t="shared" si="4"/>
        <v>1</v>
      </c>
      <c r="AC29" s="1813">
        <f t="shared" si="5"/>
        <v>1</v>
      </c>
    </row>
    <row r="30" spans="1:29" ht="15" hidden="1">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91"/>
      <c r="Q30" s="1812">
        <f t="shared" si="11"/>
        <v>111</v>
      </c>
      <c r="R30" s="773" t="s">
        <v>17</v>
      </c>
      <c r="S30" s="774">
        <f t="shared" si="12"/>
        <v>100</v>
      </c>
      <c r="T30" s="773" t="s">
        <v>17</v>
      </c>
      <c r="U30" s="774">
        <f t="shared" si="13"/>
        <v>100</v>
      </c>
      <c r="V30" s="773" t="s">
        <v>17</v>
      </c>
      <c r="W30" s="774">
        <f t="shared" si="14"/>
        <v>100</v>
      </c>
      <c r="X30" s="1815"/>
      <c r="Y30" s="3193"/>
      <c r="Z30" s="1816">
        <f t="shared" si="15"/>
        <v>111</v>
      </c>
      <c r="AA30" s="1813">
        <f t="shared" si="3"/>
        <v>1</v>
      </c>
      <c r="AB30" s="1813">
        <f t="shared" si="4"/>
        <v>1</v>
      </c>
      <c r="AC30" s="1813">
        <f t="shared" si="5"/>
        <v>1</v>
      </c>
    </row>
    <row r="31" spans="1:29" ht="15.75" hidden="1"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91"/>
      <c r="Q31" s="1812">
        <f t="shared" si="11"/>
        <v>111</v>
      </c>
      <c r="R31" s="773" t="s">
        <v>17</v>
      </c>
      <c r="S31" s="774">
        <f t="shared" si="12"/>
        <v>100</v>
      </c>
      <c r="T31" s="773" t="s">
        <v>17</v>
      </c>
      <c r="U31" s="774">
        <f t="shared" si="13"/>
        <v>100</v>
      </c>
      <c r="V31" s="773" t="s">
        <v>17</v>
      </c>
      <c r="W31" s="774">
        <f t="shared" si="14"/>
        <v>100</v>
      </c>
      <c r="X31" s="1815"/>
      <c r="Y31" s="3193"/>
      <c r="Z31" s="1816">
        <f t="shared" si="15"/>
        <v>111</v>
      </c>
      <c r="AA31" s="1813">
        <f t="shared" si="3"/>
        <v>1</v>
      </c>
      <c r="AB31" s="1813">
        <f t="shared" si="4"/>
        <v>1</v>
      </c>
      <c r="AC31" s="1813">
        <f t="shared" si="5"/>
        <v>1</v>
      </c>
    </row>
    <row r="32" spans="1:29" ht="15">
      <c r="A32" s="439" t="s">
        <v>2557</v>
      </c>
      <c r="B32" s="70" t="s">
        <v>2654</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2"/>
      <c r="M32" s="1133"/>
      <c r="N32" s="1133"/>
      <c r="O32" s="1133"/>
      <c r="P32" s="3194" t="s">
        <v>2559</v>
      </c>
      <c r="Q32" s="1812" t="str">
        <f t="shared" si="11"/>
        <v>商业类型</v>
      </c>
      <c r="R32" s="773" t="s">
        <v>17</v>
      </c>
      <c r="S32" s="774">
        <f t="shared" si="12"/>
        <v>100</v>
      </c>
      <c r="T32" s="773" t="s">
        <v>17</v>
      </c>
      <c r="U32" s="774">
        <f t="shared" si="13"/>
        <v>100</v>
      </c>
      <c r="V32" s="773" t="s">
        <v>17</v>
      </c>
      <c r="W32" s="774">
        <f t="shared" si="14"/>
        <v>100</v>
      </c>
      <c r="X32" s="1815"/>
      <c r="Y32" s="3197" t="s">
        <v>2559</v>
      </c>
      <c r="Z32" s="1816" t="str">
        <f t="shared" si="15"/>
        <v>商业类型</v>
      </c>
      <c r="AA32" s="1813">
        <f t="shared" si="3"/>
        <v>1</v>
      </c>
      <c r="AB32" s="1813">
        <f t="shared" si="4"/>
        <v>1</v>
      </c>
      <c r="AC32" s="1813">
        <f t="shared" si="5"/>
        <v>1</v>
      </c>
    </row>
    <row r="33" spans="1:29" s="470" customFormat="1" ht="15">
      <c r="A33" s="467"/>
      <c r="B33" s="421" t="s">
        <v>2560</v>
      </c>
      <c r="C33" s="468">
        <f>'数据-汇总表'!F19</f>
        <v>287.93</v>
      </c>
      <c r="D33" s="135">
        <v>100</v>
      </c>
      <c r="E33" s="429">
        <v>62</v>
      </c>
      <c r="F33" s="424">
        <f>LOOKUP(E33,103:103,104:104)-LOOKUP(C33,103:103,104:104)+100</f>
        <v>102</v>
      </c>
      <c r="G33" s="428">
        <v>87</v>
      </c>
      <c r="H33" s="135">
        <f>LOOKUP(G33,103:103,104:104)-LOOKUP(C33,103:103,104:104)+100</f>
        <v>102</v>
      </c>
      <c r="I33" s="428">
        <v>118</v>
      </c>
      <c r="J33" s="135">
        <f>LOOKUP(I33,103:103,104:104)-LOOKUP(C33,103:103,104:104)+100</f>
        <v>102</v>
      </c>
      <c r="K33" s="612"/>
      <c r="L33" s="1140"/>
      <c r="M33" s="1143"/>
      <c r="N33" s="1143"/>
      <c r="O33" s="1143"/>
      <c r="P33" s="3195"/>
      <c r="Q33" s="775" t="str">
        <f t="shared" si="11"/>
        <v>项目建筑规模</v>
      </c>
      <c r="R33" s="776" t="s">
        <v>17</v>
      </c>
      <c r="S33" s="777">
        <f t="shared" si="12"/>
        <v>102</v>
      </c>
      <c r="T33" s="776" t="s">
        <v>17</v>
      </c>
      <c r="U33" s="777">
        <f t="shared" si="13"/>
        <v>102</v>
      </c>
      <c r="V33" s="776" t="s">
        <v>17</v>
      </c>
      <c r="W33" s="777">
        <f t="shared" si="14"/>
        <v>102</v>
      </c>
      <c r="X33" s="778"/>
      <c r="Y33" s="3197"/>
      <c r="Z33" s="779" t="str">
        <f t="shared" si="15"/>
        <v>项目建筑规模</v>
      </c>
      <c r="AA33" s="1813">
        <f t="shared" si="3"/>
        <v>0.98039215686274506</v>
      </c>
      <c r="AB33" s="1813">
        <f t="shared" si="4"/>
        <v>0.98039215686274506</v>
      </c>
      <c r="AC33" s="1813">
        <f t="shared" si="5"/>
        <v>0.98039215686274506</v>
      </c>
    </row>
    <row r="34" spans="1:29" ht="15">
      <c r="A34" s="471"/>
      <c r="B34" s="421" t="s">
        <v>2561</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2"/>
      <c r="M34" s="1133"/>
      <c r="N34" s="1133"/>
      <c r="O34" s="1133"/>
      <c r="P34" s="3195"/>
      <c r="Q34" s="1812" t="str">
        <f t="shared" si="11"/>
        <v>建筑结构</v>
      </c>
      <c r="R34" s="773" t="s">
        <v>17</v>
      </c>
      <c r="S34" s="774">
        <f t="shared" si="12"/>
        <v>100</v>
      </c>
      <c r="T34" s="773" t="s">
        <v>17</v>
      </c>
      <c r="U34" s="774">
        <f t="shared" si="13"/>
        <v>100</v>
      </c>
      <c r="V34" s="773" t="s">
        <v>17</v>
      </c>
      <c r="W34" s="774">
        <f t="shared" si="14"/>
        <v>100</v>
      </c>
      <c r="X34" s="1815"/>
      <c r="Y34" s="3197"/>
      <c r="Z34" s="1816" t="str">
        <f t="shared" si="15"/>
        <v>建筑结构</v>
      </c>
      <c r="AA34" s="1813">
        <f t="shared" si="3"/>
        <v>1</v>
      </c>
      <c r="AB34" s="1813">
        <f t="shared" si="4"/>
        <v>1</v>
      </c>
      <c r="AC34" s="1813">
        <f t="shared" si="5"/>
        <v>1</v>
      </c>
    </row>
    <row r="35" spans="1:29" ht="15">
      <c r="A35" s="471"/>
      <c r="B35" s="421" t="s">
        <v>2655</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2"/>
      <c r="M35" s="1133"/>
      <c r="N35" s="1133"/>
      <c r="O35" s="1133"/>
      <c r="P35" s="3195"/>
      <c r="Q35" s="1812" t="str">
        <f t="shared" si="11"/>
        <v>公共部分装修</v>
      </c>
      <c r="R35" s="773" t="s">
        <v>17</v>
      </c>
      <c r="S35" s="774">
        <f t="shared" si="12"/>
        <v>100</v>
      </c>
      <c r="T35" s="773" t="s">
        <v>17</v>
      </c>
      <c r="U35" s="774">
        <f t="shared" si="13"/>
        <v>100</v>
      </c>
      <c r="V35" s="773" t="s">
        <v>17</v>
      </c>
      <c r="W35" s="774">
        <f t="shared" si="14"/>
        <v>100</v>
      </c>
      <c r="X35" s="1815"/>
      <c r="Y35" s="3197"/>
      <c r="Z35" s="1816" t="str">
        <f t="shared" si="15"/>
        <v>公共部分装修</v>
      </c>
      <c r="AA35" s="1813">
        <f t="shared" si="3"/>
        <v>1</v>
      </c>
      <c r="AB35" s="1813">
        <f t="shared" si="4"/>
        <v>1</v>
      </c>
      <c r="AC35" s="1813">
        <f t="shared" si="5"/>
        <v>1</v>
      </c>
    </row>
    <row r="36" spans="1:29" ht="15">
      <c r="A36" s="471"/>
      <c r="B36" s="421" t="s">
        <v>2656</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c r="L36" s="1142"/>
      <c r="M36" s="1133"/>
      <c r="N36" s="1133"/>
      <c r="O36" s="1133"/>
      <c r="P36" s="3195"/>
      <c r="Q36" s="1812" t="str">
        <f t="shared" si="11"/>
        <v>成新度</v>
      </c>
      <c r="R36" s="773" t="s">
        <v>17</v>
      </c>
      <c r="S36" s="774">
        <f t="shared" si="12"/>
        <v>100</v>
      </c>
      <c r="T36" s="773" t="s">
        <v>17</v>
      </c>
      <c r="U36" s="774">
        <f t="shared" si="13"/>
        <v>100</v>
      </c>
      <c r="V36" s="773" t="s">
        <v>17</v>
      </c>
      <c r="W36" s="774">
        <f t="shared" si="14"/>
        <v>100</v>
      </c>
      <c r="X36" s="1815"/>
      <c r="Y36" s="3197"/>
      <c r="Z36" s="1816" t="str">
        <f t="shared" si="15"/>
        <v>成新度</v>
      </c>
      <c r="AA36" s="1813">
        <f t="shared" si="3"/>
        <v>1</v>
      </c>
      <c r="AB36" s="1813">
        <f t="shared" si="4"/>
        <v>1</v>
      </c>
      <c r="AC36" s="1813">
        <f t="shared" si="5"/>
        <v>1</v>
      </c>
    </row>
    <row r="37" spans="1:29" s="116" customFormat="1" ht="15">
      <c r="A37" s="472"/>
      <c r="B37" s="421" t="s">
        <v>2657</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4"/>
      <c r="M37" s="1135"/>
      <c r="N37" s="1135"/>
      <c r="O37" s="1135"/>
      <c r="P37" s="3195"/>
      <c r="Q37" s="1797" t="str">
        <f t="shared" si="11"/>
        <v>市政基础设施</v>
      </c>
      <c r="R37" s="769" t="s">
        <v>17</v>
      </c>
      <c r="S37" s="770">
        <f t="shared" si="12"/>
        <v>100</v>
      </c>
      <c r="T37" s="769" t="s">
        <v>17</v>
      </c>
      <c r="U37" s="770">
        <f t="shared" si="13"/>
        <v>100</v>
      </c>
      <c r="V37" s="769" t="s">
        <v>17</v>
      </c>
      <c r="W37" s="770">
        <f t="shared" si="14"/>
        <v>100</v>
      </c>
      <c r="X37" s="771"/>
      <c r="Y37" s="3197"/>
      <c r="Z37" s="55" t="str">
        <f t="shared" si="15"/>
        <v>市政基础设施</v>
      </c>
      <c r="AA37" s="772">
        <f t="shared" si="3"/>
        <v>1</v>
      </c>
      <c r="AB37" s="772">
        <f t="shared" si="4"/>
        <v>1</v>
      </c>
      <c r="AC37" s="772">
        <f t="shared" si="5"/>
        <v>1</v>
      </c>
    </row>
    <row r="38" spans="1:29" ht="15">
      <c r="A38" s="471"/>
      <c r="B38" s="421" t="s">
        <v>2658</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2"/>
      <c r="M38" s="1133"/>
      <c r="N38" s="1133"/>
      <c r="O38" s="1133"/>
      <c r="P38" s="3195" t="s">
        <v>2559</v>
      </c>
      <c r="Q38" s="1812" t="str">
        <f t="shared" si="11"/>
        <v>业态</v>
      </c>
      <c r="R38" s="773" t="s">
        <v>17</v>
      </c>
      <c r="S38" s="774">
        <f t="shared" si="12"/>
        <v>100</v>
      </c>
      <c r="T38" s="773" t="s">
        <v>17</v>
      </c>
      <c r="U38" s="774">
        <f t="shared" si="13"/>
        <v>100</v>
      </c>
      <c r="V38" s="773" t="s">
        <v>17</v>
      </c>
      <c r="W38" s="774">
        <f t="shared" si="14"/>
        <v>100</v>
      </c>
      <c r="X38" s="1815"/>
      <c r="Y38" s="3197" t="s">
        <v>2559</v>
      </c>
      <c r="Z38" s="1816" t="str">
        <f t="shared" si="15"/>
        <v>业态</v>
      </c>
      <c r="AA38" s="1813">
        <f t="shared" si="3"/>
        <v>1</v>
      </c>
      <c r="AB38" s="1813">
        <f t="shared" si="4"/>
        <v>1</v>
      </c>
      <c r="AC38" s="1813">
        <f t="shared" si="5"/>
        <v>1</v>
      </c>
    </row>
    <row r="39" spans="1:29" ht="15">
      <c r="A39" s="471"/>
      <c r="B39" s="421" t="s">
        <v>2659</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2"/>
      <c r="M39" s="1133"/>
      <c r="N39" s="1133"/>
      <c r="O39" s="1133"/>
      <c r="P39" s="3195"/>
      <c r="Q39" s="1812" t="str">
        <f t="shared" si="11"/>
        <v>层高</v>
      </c>
      <c r="R39" s="773" t="s">
        <v>17</v>
      </c>
      <c r="S39" s="774">
        <f t="shared" si="12"/>
        <v>100</v>
      </c>
      <c r="T39" s="773" t="s">
        <v>17</v>
      </c>
      <c r="U39" s="774">
        <f t="shared" si="13"/>
        <v>100</v>
      </c>
      <c r="V39" s="773" t="s">
        <v>17</v>
      </c>
      <c r="W39" s="774">
        <f t="shared" si="14"/>
        <v>100</v>
      </c>
      <c r="X39" s="1815"/>
      <c r="Y39" s="3197"/>
      <c r="Z39" s="1816" t="str">
        <f t="shared" si="15"/>
        <v>层高</v>
      </c>
      <c r="AA39" s="1813">
        <f t="shared" si="3"/>
        <v>1</v>
      </c>
      <c r="AB39" s="1813">
        <f t="shared" si="4"/>
        <v>1</v>
      </c>
      <c r="AC39" s="1813">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95"/>
      <c r="Q40" s="1812" t="str">
        <f t="shared" si="11"/>
        <v>单套建筑面积</v>
      </c>
      <c r="R40" s="773" t="s">
        <v>17</v>
      </c>
      <c r="S40" s="774">
        <f t="shared" si="12"/>
        <v>100</v>
      </c>
      <c r="T40" s="773" t="s">
        <v>17</v>
      </c>
      <c r="U40" s="774">
        <f t="shared" si="13"/>
        <v>100</v>
      </c>
      <c r="V40" s="773" t="s">
        <v>17</v>
      </c>
      <c r="W40" s="774">
        <f t="shared" si="14"/>
        <v>100</v>
      </c>
      <c r="X40" s="1815"/>
      <c r="Y40" s="3197"/>
      <c r="Z40" s="1816" t="str">
        <f t="shared" si="15"/>
        <v>单套建筑面积</v>
      </c>
      <c r="AA40" s="1813">
        <f t="shared" si="3"/>
        <v>1</v>
      </c>
      <c r="AB40" s="1813">
        <f t="shared" si="4"/>
        <v>1</v>
      </c>
      <c r="AC40" s="1813">
        <f t="shared" si="5"/>
        <v>1</v>
      </c>
    </row>
    <row r="41" spans="1:29" s="470" customFormat="1" ht="15">
      <c r="A41" s="467"/>
      <c r="B41" s="1814"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95"/>
      <c r="Q41" s="775" t="str">
        <f t="shared" si="11"/>
        <v>进深比</v>
      </c>
      <c r="R41" s="776" t="s">
        <v>17</v>
      </c>
      <c r="S41" s="777">
        <f t="shared" si="12"/>
        <v>100</v>
      </c>
      <c r="T41" s="776" t="s">
        <v>17</v>
      </c>
      <c r="U41" s="777">
        <f t="shared" si="13"/>
        <v>100</v>
      </c>
      <c r="V41" s="776" t="s">
        <v>17</v>
      </c>
      <c r="W41" s="777">
        <f t="shared" si="14"/>
        <v>100</v>
      </c>
      <c r="X41" s="778"/>
      <c r="Y41" s="3197"/>
      <c r="Z41" s="779" t="str">
        <f t="shared" si="15"/>
        <v>进深比</v>
      </c>
      <c r="AA41" s="1813">
        <f t="shared" si="3"/>
        <v>1</v>
      </c>
      <c r="AB41" s="1813">
        <f t="shared" si="4"/>
        <v>1</v>
      </c>
      <c r="AC41" s="1813">
        <f t="shared" si="5"/>
        <v>1</v>
      </c>
    </row>
    <row r="42" spans="1:29" ht="15">
      <c r="A42" s="471"/>
      <c r="B42" s="421" t="s">
        <v>2662</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2"/>
      <c r="M42" s="1133"/>
      <c r="N42" s="1133"/>
      <c r="O42" s="1133"/>
      <c r="P42" s="3195"/>
      <c r="Q42" s="1812" t="str">
        <f t="shared" si="11"/>
        <v>内部装修</v>
      </c>
      <c r="R42" s="773" t="s">
        <v>17</v>
      </c>
      <c r="S42" s="774">
        <f t="shared" si="12"/>
        <v>100</v>
      </c>
      <c r="T42" s="773" t="s">
        <v>17</v>
      </c>
      <c r="U42" s="774">
        <f t="shared" si="13"/>
        <v>100</v>
      </c>
      <c r="V42" s="773" t="s">
        <v>17</v>
      </c>
      <c r="W42" s="774">
        <f t="shared" si="14"/>
        <v>100</v>
      </c>
      <c r="X42" s="1815"/>
      <c r="Y42" s="3197"/>
      <c r="Z42" s="1816" t="str">
        <f t="shared" si="15"/>
        <v>内部装修</v>
      </c>
      <c r="AA42" s="1813">
        <f t="shared" si="3"/>
        <v>1</v>
      </c>
      <c r="AB42" s="1813">
        <f t="shared" si="4"/>
        <v>1</v>
      </c>
      <c r="AC42" s="1813">
        <f t="shared" si="5"/>
        <v>1</v>
      </c>
    </row>
    <row r="43" spans="1:29" ht="15.75" thickBot="1">
      <c r="A43" s="471"/>
      <c r="B43" s="421" t="s">
        <v>2570</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2"/>
      <c r="M43" s="1133"/>
      <c r="N43" s="1133"/>
      <c r="O43" s="1133"/>
      <c r="P43" s="3195"/>
      <c r="Q43" s="1812" t="str">
        <f t="shared" si="11"/>
        <v>内部装修维护情况</v>
      </c>
      <c r="R43" s="773" t="s">
        <v>17</v>
      </c>
      <c r="S43" s="774">
        <f t="shared" si="12"/>
        <v>100</v>
      </c>
      <c r="T43" s="773" t="s">
        <v>17</v>
      </c>
      <c r="U43" s="774">
        <f t="shared" si="13"/>
        <v>100</v>
      </c>
      <c r="V43" s="773" t="s">
        <v>17</v>
      </c>
      <c r="W43" s="774">
        <f t="shared" si="14"/>
        <v>100</v>
      </c>
      <c r="X43" s="1815"/>
      <c r="Y43" s="3197"/>
      <c r="Z43" s="1816" t="str">
        <f t="shared" si="15"/>
        <v>内部装修维护情况</v>
      </c>
      <c r="AA43" s="1813">
        <f t="shared" si="3"/>
        <v>1</v>
      </c>
      <c r="AB43" s="1813">
        <f t="shared" si="4"/>
        <v>1</v>
      </c>
      <c r="AC43" s="1813">
        <f t="shared" si="5"/>
        <v>1</v>
      </c>
    </row>
    <row r="44" spans="1:29" s="116" customFormat="1" ht="15" hidden="1">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195"/>
      <c r="Q44" s="1797">
        <f t="shared" si="11"/>
        <v>111</v>
      </c>
      <c r="R44" s="769" t="s">
        <v>17</v>
      </c>
      <c r="S44" s="770">
        <f t="shared" si="12"/>
        <v>100</v>
      </c>
      <c r="T44" s="769" t="s">
        <v>17</v>
      </c>
      <c r="U44" s="770">
        <f t="shared" si="13"/>
        <v>100</v>
      </c>
      <c r="V44" s="769" t="s">
        <v>17</v>
      </c>
      <c r="W44" s="770">
        <f t="shared" si="14"/>
        <v>100</v>
      </c>
      <c r="X44" s="771"/>
      <c r="Y44" s="3197"/>
      <c r="Z44" s="55">
        <f t="shared" si="15"/>
        <v>111</v>
      </c>
      <c r="AA44" s="772">
        <f t="shared" si="3"/>
        <v>1</v>
      </c>
      <c r="AB44" s="772">
        <f t="shared" si="4"/>
        <v>1</v>
      </c>
      <c r="AC44" s="772">
        <f t="shared" si="5"/>
        <v>1</v>
      </c>
    </row>
    <row r="45" spans="1:29" ht="15" hidden="1">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95"/>
      <c r="Q45" s="1812">
        <f t="shared" si="11"/>
        <v>111</v>
      </c>
      <c r="R45" s="773" t="s">
        <v>17</v>
      </c>
      <c r="S45" s="774">
        <f t="shared" si="12"/>
        <v>100</v>
      </c>
      <c r="T45" s="773" t="s">
        <v>17</v>
      </c>
      <c r="U45" s="774">
        <f t="shared" si="13"/>
        <v>100</v>
      </c>
      <c r="V45" s="773" t="s">
        <v>17</v>
      </c>
      <c r="W45" s="774">
        <f t="shared" si="14"/>
        <v>100</v>
      </c>
      <c r="X45" s="1815"/>
      <c r="Y45" s="3197"/>
      <c r="Z45" s="1816">
        <f t="shared" si="15"/>
        <v>111</v>
      </c>
      <c r="AA45" s="1813">
        <f t="shared" si="3"/>
        <v>1</v>
      </c>
      <c r="AB45" s="1813">
        <f t="shared" si="4"/>
        <v>1</v>
      </c>
      <c r="AC45" s="1813">
        <f t="shared" si="5"/>
        <v>1</v>
      </c>
    </row>
    <row r="46" spans="1:29" ht="15.75" hidden="1"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196"/>
      <c r="Q46" s="1812">
        <f t="shared" si="11"/>
        <v>111</v>
      </c>
      <c r="R46" s="773" t="s">
        <v>17</v>
      </c>
      <c r="S46" s="774">
        <f t="shared" si="12"/>
        <v>100</v>
      </c>
      <c r="T46" s="773" t="s">
        <v>17</v>
      </c>
      <c r="U46" s="774">
        <f t="shared" si="13"/>
        <v>100</v>
      </c>
      <c r="V46" s="773" t="s">
        <v>17</v>
      </c>
      <c r="W46" s="774">
        <f t="shared" si="14"/>
        <v>100</v>
      </c>
      <c r="X46" s="1815"/>
      <c r="Y46" s="3198"/>
      <c r="Z46" s="1816">
        <f t="shared" si="15"/>
        <v>111</v>
      </c>
      <c r="AA46" s="1813">
        <f t="shared" si="3"/>
        <v>1</v>
      </c>
      <c r="AB46" s="1813">
        <f t="shared" si="4"/>
        <v>1</v>
      </c>
      <c r="AC46" s="1813">
        <f t="shared" si="5"/>
        <v>1</v>
      </c>
    </row>
    <row r="47" spans="1:29" ht="15">
      <c r="A47" s="478" t="s">
        <v>2571</v>
      </c>
      <c r="B47" s="479"/>
      <c r="C47" s="1409" t="s">
        <v>1</v>
      </c>
      <c r="D47" s="1410"/>
      <c r="E47" s="1411">
        <v>40645</v>
      </c>
      <c r="F47" s="1412"/>
      <c r="G47" s="1413">
        <v>37356</v>
      </c>
      <c r="H47" s="1414"/>
      <c r="I47" s="1411">
        <v>41102</v>
      </c>
      <c r="J47" s="1414"/>
      <c r="K47" s="782"/>
      <c r="L47" s="1145"/>
      <c r="M47" s="1146"/>
      <c r="N47" s="1133"/>
      <c r="O47" s="1146"/>
      <c r="P47" s="3199" t="str">
        <f>A47</f>
        <v>成交单价（元/平方米）</v>
      </c>
      <c r="Q47" s="3199"/>
      <c r="R47" s="3161">
        <f>E47</f>
        <v>40645</v>
      </c>
      <c r="S47" s="3161"/>
      <c r="T47" s="3161">
        <f>G47</f>
        <v>37356</v>
      </c>
      <c r="U47" s="3161"/>
      <c r="V47" s="3161">
        <f>I47</f>
        <v>41102</v>
      </c>
      <c r="W47" s="3161"/>
      <c r="X47" s="758"/>
      <c r="Y47" s="780"/>
      <c r="Z47" s="758"/>
      <c r="AA47" s="758"/>
      <c r="AB47" s="758"/>
      <c r="AC47" s="758"/>
    </row>
    <row r="48" spans="1:29" ht="15.75" thickBot="1">
      <c r="A48" s="485" t="s">
        <v>2663</v>
      </c>
      <c r="B48" s="486"/>
      <c r="C48" s="1415">
        <f>R49</f>
        <v>38923</v>
      </c>
      <c r="D48" s="1416"/>
      <c r="E48" s="1417">
        <f>R48</f>
        <v>39848</v>
      </c>
      <c r="F48" s="1417"/>
      <c r="G48" s="1415">
        <f>T48</f>
        <v>36624</v>
      </c>
      <c r="H48" s="1416"/>
      <c r="I48" s="1417">
        <f>V48</f>
        <v>40296</v>
      </c>
      <c r="J48" s="1416"/>
      <c r="K48" s="783"/>
      <c r="L48" s="1145"/>
      <c r="M48" s="1146"/>
      <c r="N48" s="1133"/>
      <c r="O48" s="1146"/>
      <c r="P48" s="3199" t="str">
        <f>A48</f>
        <v>比较价值（元/平方米）</v>
      </c>
      <c r="Q48" s="3199"/>
      <c r="R48" s="3200">
        <f>IF(F1="售价",ROUND(PRODUCT(R47,AA7:AA46),0),ROUND(PRODUCT(R47,AA7:AA46),1))</f>
        <v>39848</v>
      </c>
      <c r="S48" s="3200"/>
      <c r="T48" s="3200">
        <f>IF(F1="售价",ROUND(PRODUCT(T47,AB7:AB46),0),ROUND(PRODUCT(T47,AB7:AB46),1))</f>
        <v>36624</v>
      </c>
      <c r="U48" s="3200"/>
      <c r="V48" s="3200">
        <f>IF(F1="售价",ROUND(PRODUCT(V47,AC7:AC46),0),ROUND(PRODUCT(V47,AC7:AC46),1))</f>
        <v>40296</v>
      </c>
      <c r="W48" s="3200"/>
      <c r="X48" s="758"/>
      <c r="Y48" s="758"/>
      <c r="Z48" s="758"/>
      <c r="AA48" s="758"/>
      <c r="AB48" s="758"/>
      <c r="AC48" s="758"/>
    </row>
    <row r="49" spans="1:29" ht="15.75" thickBot="1">
      <c r="A49" s="491" t="s">
        <v>2664</v>
      </c>
      <c r="B49" s="492"/>
      <c r="C49" s="1419">
        <f>R49</f>
        <v>38923</v>
      </c>
      <c r="D49" s="1419"/>
      <c r="E49" s="1419"/>
      <c r="F49" s="1419"/>
      <c r="G49" s="1419"/>
      <c r="H49" s="1419"/>
      <c r="I49" s="1419"/>
      <c r="J49" s="1419"/>
      <c r="K49" s="784"/>
      <c r="L49" s="1145"/>
      <c r="M49" s="1146"/>
      <c r="N49" s="1133"/>
      <c r="O49" s="1146"/>
      <c r="P49" s="3201" t="str">
        <f>A49</f>
        <v>估价对象XX用房的比较价值（楼面单价，元/平方米）</v>
      </c>
      <c r="Q49" s="3202"/>
      <c r="R49" s="3203">
        <f>IF(F1="售价",ROUND(AVERAGE(R48:V48),0),ROUND(AVERAGE(R48:V48),1))</f>
        <v>38923</v>
      </c>
      <c r="S49" s="3203"/>
      <c r="T49" s="3203"/>
      <c r="U49" s="3203"/>
      <c r="V49" s="3203"/>
      <c r="W49" s="320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2665</v>
      </c>
      <c r="D52" s="497"/>
      <c r="E52" s="498">
        <f>IF(E47&lt;E48,E48/E47-1,E47/E48-1)</f>
        <v>2.00010038144951E-2</v>
      </c>
      <c r="F52" s="499" t="str">
        <f>IF(OR(E52&gt;=0.3,E52&lt;=-0.3),"超过30%","")</f>
        <v/>
      </c>
      <c r="G52" s="498">
        <f>IF(G47&lt;G48,G48/G47-1,G47/G48-1)</f>
        <v>1.998689384010488E-2</v>
      </c>
      <c r="H52" s="499" t="str">
        <f>IF(OR(G52&gt;=0.3,G52&lt;=-0.3),"超过30%","")</f>
        <v/>
      </c>
      <c r="I52" s="498">
        <f>IF(I47&lt;I48,I48/I47-1,I47/I48-1)</f>
        <v>2.0001985308715442E-2</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2666</v>
      </c>
      <c r="D53" s="500"/>
      <c r="E53" s="498">
        <f>IF(E48&lt;G48,G48/E48-1,E48/G48-1)</f>
        <v>8.8029707295762316E-2</v>
      </c>
      <c r="F53" s="499" t="str">
        <f>IF(OR(E53&gt;=0.2,E53&lt;=-0.2),"超过20%","")</f>
        <v/>
      </c>
      <c r="G53" s="498">
        <f>IF(G48&lt;I48,I48/G48-1,G48/I48-1)</f>
        <v>0.10026212319790306</v>
      </c>
      <c r="H53" s="499" t="str">
        <f>IF(OR(G53&gt;=0.2,G53&lt;=-0.2),"超过20%","")</f>
        <v/>
      </c>
      <c r="I53" s="498">
        <f>IF(I48&lt;E48,E48/I48-1,I48/E48-1)</f>
        <v>1.1242722344910749E-2</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2667</v>
      </c>
      <c r="D54" s="500"/>
      <c r="E54" s="498">
        <f>IF(E47&lt;G47,G47/E47-1,E47/G47-1)</f>
        <v>8.8044758539458146E-2</v>
      </c>
      <c r="F54" s="499" t="str">
        <f>IF(OR(E54&gt;=0.3,E54&lt;=-0.3),"超过30%","")</f>
        <v/>
      </c>
      <c r="G54" s="498">
        <f>IF(G47&lt;I47,I47/G47-1,G47/I47-1)</f>
        <v>0.10027840239854369</v>
      </c>
      <c r="H54" s="499" t="str">
        <f>IF(OR(G54&gt;=0.3,G54&lt;=-0.3),"超过30%","")</f>
        <v/>
      </c>
      <c r="I54" s="498">
        <f>IF(I47&lt;E47,E47/I47-1,I47/E47-1)</f>
        <v>1.1243695411489618E-2</v>
      </c>
      <c r="J54" s="499" t="str">
        <f>IF(OR(I54&gt;=0.3,I54&lt;=-0.3),"超过30%","")</f>
        <v/>
      </c>
      <c r="K54" s="1150"/>
      <c r="L54" s="1151"/>
      <c r="M54" s="1147"/>
      <c r="N54" s="1147"/>
      <c r="O54" s="1147"/>
      <c r="P54" s="2667"/>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3"/>
      <c r="M57" s="1161"/>
      <c r="N57" s="1161"/>
      <c r="O57" s="1161"/>
      <c r="P57" s="2668"/>
      <c r="Q57" s="2669"/>
      <c r="R57" s="758"/>
      <c r="S57" s="758"/>
      <c r="T57" s="758"/>
      <c r="U57" s="758"/>
      <c r="V57" s="758"/>
      <c r="W57" s="758"/>
      <c r="X57" s="758"/>
      <c r="Y57" s="758"/>
      <c r="Z57" s="758"/>
      <c r="AA57" s="758"/>
      <c r="AB57" s="758"/>
      <c r="AC57" s="758"/>
    </row>
    <row r="58" spans="1:29" s="507" customFormat="1" ht="15">
      <c r="A58" s="504" t="s">
        <v>2542</v>
      </c>
      <c r="B58" s="505"/>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6" customFormat="1" ht="15">
      <c r="A59" s="508"/>
      <c r="B59" s="509"/>
      <c r="C59" s="1575">
        <v>100</v>
      </c>
      <c r="D59" s="511"/>
      <c r="E59" s="511"/>
      <c r="F59" s="511"/>
      <c r="G59" s="511"/>
      <c r="H59" s="511"/>
      <c r="I59" s="511"/>
      <c r="J59" s="511"/>
      <c r="K59" s="511"/>
      <c r="L59" s="511"/>
      <c r="M59" s="512"/>
      <c r="N59" s="511"/>
      <c r="O59" s="512"/>
      <c r="P59" s="2629"/>
    </row>
    <row r="60" spans="1:29" s="116" customFormat="1" ht="15.75" thickBot="1">
      <c r="A60" s="514" t="s">
        <v>2579</v>
      </c>
      <c r="B60" s="515"/>
      <c r="C60" s="516"/>
      <c r="D60" s="517"/>
      <c r="E60" s="517"/>
      <c r="F60" s="517"/>
      <c r="G60" s="517"/>
      <c r="H60" s="517"/>
      <c r="I60" s="517"/>
      <c r="J60" s="517"/>
      <c r="K60" s="517"/>
      <c r="L60" s="517"/>
      <c r="M60" s="518"/>
      <c r="N60" s="517"/>
      <c r="O60" s="518"/>
      <c r="P60" s="2629"/>
      <c r="Q60" s="503"/>
    </row>
    <row r="61" spans="1:29" s="116" customFormat="1" ht="15">
      <c r="A61" s="520" t="s">
        <v>2544</v>
      </c>
      <c r="B61" s="509"/>
      <c r="C61" s="521" t="s">
        <v>2646</v>
      </c>
      <c r="D61" s="522"/>
      <c r="E61" s="522"/>
      <c r="F61" s="522"/>
      <c r="G61" s="522"/>
      <c r="H61" s="522"/>
      <c r="I61" s="522"/>
      <c r="J61" s="522"/>
      <c r="K61" s="522"/>
      <c r="L61" s="523"/>
      <c r="M61" s="524"/>
      <c r="N61" s="1153"/>
      <c r="O61" s="1153"/>
      <c r="P61" s="2630"/>
      <c r="Q61" s="503"/>
    </row>
    <row r="62" spans="1:29" s="116"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2582</v>
      </c>
      <c r="B63" s="527" t="s">
        <v>2548</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4"/>
      <c r="O65" s="1154"/>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1"/>
      <c r="Q66" s="503"/>
    </row>
    <row r="67" spans="1:17" ht="15.75" thickTop="1">
      <c r="A67" s="533"/>
      <c r="B67" s="545" t="s">
        <v>2552</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7（含）-8</v>
      </c>
      <c r="K67" s="546" t="str">
        <f t="shared" si="17"/>
        <v>8（含）-9</v>
      </c>
      <c r="L67" s="546" t="str">
        <f t="shared" si="17"/>
        <v>9（含）-10</v>
      </c>
      <c r="M67" s="447" t="str">
        <f>M68&amp;"（含）"&amp;"-"&amp;P68</f>
        <v>10（含）-</v>
      </c>
      <c r="N67" s="1155"/>
      <c r="O67" s="1155"/>
      <c r="P67" s="2631"/>
      <c r="Q67" s="503"/>
    </row>
    <row r="68" spans="1:17" ht="15">
      <c r="A68" s="533"/>
      <c r="B68" s="547"/>
      <c r="C68" s="548">
        <v>0</v>
      </c>
      <c r="D68" s="548">
        <v>1</v>
      </c>
      <c r="E68" s="548">
        <v>2</v>
      </c>
      <c r="F68" s="548">
        <v>3</v>
      </c>
      <c r="G68" s="548">
        <v>4</v>
      </c>
      <c r="H68" s="548">
        <v>5</v>
      </c>
      <c r="I68" s="548">
        <v>6</v>
      </c>
      <c r="J68" s="548">
        <v>7</v>
      </c>
      <c r="K68" s="549">
        <v>8</v>
      </c>
      <c r="L68" s="549">
        <v>9</v>
      </c>
      <c r="M68" s="551">
        <v>10</v>
      </c>
      <c r="N68" s="1154"/>
      <c r="O68" s="1154"/>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35"/>
      <c r="E73" s="535"/>
      <c r="F73" s="535"/>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2649</v>
      </c>
      <c r="C82" s="659" t="s">
        <v>2669</v>
      </c>
      <c r="D82" s="659" t="s">
        <v>2670</v>
      </c>
      <c r="E82" s="659" t="s">
        <v>2671</v>
      </c>
      <c r="F82" s="659" t="s">
        <v>2672</v>
      </c>
      <c r="G82" s="659" t="s">
        <v>2673</v>
      </c>
      <c r="H82" s="538"/>
      <c r="I82" s="538"/>
      <c r="J82" s="538"/>
      <c r="K82" s="538"/>
      <c r="L82" s="538"/>
      <c r="M82" s="1384"/>
      <c r="N82" s="1155"/>
      <c r="O82" s="1155"/>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6" customFormat="1" ht="15.75" thickTop="1">
      <c r="A86" s="578"/>
      <c r="B86" s="537" t="s">
        <v>2674</v>
      </c>
      <c r="C86" s="553"/>
      <c r="D86" s="553"/>
      <c r="E86" s="553"/>
      <c r="F86" s="553"/>
      <c r="G86" s="553"/>
      <c r="H86" s="553"/>
      <c r="I86" s="553"/>
      <c r="J86" s="553"/>
      <c r="K86" s="553"/>
      <c r="L86" s="579"/>
      <c r="M86" s="580"/>
      <c r="N86" s="1153"/>
      <c r="O86" s="1153"/>
      <c r="P86" s="263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1"/>
      <c r="Q87" s="503"/>
    </row>
    <row r="88" spans="1:17" s="116" customFormat="1" ht="15.75" thickTop="1">
      <c r="A88" s="578"/>
      <c r="B88" s="537" t="str">
        <f>B26</f>
        <v>平面位置/可视性</v>
      </c>
      <c r="C88" s="553"/>
      <c r="D88" s="553"/>
      <c r="E88" s="553"/>
      <c r="F88" s="2636"/>
      <c r="G88" s="553"/>
      <c r="H88" s="553"/>
      <c r="I88" s="553"/>
      <c r="J88" s="553"/>
      <c r="K88" s="553"/>
      <c r="L88" s="553"/>
      <c r="M88" s="580"/>
      <c r="N88" s="1153"/>
      <c r="O88" s="1153"/>
      <c r="P88" s="2631"/>
      <c r="Q88" s="503"/>
    </row>
    <row r="89" spans="1:17" s="116" customFormat="1" ht="15.75" thickBot="1">
      <c r="A89" s="578"/>
      <c r="B89" s="542"/>
      <c r="C89" s="559"/>
      <c r="D89" s="535"/>
      <c r="E89" s="535"/>
      <c r="F89" s="535"/>
      <c r="G89" s="535"/>
      <c r="H89" s="535"/>
      <c r="I89" s="535"/>
      <c r="J89" s="535"/>
      <c r="K89" s="535"/>
      <c r="L89" s="535"/>
      <c r="M89" s="535"/>
      <c r="N89" s="1155"/>
      <c r="O89" s="1155"/>
      <c r="P89" s="2631"/>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2"/>
      <c r="Q91" s="558"/>
    </row>
    <row r="92" spans="1:17" ht="15.75" thickTop="1">
      <c r="A92" s="533"/>
      <c r="B92" s="537" t="str">
        <f>B28</f>
        <v>楼层</v>
      </c>
      <c r="C92" s="553"/>
      <c r="D92" s="553"/>
      <c r="E92" s="553"/>
      <c r="F92" s="553"/>
      <c r="G92" s="553"/>
      <c r="H92" s="553"/>
      <c r="I92" s="553"/>
      <c r="J92" s="553"/>
      <c r="K92" s="553"/>
      <c r="L92" s="579"/>
      <c r="M92" s="580"/>
      <c r="N92" s="1154"/>
      <c r="O92" s="1154"/>
      <c r="P92" s="2631"/>
      <c r="Q92" s="503"/>
    </row>
    <row r="93" spans="1:17" ht="15.75" thickBot="1">
      <c r="A93" s="533"/>
      <c r="B93" s="542"/>
      <c r="C93" s="535"/>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35"/>
      <c r="E95" s="535"/>
      <c r="F95" s="535"/>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59"/>
      <c r="D97" s="535"/>
      <c r="E97" s="535"/>
      <c r="F97" s="535"/>
      <c r="G97" s="535"/>
      <c r="H97" s="535"/>
      <c r="I97" s="535"/>
      <c r="J97" s="535"/>
      <c r="K97" s="535"/>
      <c r="L97" s="535"/>
      <c r="M97" s="536"/>
      <c r="N97" s="1155"/>
      <c r="O97" s="1155"/>
      <c r="P97" s="2631"/>
      <c r="Q97" s="503"/>
    </row>
    <row r="98" spans="1:17" ht="15.75" thickTop="1">
      <c r="A98" s="533"/>
      <c r="B98" s="545">
        <f>B31</f>
        <v>111</v>
      </c>
      <c r="C98" s="553"/>
      <c r="D98" s="553"/>
      <c r="E98" s="553"/>
      <c r="F98" s="553"/>
      <c r="G98" s="586"/>
      <c r="H98" s="586"/>
      <c r="I98" s="586"/>
      <c r="J98" s="586"/>
      <c r="K98" s="587"/>
      <c r="L98" s="588"/>
      <c r="M98" s="589"/>
      <c r="N98" s="1154"/>
      <c r="O98" s="1154"/>
      <c r="P98" s="2631"/>
      <c r="Q98" s="503"/>
    </row>
    <row r="99" spans="1:17" ht="15.75" thickBot="1">
      <c r="A99" s="2637"/>
      <c r="B99" s="568"/>
      <c r="C99" s="569"/>
      <c r="D99" s="569"/>
      <c r="E99" s="569"/>
      <c r="F99" s="569"/>
      <c r="G99" s="590"/>
      <c r="H99" s="590"/>
      <c r="I99" s="590"/>
      <c r="J99" s="590"/>
      <c r="K99" s="590"/>
      <c r="L99" s="590"/>
      <c r="M99" s="591"/>
      <c r="N99" s="1155"/>
      <c r="O99" s="1155"/>
      <c r="P99" s="2631"/>
      <c r="Q99" s="503"/>
    </row>
    <row r="100" spans="1:17">
      <c r="A100" s="526" t="s">
        <v>2557</v>
      </c>
      <c r="B100" s="527" t="s">
        <v>2675</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1"/>
      <c r="Q101" s="503"/>
    </row>
    <row r="102" spans="1:17" ht="29.25" thickTop="1">
      <c r="A102" s="533"/>
      <c r="B102" s="537" t="s">
        <v>2607</v>
      </c>
      <c r="C102" s="577" t="str">
        <f>C103&amp;"(含)"&amp;"-"&amp;D103</f>
        <v>0(含)-200</v>
      </c>
      <c r="D102" s="577" t="str">
        <f t="shared" ref="D102:L102" si="23">D103&amp;"(含)"&amp;"-"&amp;E103</f>
        <v>200(含)-500</v>
      </c>
      <c r="E102" s="577" t="str">
        <f t="shared" si="23"/>
        <v>500(含)-1000</v>
      </c>
      <c r="F102" s="577" t="str">
        <f t="shared" si="23"/>
        <v>1000(含)-2000</v>
      </c>
      <c r="G102" s="577" t="str">
        <f t="shared" si="23"/>
        <v>2000(含)-5000</v>
      </c>
      <c r="H102" s="577" t="str">
        <f t="shared" si="23"/>
        <v>5000(含)-</v>
      </c>
      <c r="I102" s="577" t="str">
        <f t="shared" si="23"/>
        <v>(含)-</v>
      </c>
      <c r="J102" s="577" t="str">
        <f t="shared" si="23"/>
        <v>(含)-</v>
      </c>
      <c r="K102" s="577" t="str">
        <f t="shared" si="23"/>
        <v>(含)-</v>
      </c>
      <c r="L102" s="577" t="str">
        <f t="shared" si="23"/>
        <v>(含)-</v>
      </c>
      <c r="M102" s="621" t="str">
        <f>M103&amp;"(含)"&amp;"-"&amp;P103</f>
        <v>(含)-</v>
      </c>
      <c r="N102" s="1153"/>
      <c r="O102" s="1153"/>
      <c r="P102" s="2631"/>
      <c r="Q102" s="503"/>
    </row>
    <row r="103" spans="1:17" s="470" customFormat="1">
      <c r="A103" s="592"/>
      <c r="B103" s="593"/>
      <c r="C103" s="594">
        <v>0</v>
      </c>
      <c r="D103" s="709">
        <v>200</v>
      </c>
      <c r="E103" s="709">
        <v>500</v>
      </c>
      <c r="F103" s="1706">
        <v>1000</v>
      </c>
      <c r="G103" s="1706">
        <v>2000</v>
      </c>
      <c r="H103" s="1706">
        <v>5000</v>
      </c>
      <c r="I103" s="594"/>
      <c r="J103" s="595"/>
      <c r="K103" s="595"/>
      <c r="L103" s="596"/>
      <c r="M103" s="597"/>
      <c r="N103" s="1156"/>
      <c r="O103" s="1156"/>
      <c r="P103" s="2632"/>
      <c r="Q103" s="558"/>
    </row>
    <row r="104" spans="1:17" s="470" customFormat="1" ht="15.75" thickBot="1">
      <c r="A104" s="552"/>
      <c r="B104" s="542"/>
      <c r="C104" s="559">
        <v>100</v>
      </c>
      <c r="D104" s="535">
        <v>98</v>
      </c>
      <c r="E104" s="535">
        <v>96</v>
      </c>
      <c r="F104" s="535">
        <v>94</v>
      </c>
      <c r="G104" s="535">
        <v>92</v>
      </c>
      <c r="H104" s="535">
        <v>90</v>
      </c>
      <c r="I104" s="535"/>
      <c r="J104" s="535"/>
      <c r="K104" s="535"/>
      <c r="L104" s="535"/>
      <c r="M104" s="536"/>
      <c r="N104" s="1155"/>
      <c r="O104" s="1155"/>
      <c r="P104" s="2632"/>
      <c r="Q104" s="558"/>
    </row>
    <row r="105" spans="1:17" ht="15" thickTop="1">
      <c r="A105" s="598"/>
      <c r="B105" s="537" t="s">
        <v>2608</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1"/>
      <c r="Q106" s="503"/>
    </row>
    <row r="107" spans="1:17" ht="15" thickTop="1">
      <c r="A107" s="598"/>
      <c r="B107" s="537" t="s">
        <v>2610</v>
      </c>
      <c r="C107" s="553"/>
      <c r="D107" s="553"/>
      <c r="E107" s="553"/>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1"/>
      <c r="Q108" s="503"/>
    </row>
    <row r="109" spans="1:17" ht="15" thickTop="1">
      <c r="A109" s="598"/>
      <c r="B109" s="537" t="s">
        <v>1987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1"/>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1"/>
      <c r="Q111" s="503"/>
    </row>
    <row r="112" spans="1:17" s="470" customFormat="1" ht="15" thickTop="1">
      <c r="A112" s="592"/>
      <c r="B112" s="537" t="s">
        <v>2612</v>
      </c>
      <c r="C112" s="553"/>
      <c r="D112" s="553"/>
      <c r="E112" s="553"/>
      <c r="F112" s="553"/>
      <c r="G112" s="553"/>
      <c r="H112" s="582"/>
      <c r="I112" s="582"/>
      <c r="J112" s="582"/>
      <c r="K112" s="583"/>
      <c r="L112" s="584"/>
      <c r="M112" s="585"/>
      <c r="N112" s="1156"/>
      <c r="O112" s="1156"/>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2"/>
      <c r="Q113" s="558"/>
    </row>
    <row r="114" spans="1:17" ht="15" thickTop="1">
      <c r="A114" s="598"/>
      <c r="B114" s="537" t="s">
        <v>2676</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1"/>
      <c r="Q115" s="503"/>
    </row>
    <row r="116" spans="1:17" ht="15" thickTop="1">
      <c r="A116" s="598"/>
      <c r="B116" s="537" t="s">
        <v>2677</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2678</v>
      </c>
      <c r="C118" s="626"/>
      <c r="D118" s="626"/>
      <c r="E118" s="626"/>
      <c r="F118" s="626"/>
      <c r="G118" s="626"/>
      <c r="H118" s="554"/>
      <c r="I118" s="554"/>
      <c r="J118" s="554"/>
      <c r="K118" s="554"/>
      <c r="L118" s="555"/>
      <c r="M118" s="556"/>
      <c r="N118" s="1154"/>
      <c r="O118" s="1154"/>
      <c r="P118" s="2631"/>
      <c r="Q118" s="503"/>
    </row>
    <row r="119" spans="1:17" ht="15.75" thickBot="1">
      <c r="A119" s="533"/>
      <c r="B119" s="542"/>
      <c r="C119" s="559"/>
      <c r="D119" s="535"/>
      <c r="E119" s="535"/>
      <c r="F119" s="535"/>
      <c r="G119" s="535"/>
      <c r="H119" s="535"/>
      <c r="I119" s="535"/>
      <c r="J119" s="535"/>
      <c r="K119" s="535"/>
      <c r="L119" s="535"/>
      <c r="M119" s="536"/>
      <c r="N119" s="1155"/>
      <c r="O119" s="1155"/>
      <c r="P119" s="2631"/>
      <c r="Q119" s="503"/>
    </row>
    <row r="120" spans="1:17" s="470" customFormat="1" ht="15" thickTop="1">
      <c r="A120" s="592"/>
      <c r="B120" s="537" t="s">
        <v>2679</v>
      </c>
      <c r="C120" s="582"/>
      <c r="D120" s="582"/>
      <c r="E120" s="582"/>
      <c r="F120" s="582"/>
      <c r="G120" s="554"/>
      <c r="H120" s="554"/>
      <c r="I120" s="554"/>
      <c r="J120" s="554"/>
      <c r="K120" s="554"/>
      <c r="L120" s="555"/>
      <c r="M120" s="556"/>
      <c r="N120" s="1156"/>
      <c r="O120" s="1156"/>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2"/>
      <c r="Q121" s="558"/>
    </row>
    <row r="122" spans="1:17" ht="15" thickTop="1">
      <c r="A122" s="598"/>
      <c r="B122" s="537" t="s">
        <v>2614</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35"/>
      <c r="E129" s="535"/>
      <c r="F129" s="535"/>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disablePrompts="1"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zoomScale="80" zoomScaleNormal="80" zoomScaleSheetLayoutView="90" workbookViewId="0">
      <selection activeCell="D33" sqref="D3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t="s">
        <v>3096</v>
      </c>
      <c r="D1" s="1822" t="s">
        <v>70</v>
      </c>
      <c r="E1" s="1823" t="s">
        <v>1383</v>
      </c>
      <c r="F1" s="1285">
        <f ca="1">J53</f>
        <v>35.01</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f ca="1">C40+J29+L46</f>
        <v>977</v>
      </c>
      <c r="C2" s="1847" t="s">
        <v>1512</v>
      </c>
      <c r="D2" s="1847"/>
      <c r="E2" s="1848"/>
      <c r="F2" s="1849"/>
      <c r="G2" s="1850"/>
      <c r="H2" s="1842"/>
      <c r="I2" s="1842"/>
      <c r="J2" s="1842"/>
      <c r="K2" s="1843"/>
      <c r="L2" s="1842"/>
      <c r="M2" s="1842"/>
    </row>
    <row r="3" spans="1:37" ht="18" customHeight="1" thickBot="1">
      <c r="A3" s="1851" t="s">
        <v>1513</v>
      </c>
      <c r="B3" s="1852">
        <f ca="1">IF(ISERROR(B2*10000/F43),0,ROUND(B2*10000/F43,0))</f>
        <v>33932</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f ca="1">C6+C10+C12</f>
        <v>54</v>
      </c>
      <c r="D5" s="1824" t="s">
        <v>1398</v>
      </c>
      <c r="E5" s="1295"/>
      <c r="F5" s="1296"/>
      <c r="G5" s="1853"/>
      <c r="H5" s="343">
        <v>1</v>
      </c>
      <c r="I5" s="344" t="s">
        <v>1397</v>
      </c>
      <c r="J5" s="1294">
        <f ca="1">J6+J10+J12</f>
        <v>0</v>
      </c>
      <c r="K5" s="1824" t="s">
        <v>1398</v>
      </c>
      <c r="L5" s="1295"/>
      <c r="M5" s="1296"/>
    </row>
    <row r="6" spans="1:37" ht="18" customHeight="1">
      <c r="A6" s="1293" t="s">
        <v>1032</v>
      </c>
      <c r="B6" s="3206" t="s">
        <v>1399</v>
      </c>
      <c r="C6" s="1298">
        <f ca="1">ROUND(F6*F8*F7*(1-F9)/10000,0)</f>
        <v>54</v>
      </c>
      <c r="D6" s="163" t="s">
        <v>3025</v>
      </c>
      <c r="E6" s="346" t="s">
        <v>1401</v>
      </c>
      <c r="F6" s="347">
        <f ca="1">INDIRECT("'数据-取费表'!u"&amp;$G$1)</f>
        <v>6</v>
      </c>
      <c r="G6" s="1853"/>
      <c r="H6" s="1293" t="s">
        <v>1032</v>
      </c>
      <c r="I6" s="3206" t="s">
        <v>1399</v>
      </c>
      <c r="J6" s="345">
        <f ca="1">ROUND(M6*M8*M7*(1-M9)/10000,0)</f>
        <v>0</v>
      </c>
      <c r="K6" s="163" t="s">
        <v>3024</v>
      </c>
      <c r="L6" s="346" t="s">
        <v>1401</v>
      </c>
      <c r="M6" s="347">
        <f ca="1">INDIRECT("'数据-取费表'!z"&amp;$G$1)</f>
        <v>0</v>
      </c>
    </row>
    <row r="7" spans="1:37" ht="18" customHeight="1">
      <c r="A7" s="1297"/>
      <c r="B7" s="3207"/>
      <c r="C7" s="1299"/>
      <c r="D7" s="351"/>
      <c r="E7" s="1300" t="s">
        <v>1402</v>
      </c>
      <c r="F7" s="347">
        <f ca="1">IF(INDIRECT("'数据-取费表'!ah"&amp;$G$1)="",INDIRECT("'数据-取费表'!k"&amp;$G$1),INDIRECT("'数据-取费表'!ah"&amp;$G$1))</f>
        <v>287.93</v>
      </c>
      <c r="G7" s="1853"/>
      <c r="H7" s="348"/>
      <c r="I7" s="3207"/>
      <c r="J7" s="350"/>
      <c r="K7" s="351"/>
      <c r="L7" s="346" t="s">
        <v>1402</v>
      </c>
      <c r="M7" s="347">
        <f ca="1">F7</f>
        <v>287.93</v>
      </c>
    </row>
    <row r="8" spans="1:37" ht="18" customHeight="1">
      <c r="A8" s="348"/>
      <c r="B8" s="3207"/>
      <c r="C8" s="350"/>
      <c r="D8" s="351"/>
      <c r="E8" s="346" t="s">
        <v>1403</v>
      </c>
      <c r="F8" s="347">
        <f ca="1">INDIRECT("'数据-取费表'!ai"&amp;$G$1)</f>
        <v>365</v>
      </c>
      <c r="G8" s="1853"/>
      <c r="H8" s="348"/>
      <c r="I8" s="3207"/>
      <c r="J8" s="350"/>
      <c r="K8" s="351"/>
      <c r="L8" s="346" t="s">
        <v>1403</v>
      </c>
      <c r="M8" s="347">
        <f ca="1">INDIRECT("'数据-取费表'!ai"&amp;$G$1)</f>
        <v>365</v>
      </c>
    </row>
    <row r="9" spans="1:37" ht="18" customHeight="1">
      <c r="A9" s="348"/>
      <c r="B9" s="3208"/>
      <c r="C9" s="350"/>
      <c r="D9" s="351"/>
      <c r="E9" s="346" t="s">
        <v>1404</v>
      </c>
      <c r="F9" s="356">
        <f ca="1">INDIRECT("'数据-取费表'!w"&amp;$G$1)</f>
        <v>0.15</v>
      </c>
      <c r="G9" s="1853"/>
      <c r="H9" s="348"/>
      <c r="I9" s="3208"/>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3034</v>
      </c>
      <c r="E10" s="357" t="s">
        <v>1406</v>
      </c>
      <c r="F10" s="1368" t="s">
        <v>3097</v>
      </c>
      <c r="G10" s="1853"/>
      <c r="H10" s="1293" t="s">
        <v>1036</v>
      </c>
      <c r="I10" s="1825" t="s">
        <v>1405</v>
      </c>
      <c r="J10" s="345">
        <f ca="1">ROUND(IF(M10="押一",J6/12*M11,IF(M10="押二",J6/12*2*M11,IF(M10="押三",J6/12*3*M11,J11*M11))),0)</f>
        <v>0</v>
      </c>
      <c r="K10" s="1826" t="s">
        <v>3033</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98</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3" t="s">
        <v>1031</v>
      </c>
      <c r="B14" s="346" t="s">
        <v>1413</v>
      </c>
      <c r="C14" s="362">
        <f ca="1">INDIRECT("'数据-取费表'!m"&amp;$G$1)+INDIRECT("'数据-取费表'!t"&amp;$G$1)</f>
        <v>69</v>
      </c>
      <c r="D14" s="1802" t="s">
        <v>1414</v>
      </c>
      <c r="E14" s="1796"/>
      <c r="F14" s="363"/>
      <c r="G14" s="1853"/>
      <c r="H14" s="1203" t="s">
        <v>1032</v>
      </c>
      <c r="I14" s="346" t="s">
        <v>1415</v>
      </c>
      <c r="J14" s="24">
        <f ca="1">C29</f>
        <v>98</v>
      </c>
      <c r="K14" s="15"/>
      <c r="L14" s="981"/>
      <c r="M14" s="982"/>
    </row>
    <row r="15" spans="1:37" s="1860" customFormat="1" ht="18" customHeight="1" thickBot="1">
      <c r="A15" s="1203" t="s">
        <v>1033</v>
      </c>
      <c r="B15" s="346" t="s">
        <v>1416</v>
      </c>
      <c r="C15" s="24">
        <f ca="1">ROUND(C14*F15,0)</f>
        <v>2</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3"/>
      <c r="H16" s="1331" t="s">
        <v>1027</v>
      </c>
      <c r="I16" s="1332" t="s">
        <v>1420</v>
      </c>
      <c r="J16" s="354">
        <f ca="1">ROUND(J17+J22+J23+J24,0)</f>
        <v>2</v>
      </c>
      <c r="K16" s="1339" t="s">
        <v>1421</v>
      </c>
      <c r="L16" s="1340"/>
      <c r="M16" s="1296"/>
    </row>
    <row r="17" spans="1:37" s="1860" customFormat="1" ht="18" customHeight="1">
      <c r="A17" s="1203" t="s">
        <v>1386</v>
      </c>
      <c r="B17" s="346" t="s">
        <v>1422</v>
      </c>
      <c r="C17" s="24">
        <f ca="1">ROUND(F17*(F43+INDIRECT("'数据-取费表'!S"&amp;$G$1))/10000,0)</f>
        <v>6</v>
      </c>
      <c r="D17" s="346" t="s">
        <v>1423</v>
      </c>
      <c r="E17" s="346" t="s">
        <v>1424</v>
      </c>
      <c r="F17" s="26">
        <f>'数据-取费表'!B35</f>
        <v>200</v>
      </c>
      <c r="G17" s="1856"/>
      <c r="H17" s="1203" t="s">
        <v>1032</v>
      </c>
      <c r="I17" s="346" t="s">
        <v>1425</v>
      </c>
      <c r="J17" s="24">
        <f ca="1">ROUND(IF(项目基本情况!B11="自然人",J5*M17,J18+J19+J20),1)</f>
        <v>1.2</v>
      </c>
      <c r="K17" s="1802" t="s">
        <v>1426</v>
      </c>
      <c r="L17" s="1800"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4">
        <f ca="1">ROUND(C14*F18,0)</f>
        <v>1</v>
      </c>
      <c r="D18" s="346" t="s">
        <v>1417</v>
      </c>
      <c r="E18" s="346" t="s">
        <v>1418</v>
      </c>
      <c r="F18" s="366">
        <f>'数据-取费表'!B36</f>
        <v>1.4999999999999999E-2</v>
      </c>
      <c r="G18" s="1856"/>
      <c r="H18" s="1203" t="s">
        <v>1031</v>
      </c>
      <c r="I18" s="346" t="s">
        <v>1429</v>
      </c>
      <c r="J18" s="24">
        <f ca="1">ROUND(J5*M18/(1+'数据-取费表'!C42),2)</f>
        <v>0</v>
      </c>
      <c r="K18" s="1800"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4">
        <f ca="1">SUM(C14:C18)</f>
        <v>78</v>
      </c>
      <c r="D19" s="139" t="s">
        <v>1432</v>
      </c>
      <c r="E19" s="1820"/>
      <c r="F19" s="26"/>
      <c r="G19" s="1853"/>
      <c r="H19" s="1203" t="s">
        <v>1033</v>
      </c>
      <c r="I19" s="346" t="s">
        <v>1433</v>
      </c>
      <c r="J19" s="24">
        <f ca="1">IF(K19="按租金收入计税",ROUND(J5*M19,2),ROUND(C29*M19*0.7,2))</f>
        <v>0.82</v>
      </c>
      <c r="K19" s="1830" t="s">
        <v>1434</v>
      </c>
      <c r="L19" s="346" t="s">
        <v>1418</v>
      </c>
      <c r="M19" s="366">
        <f>IF(K19="按租金收入计税",'数据-取费表'!B51,'数据-取费表'!B50)</f>
        <v>1.2E-2</v>
      </c>
    </row>
    <row r="20" spans="1:37" s="1860" customFormat="1" ht="18" customHeight="1">
      <c r="A20" s="1203" t="s">
        <v>1036</v>
      </c>
      <c r="B20" s="346" t="s">
        <v>1435</v>
      </c>
      <c r="C20" s="24">
        <f ca="1">ROUND(C19*F20,0)</f>
        <v>2</v>
      </c>
      <c r="D20" s="368" t="s">
        <v>1436</v>
      </c>
      <c r="E20" s="346" t="s">
        <v>1418</v>
      </c>
      <c r="F20" s="366">
        <f>'数据-取费表'!B37</f>
        <v>0.02</v>
      </c>
      <c r="G20" s="1856"/>
      <c r="H20" s="1203" t="s">
        <v>1385</v>
      </c>
      <c r="I20" s="163" t="s">
        <v>1437</v>
      </c>
      <c r="J20" s="25">
        <f ca="1">ROUND(M20*M21/10000,2)</f>
        <v>0.36</v>
      </c>
      <c r="K20" s="369" t="s">
        <v>1438</v>
      </c>
      <c r="L20" s="346" t="s">
        <v>1439</v>
      </c>
      <c r="M20" s="370">
        <f>'数据-取费表'!B52</f>
        <v>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4" t="s">
        <v>18</v>
      </c>
      <c r="D21" s="368" t="s">
        <v>1441</v>
      </c>
      <c r="E21" s="346" t="s">
        <v>1442</v>
      </c>
      <c r="F21" s="366">
        <f>'数据-取费表'!B38</f>
        <v>0.02</v>
      </c>
      <c r="G21" s="1856"/>
      <c r="H21" s="371"/>
      <c r="I21" s="355"/>
      <c r="J21" s="29"/>
      <c r="K21" s="372"/>
      <c r="L21" s="346" t="s">
        <v>1443</v>
      </c>
      <c r="M21" s="347">
        <f ca="1">INDIRECT("'数据-取费表'!r"&amp;$G$1)</f>
        <v>595.74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20"/>
      <c r="F22" s="26"/>
      <c r="G22" s="1853"/>
      <c r="H22" s="1203" t="s">
        <v>1036</v>
      </c>
      <c r="I22" s="346" t="s">
        <v>1445</v>
      </c>
      <c r="J22" s="24">
        <f ca="1">ROUND(J14*M22,1)</f>
        <v>1</v>
      </c>
      <c r="K22" s="1800" t="s">
        <v>1446</v>
      </c>
      <c r="L22" s="346" t="s">
        <v>1418</v>
      </c>
      <c r="M22" s="373">
        <f ca="1">INDIRECT("'数据-取费表'!Ak"&amp;$G$1)</f>
        <v>0.01</v>
      </c>
    </row>
    <row r="23" spans="1:37" s="1860" customFormat="1" ht="18" customHeight="1">
      <c r="A23" s="1203" t="s">
        <v>1031</v>
      </c>
      <c r="B23" s="346" t="s">
        <v>1447</v>
      </c>
      <c r="C23" s="24">
        <f ca="1">IF('数据-取费表'!B22&lt;=1,ROUND(C19*F24*F23/2,0)+ROUND(C20*F24*F23/2,0),ROUND(C19*(POWER((1+F24),F23/2)-1),0)+ROUND(C20*(POWER((1+F24),F23/2)-1),0))</f>
        <v>3</v>
      </c>
      <c r="D23" s="374" t="str">
        <f>IF(F23&lt;=1,"(建造成本+管理费用)×利率×(建设周期÷2)","(建造成本+管理费用)×((1+利率)^(建设周期÷2)-1)")</f>
        <v>(建造成本+管理费用)×((1+利率)^(建设周期÷2)-1)</v>
      </c>
      <c r="E23" s="346" t="s">
        <v>1448</v>
      </c>
      <c r="F23" s="370">
        <f>'数据-取费表'!B20</f>
        <v>1.5</v>
      </c>
      <c r="G23" s="1856"/>
      <c r="H23" s="1203" t="s">
        <v>1072</v>
      </c>
      <c r="I23" s="346" t="s">
        <v>1449</v>
      </c>
      <c r="J23" s="24">
        <f ca="1">ROUND(J13*M23,1)</f>
        <v>0</v>
      </c>
      <c r="K23" s="1800" t="s">
        <v>1450</v>
      </c>
      <c r="L23" s="346" t="s">
        <v>1451</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6"/>
      <c r="H24" s="1341" t="s">
        <v>1389</v>
      </c>
      <c r="I24" s="1342" t="s">
        <v>1435</v>
      </c>
      <c r="J24" s="1343">
        <f ca="1">ROUND(J5*M24,1)</f>
        <v>0</v>
      </c>
      <c r="K24" s="1344" t="s">
        <v>1455</v>
      </c>
      <c r="L24" s="1342" t="s">
        <v>1451</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4"/>
      <c r="D25" s="139" t="s">
        <v>1458</v>
      </c>
      <c r="E25" s="1820"/>
      <c r="F25" s="26"/>
      <c r="G25" s="1853"/>
      <c r="H25" s="1331" t="s">
        <v>1028</v>
      </c>
      <c r="I25" s="1346" t="s">
        <v>1459</v>
      </c>
      <c r="J25" s="354">
        <f ca="1">J5-J16</f>
        <v>-2</v>
      </c>
      <c r="K25" s="1347" t="s">
        <v>1460</v>
      </c>
      <c r="L25" s="1348"/>
      <c r="M25" s="1349"/>
    </row>
    <row r="26" spans="1:37">
      <c r="A26" s="1203" t="s">
        <v>1031</v>
      </c>
      <c r="B26" s="346" t="s">
        <v>1461</v>
      </c>
      <c r="C26" s="24">
        <f ca="1">ROUND((C19+C20)*F26,0)</f>
        <v>8</v>
      </c>
      <c r="D26" s="368" t="s">
        <v>1462</v>
      </c>
      <c r="E26" s="357" t="s">
        <v>1463</v>
      </c>
      <c r="F26" s="356">
        <f ca="1">INDIRECT("'数据-取费表'!q"&amp;$G$1)</f>
        <v>0.1</v>
      </c>
      <c r="G26" s="1853"/>
      <c r="H26" s="343" t="s">
        <v>1029</v>
      </c>
      <c r="I26" s="344" t="s">
        <v>1464</v>
      </c>
      <c r="J26" s="345">
        <f ca="1">IF(J5&lt;&gt;0,ROUND(J25*(1-((1+M28)/(1+M26))^M27)/(M26-M28),0),0)</f>
        <v>0</v>
      </c>
      <c r="K26" s="369" t="s">
        <v>1465</v>
      </c>
      <c r="L26" s="346" t="s">
        <v>1466</v>
      </c>
      <c r="M26" s="356">
        <f ca="1">INDIRECT("'数据-取费表'!I"&amp;$G$1)</f>
        <v>5.5E-2</v>
      </c>
    </row>
    <row r="27" spans="1:37" ht="18" customHeight="1">
      <c r="A27" s="1203" t="s">
        <v>1033</v>
      </c>
      <c r="B27" s="346" t="s">
        <v>1467</v>
      </c>
      <c r="C27" s="24">
        <f ca="1">ROUND(F21*F26,4)</f>
        <v>2E-3</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4">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98</v>
      </c>
      <c r="D29" s="1344"/>
      <c r="E29" s="1342"/>
      <c r="F29" s="1345"/>
      <c r="G29" s="1856"/>
      <c r="H29" s="379" t="s">
        <v>1030</v>
      </c>
      <c r="I29" s="380" t="s">
        <v>1475</v>
      </c>
      <c r="J29" s="381">
        <f ca="1">ROUND(J26/(1+F40)^F41,0)</f>
        <v>0</v>
      </c>
      <c r="K29" s="382" t="s">
        <v>1476</v>
      </c>
      <c r="L29" s="383"/>
      <c r="M29" s="384">
        <f ca="1">INDIRECT("'数据-取费表'!k"&amp;$G$1)</f>
        <v>287.93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11</v>
      </c>
      <c r="D30" s="1339" t="s">
        <v>1421</v>
      </c>
      <c r="E30" s="1340"/>
      <c r="F30" s="1296"/>
      <c r="G30" s="1853"/>
      <c r="H30" s="744"/>
      <c r="I30" s="745"/>
      <c r="J30" s="746"/>
      <c r="K30" s="747"/>
      <c r="L30" s="748"/>
      <c r="M30" s="749"/>
    </row>
    <row r="31" spans="1:37" ht="18" customHeight="1">
      <c r="A31" s="1203" t="s">
        <v>1032</v>
      </c>
      <c r="B31" s="346" t="s">
        <v>1425</v>
      </c>
      <c r="C31" s="24">
        <f ca="1">ROUND(IF(项目基本情况!B11="自然人",C5*F31,C32+C33+C34),1)</f>
        <v>9.6999999999999993</v>
      </c>
      <c r="D31" s="1802" t="s">
        <v>1426</v>
      </c>
      <c r="E31" s="1800"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4">
        <f ca="1">IF(项目基本情况!B11="自然人","——",ROUND(C5*F32/(1+'数据-取费表'!C42),2))</f>
        <v>2.83</v>
      </c>
      <c r="D32" s="1800" t="s">
        <v>1430</v>
      </c>
      <c r="E32" s="346" t="s">
        <v>1418</v>
      </c>
      <c r="F32" s="376">
        <f>'数据-取费表'!B41</f>
        <v>5.5000000000000007E-2</v>
      </c>
      <c r="G32" s="1853"/>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6.48</v>
      </c>
      <c r="D33" s="1830" t="s">
        <v>3100</v>
      </c>
      <c r="E33" s="346" t="s">
        <v>1418</v>
      </c>
      <c r="F33" s="366">
        <f>IF(D33="按票据","——",IF(D33="按租金收入计税",'数据-取费表'!B51,'数据-取费表'!B50))</f>
        <v>0.12</v>
      </c>
      <c r="G33" s="1853"/>
      <c r="H33" s="1861"/>
      <c r="I33" s="1862"/>
      <c r="J33" s="1863"/>
      <c r="K33" s="1864"/>
      <c r="L33" s="1861"/>
      <c r="M33" s="1861"/>
    </row>
    <row r="34" spans="1:18" ht="18" customHeight="1">
      <c r="A34" s="1293" t="s">
        <v>1385</v>
      </c>
      <c r="B34" s="163" t="s">
        <v>1437</v>
      </c>
      <c r="C34" s="25">
        <f ca="1">IF(项目基本情况!B11="自然人","——",ROUND(F34*F35/10000,2))</f>
        <v>0.36</v>
      </c>
      <c r="D34" s="369" t="s">
        <v>1438</v>
      </c>
      <c r="E34" s="346" t="s">
        <v>1439</v>
      </c>
      <c r="F34" s="370">
        <f>'数据-取费表'!B52</f>
        <v>6</v>
      </c>
      <c r="G34" s="1853"/>
      <c r="H34" s="744"/>
      <c r="I34" s="1862"/>
      <c r="J34" s="1863"/>
      <c r="K34" s="1865"/>
      <c r="L34" s="1866"/>
      <c r="M34" s="1866"/>
    </row>
    <row r="35" spans="1:18" ht="18" customHeight="1">
      <c r="A35" s="1355"/>
      <c r="B35" s="1353"/>
      <c r="C35" s="29"/>
      <c r="D35" s="372"/>
      <c r="E35" s="346" t="s">
        <v>1443</v>
      </c>
      <c r="F35" s="347">
        <f ca="1">INDIRECT("'数据-取费表'!r"&amp;$G$1)</f>
        <v>595.74</v>
      </c>
      <c r="G35" s="1853"/>
      <c r="H35" s="744"/>
      <c r="I35" s="1862"/>
      <c r="J35" s="1863"/>
      <c r="K35" s="1864"/>
      <c r="L35" s="1861"/>
      <c r="M35" s="1861"/>
    </row>
    <row r="36" spans="1:18" ht="18" customHeight="1">
      <c r="A36" s="1354" t="s">
        <v>1036</v>
      </c>
      <c r="B36" s="346" t="s">
        <v>1445</v>
      </c>
      <c r="C36" s="24">
        <f ca="1">ROUND(C29*F36,1)</f>
        <v>1</v>
      </c>
      <c r="D36" s="1800" t="s">
        <v>1478</v>
      </c>
      <c r="E36" s="346" t="s">
        <v>1418</v>
      </c>
      <c r="F36" s="373">
        <f ca="1">INDIRECT("'数据-取费表'!Ak"&amp;$G$1)</f>
        <v>0.01</v>
      </c>
      <c r="G36" s="1853"/>
      <c r="H36" s="1861"/>
      <c r="I36" s="1862"/>
      <c r="J36" s="1863"/>
      <c r="K36" s="750"/>
      <c r="L36" s="1861"/>
      <c r="M36" s="1861"/>
    </row>
    <row r="37" spans="1:18" ht="18" customHeight="1">
      <c r="A37" s="1203" t="s">
        <v>1072</v>
      </c>
      <c r="B37" s="346" t="s">
        <v>1449</v>
      </c>
      <c r="C37" s="24">
        <f ca="1">ROUND(C13*F37,1)</f>
        <v>0.1</v>
      </c>
      <c r="D37" s="1800" t="s">
        <v>1450</v>
      </c>
      <c r="E37" s="346" t="s">
        <v>1451</v>
      </c>
      <c r="F37" s="375">
        <f ca="1">INDIRECT("'数据-取费表'!Al"&amp;$G$1)</f>
        <v>1.5E-3</v>
      </c>
      <c r="G37" s="1853"/>
      <c r="H37" s="1861"/>
      <c r="I37" s="1862"/>
      <c r="J37" s="1863"/>
      <c r="K37" s="750"/>
      <c r="L37" s="1861"/>
      <c r="M37" s="1861"/>
    </row>
    <row r="38" spans="1:18" ht="18" customHeight="1" thickBot="1">
      <c r="A38" s="1341" t="s">
        <v>1389</v>
      </c>
      <c r="B38" s="1342" t="s">
        <v>1435</v>
      </c>
      <c r="C38" s="1343">
        <f ca="1">ROUND(C5*F38,1)</f>
        <v>0.5</v>
      </c>
      <c r="D38" s="1344" t="s">
        <v>1455</v>
      </c>
      <c r="E38" s="1342" t="s">
        <v>1451</v>
      </c>
      <c r="F38" s="1338">
        <f ca="1">INDIRECT("'数据-取费表'!Am"&amp;$G$1)</f>
        <v>0.01</v>
      </c>
      <c r="G38" s="1853"/>
      <c r="H38" s="1861"/>
      <c r="I38" s="1862"/>
      <c r="J38" s="1863"/>
      <c r="K38" s="1867"/>
      <c r="L38" s="1861"/>
      <c r="M38" s="1861"/>
    </row>
    <row r="39" spans="1:18" ht="24.6" customHeight="1" thickTop="1">
      <c r="A39" s="1331" t="s">
        <v>1028</v>
      </c>
      <c r="B39" s="1346" t="s">
        <v>1479</v>
      </c>
      <c r="C39" s="354">
        <f ca="1">C5-C30</f>
        <v>43</v>
      </c>
      <c r="D39" s="1347" t="s">
        <v>1480</v>
      </c>
      <c r="E39" s="1348"/>
      <c r="F39" s="1349"/>
      <c r="G39" s="1853"/>
      <c r="H39" s="1861"/>
      <c r="I39" s="1862"/>
      <c r="J39" s="1863"/>
      <c r="K39" s="1867"/>
      <c r="L39" s="1861"/>
      <c r="M39" s="1861"/>
    </row>
    <row r="40" spans="1:18" ht="18" customHeight="1">
      <c r="A40" s="343" t="s">
        <v>1029</v>
      </c>
      <c r="B40" s="344" t="s">
        <v>1481</v>
      </c>
      <c r="C40" s="345">
        <f ca="1">ROUND(C39*(1-((1+F42)/(1+F40))^F41)/(F40-F42),0)</f>
        <v>977</v>
      </c>
      <c r="D40" s="369" t="s">
        <v>1465</v>
      </c>
      <c r="E40" s="346" t="s">
        <v>1466</v>
      </c>
      <c r="F40" s="356">
        <f ca="1">INDIRECT("'数据-取费表'!I"&amp;$G$1)</f>
        <v>5.5E-2</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35.01</v>
      </c>
      <c r="G41" s="1853"/>
      <c r="H41" s="731"/>
      <c r="I41" s="1862"/>
      <c r="J41" s="1863"/>
      <c r="K41" s="750"/>
      <c r="L41" s="731"/>
      <c r="M41" s="731"/>
    </row>
    <row r="42" spans="1:18" ht="18" customHeight="1">
      <c r="A42" s="352"/>
      <c r="B42" s="353"/>
      <c r="C42" s="354"/>
      <c r="D42" s="372"/>
      <c r="E42" s="346" t="s">
        <v>1473</v>
      </c>
      <c r="F42" s="356">
        <f ca="1">INDIRECT("'数据-取费表'!v"&amp;$G$1)</f>
        <v>0.03</v>
      </c>
      <c r="G42" s="1853"/>
      <c r="H42" s="731"/>
      <c r="I42" s="1862"/>
      <c r="J42" s="1863"/>
      <c r="K42" s="750"/>
      <c r="L42" s="731"/>
      <c r="M42" s="731"/>
    </row>
    <row r="43" spans="1:18" ht="18" customHeight="1" thickBot="1">
      <c r="A43" s="379" t="s">
        <v>1030</v>
      </c>
      <c r="B43" s="380" t="s">
        <v>1483</v>
      </c>
      <c r="C43" s="381">
        <f ca="1">ROUND(C40*10000/F43,0)</f>
        <v>33932</v>
      </c>
      <c r="D43" s="382" t="s">
        <v>1484</v>
      </c>
      <c r="E43" s="383" t="s">
        <v>1485</v>
      </c>
      <c r="F43" s="384">
        <f ca="1">INDIRECT("'数据-取费表'!k"&amp;$G$1)</f>
        <v>287.93</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5" thickBot="1">
      <c r="A46" s="1872" t="s">
        <v>1516</v>
      </c>
      <c r="C46" s="1873">
        <f ca="1">C68-C40</f>
        <v>-1131</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1"/>
      <c r="I47" s="1882" t="s">
        <v>1522</v>
      </c>
      <c r="J47" s="1883" t="s">
        <v>3098</v>
      </c>
      <c r="K47" s="1884" t="s">
        <v>1523</v>
      </c>
      <c r="L47" s="1885">
        <f ca="1">INDIRECT("'数据-取费表'!d"&amp;$G$1)</f>
        <v>40</v>
      </c>
      <c r="M47" s="1840" t="str">
        <f>IF(ISNUMBER(FIND("住宅",C1)),"住宅","非住宅")</f>
        <v>非住宅</v>
      </c>
      <c r="O47" s="1886" t="s">
        <v>1037</v>
      </c>
      <c r="P47" s="1887" t="s">
        <v>1524</v>
      </c>
      <c r="Q47" s="1888">
        <f ca="1">C40+J29</f>
        <v>977</v>
      </c>
      <c r="R47" s="1888" t="s">
        <v>1525</v>
      </c>
    </row>
    <row r="48" spans="1:18" s="1844" customFormat="1" ht="28.5" thickBot="1">
      <c r="A48" s="1362" t="s">
        <v>1132</v>
      </c>
      <c r="B48" s="344" t="s">
        <v>1397</v>
      </c>
      <c r="C48" s="1819">
        <f ca="1">C49+C53+C55</f>
        <v>0</v>
      </c>
      <c r="D48" s="1364"/>
      <c r="E48" s="1365"/>
      <c r="F48" s="1183"/>
      <c r="G48" s="791"/>
      <c r="H48" s="792"/>
      <c r="I48" s="1889" t="s">
        <v>1526</v>
      </c>
      <c r="J48" s="1890" t="s">
        <v>3099</v>
      </c>
      <c r="K48" s="1891" t="s">
        <v>1527</v>
      </c>
      <c r="L48" s="1892">
        <f ca="1">INDIRECT("'数据-取费表'!f"&amp;$G$1)</f>
        <v>35.01</v>
      </c>
      <c r="O48" s="1886" t="s">
        <v>1038</v>
      </c>
      <c r="P48" s="1887" t="s">
        <v>1528</v>
      </c>
      <c r="Q48" s="1888" t="str">
        <f ca="1">J60</f>
        <v>0</v>
      </c>
      <c r="R48" s="1888" t="s">
        <v>1529</v>
      </c>
    </row>
    <row r="49" spans="1:18" s="1844" customFormat="1" ht="13.5" thickBot="1">
      <c r="A49" s="1196" t="s">
        <v>1133</v>
      </c>
      <c r="B49" s="1831" t="s">
        <v>1486</v>
      </c>
      <c r="C49" s="1366">
        <f ca="1">ROUND(F49*F51*F50*(1-F52)/10000,0)</f>
        <v>0</v>
      </c>
      <c r="D49" s="1278" t="s">
        <v>3026</v>
      </c>
      <c r="E49" s="1832" t="s">
        <v>1487</v>
      </c>
      <c r="F49" s="1283"/>
      <c r="G49" s="1893"/>
      <c r="H49" s="792"/>
      <c r="I49" s="1889" t="s">
        <v>1530</v>
      </c>
      <c r="J49" s="1894">
        <v>2018</v>
      </c>
      <c r="K49" s="1891" t="s">
        <v>1531</v>
      </c>
      <c r="L49" s="1895"/>
      <c r="O49" s="1896" t="s">
        <v>1039</v>
      </c>
      <c r="P49" s="1887" t="s">
        <v>1532</v>
      </c>
      <c r="Q49" s="1888">
        <f ca="1">C29</f>
        <v>98</v>
      </c>
      <c r="R49" s="1888" t="s">
        <v>1525</v>
      </c>
    </row>
    <row r="50" spans="1:18" s="1844" customFormat="1" ht="13.5" thickBot="1">
      <c r="A50" s="1197"/>
      <c r="B50" s="1200"/>
      <c r="C50" s="1370"/>
      <c r="D50" s="1174"/>
      <c r="E50" s="1279" t="s">
        <v>1402</v>
      </c>
      <c r="F50" s="1280">
        <f ca="1">F7</f>
        <v>287.93</v>
      </c>
      <c r="H50" s="792"/>
      <c r="I50" s="1889" t="s">
        <v>1533</v>
      </c>
      <c r="J50" s="1897">
        <f>SUMPRODUCT((I63:I65=J47)*(J62:L62=J48)*(J63:L65))</f>
        <v>60</v>
      </c>
      <c r="K50" s="1891" t="s">
        <v>1534</v>
      </c>
      <c r="L50" s="1895"/>
      <c r="M50" s="1898"/>
      <c r="O50" s="1896" t="s">
        <v>1040</v>
      </c>
      <c r="P50" s="1887" t="s">
        <v>1535</v>
      </c>
      <c r="Q50" s="1899" t="e">
        <f ca="1">J58</f>
        <v>#VALUE!</v>
      </c>
      <c r="R50" s="1888"/>
    </row>
    <row r="51" spans="1:18" s="1844" customFormat="1" ht="13.5" thickBot="1">
      <c r="A51" s="1198"/>
      <c r="B51" s="1200"/>
      <c r="C51" s="1201"/>
      <c r="D51" s="1174"/>
      <c r="E51" s="1202" t="s">
        <v>1403</v>
      </c>
      <c r="F51" s="347">
        <f ca="1">F8</f>
        <v>365</v>
      </c>
      <c r="I51" s="1900" t="s">
        <v>1536</v>
      </c>
      <c r="J51" s="1901">
        <f>IF(J49="",J50,J49+J50-YEAR('数据-取费表'!B2))</f>
        <v>60</v>
      </c>
      <c r="K51" s="1902" t="s">
        <v>1537</v>
      </c>
      <c r="L51" s="1903">
        <f ca="1">ROUND(-PV(INDIRECT("'数据-取费表'!h"&amp;$G$1),L48,(C39-C13*C76),0),0)</f>
        <v>576</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f ca="1">J53</f>
        <v>35.01</v>
      </c>
      <c r="R52" s="1888" t="s">
        <v>1542</v>
      </c>
    </row>
    <row r="53" spans="1:18" s="1844" customFormat="1" ht="24.75" thickBot="1">
      <c r="A53" s="1407" t="s">
        <v>1134</v>
      </c>
      <c r="B53" s="1833" t="s">
        <v>1405</v>
      </c>
      <c r="C53" s="360">
        <f ca="1">ROUND(IF(F53="押一",C49/12*F11,IF(F53="押二",C49/12*2*F11,IF(F53="押三",C49/12*3*F11,C54*F11))),0)</f>
        <v>0</v>
      </c>
      <c r="D53" s="1826" t="s">
        <v>3033</v>
      </c>
      <c r="E53" s="357"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35.01</v>
      </c>
      <c r="K53" s="3204" t="s">
        <v>1544</v>
      </c>
      <c r="L53" s="3205"/>
      <c r="O53" s="1886" t="s">
        <v>1043</v>
      </c>
      <c r="P53" s="1887" t="s">
        <v>1545</v>
      </c>
      <c r="Q53" s="1888">
        <f ca="1">Q47+Q48</f>
        <v>977</v>
      </c>
      <c r="R53" s="1888" t="s">
        <v>1044</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8">
        <v>2</v>
      </c>
      <c r="B56" s="1179" t="s">
        <v>1410</v>
      </c>
      <c r="C56" s="275">
        <f ca="1">C13</f>
        <v>98</v>
      </c>
      <c r="D56" s="1916"/>
      <c r="E56" s="1917"/>
      <c r="F56" s="1909"/>
      <c r="I56" s="1918" t="s">
        <v>1550</v>
      </c>
      <c r="J56" s="1919" t="s">
        <v>3090</v>
      </c>
      <c r="K56" s="1889" t="s">
        <v>1551</v>
      </c>
      <c r="L56" s="1892" t="str">
        <f ca="1">IF(L48&lt;J51,"——",L48-J53)</f>
        <v>——</v>
      </c>
      <c r="O56" s="1886" t="s">
        <v>1037</v>
      </c>
      <c r="P56" s="1887" t="s">
        <v>1524</v>
      </c>
      <c r="Q56" s="1888">
        <f ca="1">C40+J29</f>
        <v>977</v>
      </c>
      <c r="R56" s="1888" t="s">
        <v>1525</v>
      </c>
    </row>
    <row r="57" spans="1:18" s="1844" customFormat="1" ht="24.75" thickBot="1">
      <c r="A57" s="1920"/>
      <c r="B57" s="1171" t="s">
        <v>1474</v>
      </c>
      <c r="C57" s="281">
        <f ca="1">C29</f>
        <v>98</v>
      </c>
      <c r="D57" s="1921"/>
      <c r="E57" s="1922"/>
      <c r="F57" s="1923"/>
      <c r="I57" s="1924" t="s">
        <v>1552</v>
      </c>
      <c r="J57" s="1925" t="str">
        <f ca="1">IF(OR(M47="住宅",J51&lt;L48,J56="是"),"——",J51-L48)</f>
        <v>——</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59" t="s">
        <v>1027</v>
      </c>
      <c r="B58" s="1179" t="s">
        <v>1420</v>
      </c>
      <c r="C58" s="360">
        <f ca="1">ROUND(C59+C64+C65+C66,0)</f>
        <v>10</v>
      </c>
      <c r="D58" s="1181" t="s">
        <v>1421</v>
      </c>
      <c r="E58" s="1182"/>
      <c r="F58" s="1183"/>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4">
        <f ca="1">ROUND(IF(项目基本情况!B11="自然人",C48*F59,C60+C61+C62),1)</f>
        <v>8.6</v>
      </c>
      <c r="D59" s="1184" t="s">
        <v>1426</v>
      </c>
      <c r="E59" s="1185" t="s">
        <v>1427</v>
      </c>
      <c r="F59" s="367"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5" thickBot="1">
      <c r="A61" s="1203" t="s">
        <v>1488</v>
      </c>
      <c r="B61" s="1171" t="s">
        <v>1489</v>
      </c>
      <c r="C61" s="24">
        <f ca="1">IF(项目基本情况!B11="自然人","——",IF(D61="按租金收入计税",ROUND(C48*F61,2),IF(D61="按房产原值计税",ROUND(C57*F61*0.7,2),INDIRECT("'数据-取费表'!Aj"&amp;$G$1))))</f>
        <v>8.23</v>
      </c>
      <c r="D61" s="1830" t="s">
        <v>1434</v>
      </c>
      <c r="E61" s="1171" t="s">
        <v>1490</v>
      </c>
      <c r="F61" s="366">
        <f t="shared" si="0"/>
        <v>0.12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3" t="s">
        <v>1491</v>
      </c>
      <c r="B62" s="1170" t="s">
        <v>1492</v>
      </c>
      <c r="C62" s="25">
        <f ca="1">IF(项目基本情况!B11="自然人","——",ROUND(F62*F63/10000,2))</f>
        <v>0.36</v>
      </c>
      <c r="D62" s="1186" t="s">
        <v>1493</v>
      </c>
      <c r="E62" s="1171" t="s">
        <v>1494</v>
      </c>
      <c r="F62" s="370">
        <f t="shared" si="0"/>
        <v>6</v>
      </c>
      <c r="I62" s="1931" t="s">
        <v>1566</v>
      </c>
      <c r="J62" s="1932" t="s">
        <v>1567</v>
      </c>
      <c r="K62" s="1932" t="s">
        <v>1568</v>
      </c>
      <c r="L62" s="1932" t="s">
        <v>1569</v>
      </c>
      <c r="M62" s="1933" t="s">
        <v>1570</v>
      </c>
      <c r="O62" s="1886" t="s">
        <v>1043</v>
      </c>
      <c r="P62" s="1887" t="s">
        <v>1571</v>
      </c>
      <c r="Q62" s="1888">
        <f ca="1">Q56+Q57</f>
        <v>977</v>
      </c>
      <c r="R62" s="1888" t="s">
        <v>1044</v>
      </c>
    </row>
    <row r="63" spans="1:18" s="1844" customFormat="1" ht="13.5" thickBot="1">
      <c r="A63" s="371"/>
      <c r="B63" s="1177"/>
      <c r="C63" s="29"/>
      <c r="D63" s="1187"/>
      <c r="E63" s="1171" t="s">
        <v>1495</v>
      </c>
      <c r="F63" s="347">
        <f t="shared" ca="1" si="0"/>
        <v>595.74</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4">
        <f ca="1">ROUND(C57*F64,1)</f>
        <v>1</v>
      </c>
      <c r="D64" s="1185" t="s">
        <v>1498</v>
      </c>
      <c r="E64" s="1171" t="s">
        <v>1490</v>
      </c>
      <c r="F64" s="373">
        <f t="shared" ca="1" si="0"/>
        <v>0.01</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4">
        <f ca="1">ROUND(C56*F65,1)</f>
        <v>0.1</v>
      </c>
      <c r="D65" s="1185" t="s">
        <v>1450</v>
      </c>
      <c r="E65" s="1171" t="s">
        <v>1451</v>
      </c>
      <c r="F65" s="375">
        <f t="shared" ca="1" si="0"/>
        <v>1.5E-3</v>
      </c>
      <c r="I65" s="1931" t="s">
        <v>1575</v>
      </c>
      <c r="J65" s="1932">
        <v>40</v>
      </c>
      <c r="K65" s="1932">
        <v>30</v>
      </c>
      <c r="L65" s="1932">
        <v>50</v>
      </c>
      <c r="M65" s="1934">
        <v>0.02</v>
      </c>
      <c r="O65" s="1886" t="s">
        <v>1037</v>
      </c>
      <c r="P65" s="1887" t="s">
        <v>1576</v>
      </c>
      <c r="Q65" s="1888">
        <f ca="1">C40+J29</f>
        <v>977</v>
      </c>
      <c r="R65" s="1888" t="s">
        <v>1525</v>
      </c>
    </row>
    <row r="66" spans="1:18" s="1844" customFormat="1" ht="16.5" thickBot="1">
      <c r="A66" s="1203" t="s">
        <v>1500</v>
      </c>
      <c r="B66" s="1171" t="s">
        <v>1435</v>
      </c>
      <c r="C66" s="24">
        <f ca="1">ROUND(C48*F66,1)</f>
        <v>0</v>
      </c>
      <c r="D66" s="1185" t="s">
        <v>1501</v>
      </c>
      <c r="E66" s="1171" t="s">
        <v>1418</v>
      </c>
      <c r="F66" s="356">
        <f t="shared" ca="1" si="0"/>
        <v>0.01</v>
      </c>
      <c r="O66" s="1886" t="s">
        <v>1038</v>
      </c>
      <c r="P66" s="1887" t="s">
        <v>1554</v>
      </c>
      <c r="Q66" s="1888">
        <f ca="1">L60</f>
        <v>0</v>
      </c>
      <c r="R66" s="1888" t="s">
        <v>1577</v>
      </c>
    </row>
    <row r="67" spans="1:18" s="1844" customFormat="1" ht="16.5" thickBot="1">
      <c r="A67" s="1178" t="s">
        <v>1028</v>
      </c>
      <c r="B67" s="1188" t="s">
        <v>1459</v>
      </c>
      <c r="C67" s="360">
        <f ca="1">C48-C58</f>
        <v>-10</v>
      </c>
      <c r="D67" s="1184" t="s">
        <v>1460</v>
      </c>
      <c r="E67" s="1189"/>
      <c r="F67" s="1190"/>
      <c r="O67" s="1896" t="s">
        <v>1039</v>
      </c>
      <c r="P67" s="1887" t="s">
        <v>1558</v>
      </c>
      <c r="Q67" s="1935">
        <f ca="1">L51</f>
        <v>576</v>
      </c>
      <c r="R67" s="1888" t="s">
        <v>1578</v>
      </c>
    </row>
    <row r="68" spans="1:18" s="1844" customFormat="1" ht="16.5" thickBot="1">
      <c r="A68" s="1168" t="s">
        <v>1029</v>
      </c>
      <c r="B68" s="1169" t="s">
        <v>1481</v>
      </c>
      <c r="C68" s="345">
        <f ca="1">ROUND(C67*(1-((1+F70)/(1+F68))^F69)/(F68-F70),0)</f>
        <v>-154</v>
      </c>
      <c r="D68" s="1186" t="s">
        <v>1465</v>
      </c>
      <c r="E68" s="1171" t="s">
        <v>1466</v>
      </c>
      <c r="F68" s="356">
        <f ca="1">F40</f>
        <v>5.5E-2</v>
      </c>
      <c r="O68" s="1896" t="s">
        <v>1040</v>
      </c>
      <c r="P68" s="1936" t="s">
        <v>1579</v>
      </c>
      <c r="Q68" s="1888">
        <f ca="1">ROUND(Q69-Q70*Q71,0)</f>
        <v>35</v>
      </c>
      <c r="R68" s="1888" t="s">
        <v>1048</v>
      </c>
    </row>
    <row r="69" spans="1:18" s="1844" customFormat="1" ht="13.5" thickBot="1">
      <c r="A69" s="1172"/>
      <c r="B69" s="1173"/>
      <c r="C69" s="350"/>
      <c r="D69" s="1191" t="s">
        <v>1469</v>
      </c>
      <c r="E69" s="1171" t="s">
        <v>1470</v>
      </c>
      <c r="F69" s="378">
        <f ca="1">F41</f>
        <v>35.01</v>
      </c>
      <c r="O69" s="1896" t="s">
        <v>1045</v>
      </c>
      <c r="P69" s="1936" t="s">
        <v>1580</v>
      </c>
      <c r="Q69" s="1888">
        <f ca="1">C39</f>
        <v>43</v>
      </c>
      <c r="R69" s="1888" t="s">
        <v>1525</v>
      </c>
    </row>
    <row r="70" spans="1:18" s="1844" customFormat="1" ht="13.5" thickBot="1">
      <c r="A70" s="1175"/>
      <c r="B70" s="1176"/>
      <c r="C70" s="354"/>
      <c r="D70" s="1187"/>
      <c r="E70" s="1171" t="s">
        <v>1473</v>
      </c>
      <c r="F70" s="1277"/>
      <c r="O70" s="1896" t="s">
        <v>1046</v>
      </c>
      <c r="P70" s="1936" t="s">
        <v>1581</v>
      </c>
      <c r="Q70" s="1888">
        <f ca="1">C13</f>
        <v>98</v>
      </c>
      <c r="R70" s="1888" t="s">
        <v>1525</v>
      </c>
    </row>
    <row r="71" spans="1:18" s="1844" customFormat="1" ht="13.5" thickBot="1">
      <c r="A71" s="1192" t="s">
        <v>1030</v>
      </c>
      <c r="B71" s="1193" t="s">
        <v>1483</v>
      </c>
      <c r="C71" s="381">
        <f ca="1">ROUND(C68*10000/F71,0)</f>
        <v>-5349</v>
      </c>
      <c r="D71" s="1194" t="s">
        <v>1484</v>
      </c>
      <c r="E71" s="1195" t="s">
        <v>1485</v>
      </c>
      <c r="F71" s="384">
        <f ca="1">F43</f>
        <v>287.93</v>
      </c>
      <c r="O71" s="1896" t="s">
        <v>1047</v>
      </c>
      <c r="P71" s="1936" t="s">
        <v>1582</v>
      </c>
      <c r="Q71" s="1899">
        <f ca="1">C76</f>
        <v>0.08</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5" t="s">
        <v>1502</v>
      </c>
      <c r="C75" s="386">
        <f ca="1">ROUND(C13*C76,0)</f>
        <v>8</v>
      </c>
      <c r="D75" s="1844"/>
      <c r="E75" s="1844"/>
      <c r="F75" s="1844"/>
      <c r="K75" s="1870"/>
      <c r="L75" s="1844"/>
      <c r="O75" s="1886" t="s">
        <v>1043</v>
      </c>
      <c r="P75" s="1887" t="s">
        <v>1545</v>
      </c>
      <c r="Q75" s="1888">
        <f ca="1">Q65+Q66</f>
        <v>977</v>
      </c>
      <c r="R75" s="1888" t="s">
        <v>1044</v>
      </c>
    </row>
    <row r="76" spans="1:18">
      <c r="B76" s="387" t="s">
        <v>1503</v>
      </c>
      <c r="C76" s="388">
        <f ca="1">INDIRECT("'数据-取费表'!j"&amp;$G$1)</f>
        <v>0.08</v>
      </c>
      <c r="I76" s="1844"/>
      <c r="J76" s="1844"/>
      <c r="K76" s="1870"/>
      <c r="L76" s="1844"/>
    </row>
    <row r="77" spans="1:18">
      <c r="B77" s="389" t="s">
        <v>1504</v>
      </c>
      <c r="C77" s="390"/>
      <c r="I77" s="1844"/>
      <c r="J77" s="1844"/>
      <c r="K77" s="1870"/>
      <c r="L77" s="1844"/>
    </row>
    <row r="78" spans="1:18">
      <c r="B78" s="313" t="s">
        <v>1505</v>
      </c>
      <c r="C78" s="391"/>
    </row>
    <row r="79" spans="1:18">
      <c r="B79" s="385" t="s">
        <v>1506</v>
      </c>
      <c r="C79" s="317">
        <f ca="1">1-C80</f>
        <v>0.81400000000000006</v>
      </c>
    </row>
    <row r="80" spans="1:18">
      <c r="B80" s="385" t="s">
        <v>1507</v>
      </c>
      <c r="C80" s="317">
        <f ca="1">ROUND(C75/C39,3)</f>
        <v>0.186</v>
      </c>
    </row>
    <row r="81" spans="2:3">
      <c r="B81" s="313" t="s">
        <v>1508</v>
      </c>
      <c r="C81" s="281"/>
    </row>
    <row r="82" spans="2:3">
      <c r="B82" s="316" t="s">
        <v>1509</v>
      </c>
      <c r="C82" s="318">
        <f ca="1">1-C83</f>
        <v>0.9</v>
      </c>
    </row>
    <row r="83" spans="2:3">
      <c r="B83" s="316" t="s">
        <v>1510</v>
      </c>
      <c r="C83" s="317">
        <f ca="1">ROUND(C13/C40,3)</f>
        <v>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c r="D1" s="1822"/>
      <c r="E1" s="1823" t="s">
        <v>1383</v>
      </c>
      <c r="F1" s="1285" t="b">
        <f>J53</f>
        <v>0</v>
      </c>
      <c r="G1" s="183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3" t="s">
        <v>1584</v>
      </c>
      <c r="I3" s="1842"/>
      <c r="J3" s="1842"/>
      <c r="K3" s="1843"/>
      <c r="L3" s="1842"/>
      <c r="M3" s="1842"/>
    </row>
    <row r="4" spans="1:37" ht="18" customHeight="1">
      <c r="A4" s="339" t="s">
        <v>1591</v>
      </c>
      <c r="B4" s="340" t="s">
        <v>1592</v>
      </c>
      <c r="C4" s="340" t="s">
        <v>1593</v>
      </c>
      <c r="D4" s="340" t="s">
        <v>1594</v>
      </c>
      <c r="E4" s="341" t="s">
        <v>1595</v>
      </c>
      <c r="F4" s="342"/>
      <c r="G4" s="1853"/>
      <c r="H4" s="339" t="s">
        <v>1591</v>
      </c>
      <c r="I4" s="340" t="s">
        <v>1592</v>
      </c>
      <c r="J4" s="340" t="s">
        <v>1593</v>
      </c>
      <c r="K4" s="340" t="s">
        <v>1594</v>
      </c>
      <c r="L4" s="341" t="s">
        <v>1595</v>
      </c>
      <c r="M4" s="342"/>
    </row>
    <row r="5" spans="1:37" ht="18" customHeight="1">
      <c r="A5" s="343">
        <v>1</v>
      </c>
      <c r="B5" s="344" t="s">
        <v>1596</v>
      </c>
      <c r="C5" s="1294">
        <f ca="1">C6+C10+C12</f>
        <v>0</v>
      </c>
      <c r="D5" s="1824" t="s">
        <v>1597</v>
      </c>
      <c r="E5" s="1295"/>
      <c r="F5" s="1296"/>
      <c r="G5" s="1853"/>
      <c r="H5" s="343">
        <v>1</v>
      </c>
      <c r="I5" s="344" t="s">
        <v>1596</v>
      </c>
      <c r="J5" s="1294">
        <f ca="1">J6+J10+J12</f>
        <v>0</v>
      </c>
      <c r="K5" s="1824" t="s">
        <v>1597</v>
      </c>
      <c r="L5" s="1295"/>
      <c r="M5" s="1296"/>
    </row>
    <row r="6" spans="1:37" ht="18" customHeight="1">
      <c r="A6" s="1293" t="s">
        <v>1032</v>
      </c>
      <c r="B6" s="3206" t="s">
        <v>1399</v>
      </c>
      <c r="C6" s="1298">
        <f ca="1">ROUND(F6*F8*F7*(1-F9),0)</f>
        <v>0</v>
      </c>
      <c r="D6" s="163" t="s">
        <v>3022</v>
      </c>
      <c r="E6" s="346" t="s">
        <v>1401</v>
      </c>
      <c r="F6" s="347">
        <f ca="1">INDIRECT("'数据-取费表'!u"&amp;$G$1)</f>
        <v>0</v>
      </c>
      <c r="G6" s="1853"/>
      <c r="H6" s="1293" t="s">
        <v>1032</v>
      </c>
      <c r="I6" s="3206" t="s">
        <v>1399</v>
      </c>
      <c r="J6" s="345">
        <f ca="1">ROUND(M6*M8*M7*(1-M9),0)</f>
        <v>0</v>
      </c>
      <c r="K6" s="1836" t="s">
        <v>3023</v>
      </c>
      <c r="L6" s="346" t="s">
        <v>1401</v>
      </c>
      <c r="M6" s="347">
        <f ca="1">INDIRECT("'数据-取费表'!z"&amp;$G$1)</f>
        <v>0</v>
      </c>
    </row>
    <row r="7" spans="1:37" ht="18" customHeight="1">
      <c r="A7" s="1297"/>
      <c r="B7" s="3207"/>
      <c r="C7" s="1299"/>
      <c r="D7" s="351"/>
      <c r="E7" s="1300" t="s">
        <v>1402</v>
      </c>
      <c r="F7" s="347">
        <f ca="1">IF(INDIRECT("'数据-取费表'!ah"&amp;$G$1)="",INDIRECT("'数据-取费表'!k"&amp;$G$1),INDIRECT("'数据-取费表'!ah"&amp;$G$1))</f>
        <v>0</v>
      </c>
      <c r="G7" s="1853"/>
      <c r="H7" s="348"/>
      <c r="I7" s="3207"/>
      <c r="J7" s="350"/>
      <c r="K7" s="351"/>
      <c r="L7" s="346" t="s">
        <v>1402</v>
      </c>
      <c r="M7" s="347">
        <f ca="1">F7</f>
        <v>0</v>
      </c>
    </row>
    <row r="8" spans="1:37" ht="18" customHeight="1">
      <c r="A8" s="348"/>
      <c r="B8" s="3207"/>
      <c r="C8" s="350"/>
      <c r="D8" s="351"/>
      <c r="E8" s="346" t="s">
        <v>1403</v>
      </c>
      <c r="F8" s="347">
        <f ca="1">INDIRECT("'数据-取费表'!ai"&amp;$G$1)</f>
        <v>0</v>
      </c>
      <c r="G8" s="1853"/>
      <c r="H8" s="348"/>
      <c r="I8" s="3207"/>
      <c r="J8" s="350"/>
      <c r="K8" s="351"/>
      <c r="L8" s="346" t="s">
        <v>1403</v>
      </c>
      <c r="M8" s="347">
        <f ca="1">INDIRECT("'数据-取费表'!ai"&amp;$G$1)</f>
        <v>0</v>
      </c>
    </row>
    <row r="9" spans="1:37" ht="18" customHeight="1">
      <c r="A9" s="348"/>
      <c r="B9" s="3208"/>
      <c r="C9" s="350"/>
      <c r="D9" s="351"/>
      <c r="E9" s="346" t="s">
        <v>1404</v>
      </c>
      <c r="F9" s="356">
        <f ca="1">INDIRECT("'数据-取费表'!w"&amp;$G$1)</f>
        <v>0</v>
      </c>
      <c r="G9" s="1853"/>
      <c r="H9" s="348"/>
      <c r="I9" s="3208"/>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3033</v>
      </c>
      <c r="E10" s="357" t="s">
        <v>1406</v>
      </c>
      <c r="F10" s="1368"/>
      <c r="G10" s="1853"/>
      <c r="H10" s="1293" t="s">
        <v>1036</v>
      </c>
      <c r="I10" s="1825" t="s">
        <v>1405</v>
      </c>
      <c r="J10" s="345">
        <f ca="1">ROUND(IF(M10="押一",J6/12*M11,IF(M10="押二",J6/12*2*M11,IF(M10="押三",J6/12*3*M11,J11*M11))),0)</f>
        <v>0</v>
      </c>
      <c r="K10" s="1837" t="s">
        <v>3035</v>
      </c>
      <c r="L10" s="357" t="s">
        <v>1406</v>
      </c>
      <c r="M10" s="1368"/>
    </row>
    <row r="11" spans="1:37" ht="18" customHeight="1">
      <c r="A11" s="352"/>
      <c r="B11" s="1827" t="s">
        <v>1598</v>
      </c>
      <c r="C11" s="1180"/>
      <c r="D11" s="351"/>
      <c r="E11" s="357" t="s">
        <v>1408</v>
      </c>
      <c r="F11" s="358">
        <f ca="1">'数据-取费表'!B39</f>
        <v>1.4999999999999999E-2</v>
      </c>
      <c r="G11" s="1853"/>
      <c r="H11" s="1301"/>
      <c r="I11" s="1827" t="s">
        <v>1599</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3" t="s">
        <v>1031</v>
      </c>
      <c r="B14" s="346" t="s">
        <v>1413</v>
      </c>
      <c r="C14" s="362">
        <f ca="1">ROUND(INDIRECT("'数据-取费表'!l"&amp;$G$1)*F43+'数据-取费表'!L14*INDIRECT("'数据-取费表'!S"&amp;$G$1),0)</f>
        <v>0</v>
      </c>
      <c r="D14" s="1802" t="s">
        <v>1414</v>
      </c>
      <c r="E14" s="1796"/>
      <c r="F14" s="363"/>
      <c r="G14" s="1853"/>
      <c r="H14" s="1203" t="s">
        <v>1032</v>
      </c>
      <c r="I14" s="346" t="s">
        <v>1415</v>
      </c>
      <c r="J14" s="24">
        <f ca="1">C29</f>
        <v>0</v>
      </c>
      <c r="K14" s="15"/>
      <c r="L14" s="981"/>
      <c r="M14" s="982"/>
    </row>
    <row r="15" spans="1:37" s="1860" customFormat="1" ht="18" customHeight="1" thickBot="1">
      <c r="A15" s="1203" t="s">
        <v>1033</v>
      </c>
      <c r="B15" s="346" t="s">
        <v>1416</v>
      </c>
      <c r="C15" s="24">
        <f ca="1">ROUND(C14*F15,0)</f>
        <v>0</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4">
        <f ca="1">ROUND(INDIRECT("'数据-取费表'!l"&amp;$G$1)*F43*F16,0)</f>
        <v>0</v>
      </c>
      <c r="D16" s="346" t="s">
        <v>1417</v>
      </c>
      <c r="E16" s="346" t="s">
        <v>1418</v>
      </c>
      <c r="F16" s="366">
        <f ca="1">IF(INDIRECT("'数据-取费表'!c"&amp;$G$1)="住宅",'数据-取费表'!B34,0)</f>
        <v>0</v>
      </c>
      <c r="G16" s="1853"/>
      <c r="H16" s="1331" t="s">
        <v>1027</v>
      </c>
      <c r="I16" s="1332" t="s">
        <v>1420</v>
      </c>
      <c r="J16" s="354">
        <f ca="1">ROUND(J17+J22+J23+J24,0)</f>
        <v>0</v>
      </c>
      <c r="K16" s="1339" t="s">
        <v>1421</v>
      </c>
      <c r="L16" s="1340"/>
      <c r="M16" s="1296"/>
    </row>
    <row r="17" spans="1:37" s="1860" customFormat="1" ht="18" customHeight="1">
      <c r="A17" s="1203" t="s">
        <v>1386</v>
      </c>
      <c r="B17" s="346" t="s">
        <v>1422</v>
      </c>
      <c r="C17" s="24">
        <f ca="1">ROUND(F17*(F43+INDIRECT("'数据-取费表'!S"&amp;$G$1)),0)</f>
        <v>0</v>
      </c>
      <c r="D17" s="346" t="s">
        <v>1423</v>
      </c>
      <c r="E17" s="346" t="s">
        <v>1424</v>
      </c>
      <c r="F17" s="26">
        <f>'数据-取费表'!B35</f>
        <v>200</v>
      </c>
      <c r="G17" s="1856"/>
      <c r="H17" s="1203" t="s">
        <v>1032</v>
      </c>
      <c r="I17" s="346" t="s">
        <v>1425</v>
      </c>
      <c r="J17" s="24">
        <f ca="1">ROUND(IF(项目基本情况!B11="自然人",J5*M17,J18+J19+J20),0)</f>
        <v>0</v>
      </c>
      <c r="K17" s="1802" t="s">
        <v>1426</v>
      </c>
      <c r="L17" s="1800"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4">
        <f ca="1">ROUND(C14*F18,0)</f>
        <v>0</v>
      </c>
      <c r="D18" s="346" t="s">
        <v>1417</v>
      </c>
      <c r="E18" s="346" t="s">
        <v>1418</v>
      </c>
      <c r="F18" s="366">
        <f>'数据-取费表'!B36</f>
        <v>1.4999999999999999E-2</v>
      </c>
      <c r="G18" s="1856"/>
      <c r="H18" s="1203" t="s">
        <v>1031</v>
      </c>
      <c r="I18" s="346" t="s">
        <v>1429</v>
      </c>
      <c r="J18" s="24">
        <f ca="1">ROUND(J5*M18/(1+'数据-取费表'!C42),0)</f>
        <v>0</v>
      </c>
      <c r="K18" s="1800"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4">
        <f ca="1">SUM(C14:C18)</f>
        <v>0</v>
      </c>
      <c r="D19" s="139" t="s">
        <v>1432</v>
      </c>
      <c r="E19" s="1820"/>
      <c r="F19" s="26"/>
      <c r="G19" s="1853"/>
      <c r="H19" s="1203" t="s">
        <v>1033</v>
      </c>
      <c r="I19" s="346" t="s">
        <v>1433</v>
      </c>
      <c r="J19" s="24">
        <f ca="1">IF(K19="按租金收入计税",ROUND(J5*M19,0),ROUND(C29*M19*0.7,0))</f>
        <v>0</v>
      </c>
      <c r="K19" s="1830" t="s">
        <v>1434</v>
      </c>
      <c r="L19" s="346" t="s">
        <v>1418</v>
      </c>
      <c r="M19" s="366">
        <f>IF(K19="按租金收入计税",'数据-取费表'!B51,'数据-取费表'!B50)</f>
        <v>1.2E-2</v>
      </c>
    </row>
    <row r="20" spans="1:37" s="1860" customFormat="1" ht="18" customHeight="1">
      <c r="A20" s="1203" t="s">
        <v>1036</v>
      </c>
      <c r="B20" s="346" t="s">
        <v>1435</v>
      </c>
      <c r="C20" s="24">
        <f ca="1">ROUND(C19*F20,0)</f>
        <v>0</v>
      </c>
      <c r="D20" s="368" t="s">
        <v>1436</v>
      </c>
      <c r="E20" s="346" t="s">
        <v>1418</v>
      </c>
      <c r="F20" s="366">
        <f>'数据-取费表'!B37</f>
        <v>0.02</v>
      </c>
      <c r="G20" s="1856"/>
      <c r="H20" s="1203" t="s">
        <v>1385</v>
      </c>
      <c r="I20" s="163" t="s">
        <v>1437</v>
      </c>
      <c r="J20" s="25">
        <f ca="1">ROUND(M20*M21,0)</f>
        <v>0</v>
      </c>
      <c r="K20" s="369" t="s">
        <v>1438</v>
      </c>
      <c r="L20" s="346" t="s">
        <v>1439</v>
      </c>
      <c r="M20" s="370">
        <f>'数据-取费表'!B52</f>
        <v>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4" t="s">
        <v>1</v>
      </c>
      <c r="D21" s="368" t="s">
        <v>1441</v>
      </c>
      <c r="E21" s="346" t="s">
        <v>1442</v>
      </c>
      <c r="F21" s="366">
        <f>'数据-取费表'!B38</f>
        <v>0.02</v>
      </c>
      <c r="G21" s="1856"/>
      <c r="H21" s="371"/>
      <c r="I21" s="355"/>
      <c r="J21" s="29"/>
      <c r="K21" s="372"/>
      <c r="L21" s="346" t="s">
        <v>1443</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20"/>
      <c r="F22" s="26"/>
      <c r="G22" s="1853"/>
      <c r="H22" s="1203" t="s">
        <v>1036</v>
      </c>
      <c r="I22" s="346" t="s">
        <v>1445</v>
      </c>
      <c r="J22" s="24">
        <f ca="1">ROUND(J14*M22,0)</f>
        <v>0</v>
      </c>
      <c r="K22" s="1800" t="s">
        <v>1446</v>
      </c>
      <c r="L22" s="346" t="s">
        <v>1418</v>
      </c>
      <c r="M22" s="373">
        <f ca="1">INDIRECT("'数据-取费表'!Ak"&amp;$G$1)</f>
        <v>0</v>
      </c>
    </row>
    <row r="23" spans="1:37" s="1860"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1.5</v>
      </c>
      <c r="G23" s="1856"/>
      <c r="H23" s="1203" t="s">
        <v>1072</v>
      </c>
      <c r="I23" s="346" t="s">
        <v>1449</v>
      </c>
      <c r="J23" s="24">
        <f ca="1">ROUND(J13*M23,0)</f>
        <v>0</v>
      </c>
      <c r="K23" s="1800" t="s">
        <v>1450</v>
      </c>
      <c r="L23" s="346" t="s">
        <v>1451</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6"/>
      <c r="H24" s="1341" t="s">
        <v>1389</v>
      </c>
      <c r="I24" s="1342" t="s">
        <v>1435</v>
      </c>
      <c r="J24" s="1343">
        <f ca="1">ROUND(J5*M24,0)</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1456</v>
      </c>
      <c r="B25" s="346" t="s">
        <v>1457</v>
      </c>
      <c r="C25" s="24"/>
      <c r="D25" s="139" t="s">
        <v>1458</v>
      </c>
      <c r="E25" s="1820"/>
      <c r="F25" s="26"/>
      <c r="G25" s="1853"/>
      <c r="H25" s="1331" t="s">
        <v>1028</v>
      </c>
      <c r="I25" s="1346" t="s">
        <v>1459</v>
      </c>
      <c r="J25" s="354">
        <f ca="1">J5-J16</f>
        <v>0</v>
      </c>
      <c r="K25" s="1347" t="s">
        <v>1460</v>
      </c>
      <c r="L25" s="1348"/>
      <c r="M25" s="1349"/>
    </row>
    <row r="26" spans="1:37" ht="18" customHeight="1">
      <c r="A26" s="1203" t="s">
        <v>1031</v>
      </c>
      <c r="B26" s="346" t="s">
        <v>1461</v>
      </c>
      <c r="C26" s="24">
        <f ca="1">ROUND((C19+C20)*F26,0)</f>
        <v>0</v>
      </c>
      <c r="D26" s="368" t="s">
        <v>1462</v>
      </c>
      <c r="E26" s="357" t="s">
        <v>1463</v>
      </c>
      <c r="F26" s="356">
        <f ca="1">INDIRECT("'数据-取费表'!q"&amp;$G$1)</f>
        <v>0</v>
      </c>
      <c r="G26" s="1853"/>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4">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79" t="s">
        <v>1030</v>
      </c>
      <c r="I29" s="380" t="s">
        <v>1475</v>
      </c>
      <c r="J29" s="381">
        <f ca="1">ROUND(J26/(1+F40)^F41,0)</f>
        <v>0</v>
      </c>
      <c r="K29" s="382" t="s">
        <v>1476</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0</v>
      </c>
      <c r="D30" s="1339" t="s">
        <v>1421</v>
      </c>
      <c r="E30" s="1340"/>
      <c r="F30" s="1296"/>
      <c r="G30" s="1853"/>
      <c r="H30" s="744"/>
      <c r="I30" s="745"/>
      <c r="J30" s="746"/>
      <c r="K30" s="747"/>
      <c r="L30" s="748"/>
      <c r="M30" s="749"/>
    </row>
    <row r="31" spans="1:37" ht="18" customHeight="1">
      <c r="A31" s="1203" t="s">
        <v>1032</v>
      </c>
      <c r="B31" s="346" t="s">
        <v>1425</v>
      </c>
      <c r="C31" s="24">
        <f ca="1">ROUND(IF(项目基本情况!B11="自然人",C5*F31,C32+C33+C34),0)</f>
        <v>0</v>
      </c>
      <c r="D31" s="1802" t="s">
        <v>1426</v>
      </c>
      <c r="E31" s="1800"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4">
        <f ca="1">IF(项目基本情况!B11="自然人","——",ROUND(C5*F32/(1+'数据-取费表'!C42),0))</f>
        <v>0</v>
      </c>
      <c r="D32" s="1800" t="s">
        <v>1430</v>
      </c>
      <c r="E32" s="346" t="s">
        <v>1418</v>
      </c>
      <c r="F32" s="376">
        <f>'数据-取费表'!B41</f>
        <v>5.5000000000000007E-2</v>
      </c>
      <c r="G32" s="1853"/>
      <c r="H32" s="744"/>
      <c r="I32" s="745"/>
      <c r="J32" s="746"/>
      <c r="K32" s="747"/>
      <c r="L32" s="748"/>
      <c r="M32" s="749"/>
    </row>
    <row r="33" spans="1:18" ht="18" customHeight="1">
      <c r="A33" s="1203" t="s">
        <v>1033</v>
      </c>
      <c r="B33" s="346" t="s">
        <v>1433</v>
      </c>
      <c r="C33" s="24">
        <f ca="1">IF(项目基本情况!B11="自然人","——",IF(D33="按租金收入计税",ROUND(C5*F33,0),IF(D33="按房产原值计税",ROUND(C29*F33*0.7,0),INDIRECT("'数据-取费表'!Aj"&amp;$G$1))))</f>
        <v>0</v>
      </c>
      <c r="D33" s="1830" t="s">
        <v>1434</v>
      </c>
      <c r="E33" s="346" t="s">
        <v>1418</v>
      </c>
      <c r="F33" s="366">
        <f>IF(D33="按票据","——",IF(D33="按租金收入计税",'数据-取费表'!B51,'数据-取费表'!B50))</f>
        <v>1.2E-2</v>
      </c>
      <c r="G33" s="1853"/>
      <c r="H33" s="1861"/>
      <c r="I33" s="1862"/>
      <c r="J33" s="1863"/>
      <c r="K33" s="1864"/>
      <c r="L33" s="1861"/>
      <c r="M33" s="1861"/>
    </row>
    <row r="34" spans="1:18" ht="18" customHeight="1">
      <c r="A34" s="1293" t="s">
        <v>1385</v>
      </c>
      <c r="B34" s="163" t="s">
        <v>1437</v>
      </c>
      <c r="C34" s="25">
        <f ca="1">IF(项目基本情况!B11="自然人","——",ROUND(F34*F35,))</f>
        <v>0</v>
      </c>
      <c r="D34" s="369" t="s">
        <v>1438</v>
      </c>
      <c r="E34" s="346" t="s">
        <v>1439</v>
      </c>
      <c r="F34" s="370">
        <f>'数据-取费表'!B52</f>
        <v>6</v>
      </c>
      <c r="G34" s="1853"/>
      <c r="H34" s="744"/>
      <c r="I34" s="1862"/>
      <c r="J34" s="1863"/>
      <c r="K34" s="1865"/>
      <c r="L34" s="1866"/>
      <c r="M34" s="1866"/>
    </row>
    <row r="35" spans="1:18" ht="18" customHeight="1">
      <c r="A35" s="1355"/>
      <c r="B35" s="1353"/>
      <c r="C35" s="29"/>
      <c r="D35" s="372"/>
      <c r="E35" s="346" t="s">
        <v>1443</v>
      </c>
      <c r="F35" s="347">
        <f ca="1">INDIRECT("'数据-取费表'!r"&amp;$G$1)</f>
        <v>0</v>
      </c>
      <c r="G35" s="1853"/>
      <c r="H35" s="744"/>
      <c r="I35" s="1862"/>
      <c r="J35" s="1863"/>
      <c r="K35" s="1864"/>
      <c r="L35" s="1861"/>
      <c r="M35" s="1861"/>
    </row>
    <row r="36" spans="1:18" ht="18" customHeight="1">
      <c r="A36" s="1354" t="s">
        <v>1036</v>
      </c>
      <c r="B36" s="346" t="s">
        <v>1445</v>
      </c>
      <c r="C36" s="24">
        <f ca="1">ROUND(C29*F36,0)</f>
        <v>0</v>
      </c>
      <c r="D36" s="1800" t="s">
        <v>1478</v>
      </c>
      <c r="E36" s="346" t="s">
        <v>1418</v>
      </c>
      <c r="F36" s="373">
        <f ca="1">INDIRECT("'数据-取费表'!Ak"&amp;$G$1)</f>
        <v>0</v>
      </c>
      <c r="G36" s="1853"/>
      <c r="H36" s="1861"/>
      <c r="I36" s="1862"/>
      <c r="J36" s="1863"/>
      <c r="K36" s="750"/>
      <c r="L36" s="1861"/>
      <c r="M36" s="1861"/>
    </row>
    <row r="37" spans="1:18" ht="18" customHeight="1">
      <c r="A37" s="1203" t="s">
        <v>1072</v>
      </c>
      <c r="B37" s="346" t="s">
        <v>1449</v>
      </c>
      <c r="C37" s="24">
        <f ca="1">ROUND(C13*F37,0)</f>
        <v>0</v>
      </c>
      <c r="D37" s="1800" t="s">
        <v>1450</v>
      </c>
      <c r="E37" s="346" t="s">
        <v>1451</v>
      </c>
      <c r="F37" s="375">
        <f ca="1">INDIRECT("'数据-取费表'!Al"&amp;$G$1)</f>
        <v>0</v>
      </c>
      <c r="G37" s="1853"/>
      <c r="H37" s="1861"/>
      <c r="I37" s="1862"/>
      <c r="J37" s="1863"/>
      <c r="K37" s="750"/>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1028</v>
      </c>
      <c r="B39" s="1346" t="s">
        <v>1479</v>
      </c>
      <c r="C39" s="354">
        <f ca="1">C5-C30</f>
        <v>0</v>
      </c>
      <c r="D39" s="1347" t="s">
        <v>1480</v>
      </c>
      <c r="E39" s="1348"/>
      <c r="F39" s="1349"/>
      <c r="G39" s="1853"/>
      <c r="H39" s="1861"/>
      <c r="I39" s="1862"/>
      <c r="J39" s="1863"/>
      <c r="K39" s="1867"/>
      <c r="L39" s="1861"/>
      <c r="M39" s="1861"/>
    </row>
    <row r="40" spans="1:18" ht="18" customHeight="1">
      <c r="A40" s="343" t="s">
        <v>1029</v>
      </c>
      <c r="B40" s="344" t="s">
        <v>1481</v>
      </c>
      <c r="C40" s="345" t="e">
        <f ca="1">ROUND(C39*(1-((1+F42)/(1+F40))^F41)/(F40-F42),0)</f>
        <v>#DIV/0!</v>
      </c>
      <c r="D40" s="369" t="s">
        <v>1465</v>
      </c>
      <c r="E40" s="346" t="s">
        <v>1466</v>
      </c>
      <c r="F40" s="356">
        <f ca="1">INDIRECT("'数据-取费表'!I"&amp;$G$1)</f>
        <v>0</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1473</v>
      </c>
      <c r="F42" s="356">
        <f ca="1">INDIRECT("'数据-取费表'!v"&amp;$G$1)</f>
        <v>0</v>
      </c>
      <c r="G42" s="1853"/>
      <c r="H42" s="731"/>
      <c r="I42" s="1862"/>
      <c r="J42" s="1863"/>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7" t="s">
        <v>1392</v>
      </c>
      <c r="B47" s="1199" t="s">
        <v>1393</v>
      </c>
      <c r="C47" s="1199" t="s">
        <v>1394</v>
      </c>
      <c r="D47" s="1199" t="s">
        <v>1395</v>
      </c>
      <c r="E47" s="1281" t="s">
        <v>1396</v>
      </c>
      <c r="F47" s="1282"/>
      <c r="G47" s="791"/>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2" t="s">
        <v>1132</v>
      </c>
      <c r="B48" s="344" t="s">
        <v>1397</v>
      </c>
      <c r="C48" s="1819">
        <f ca="1">C49+C53+C55</f>
        <v>0</v>
      </c>
      <c r="D48" s="1364"/>
      <c r="E48" s="1365"/>
      <c r="F48" s="1183"/>
      <c r="G48" s="791"/>
      <c r="H48" s="792"/>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6" t="s">
        <v>1133</v>
      </c>
      <c r="B49" s="1831" t="s">
        <v>1486</v>
      </c>
      <c r="C49" s="1366">
        <f ca="1">ROUND(F49*F51*F50*(1-F52),0)</f>
        <v>0</v>
      </c>
      <c r="D49" s="1278" t="s">
        <v>1400</v>
      </c>
      <c r="E49" s="1832" t="s">
        <v>1487</v>
      </c>
      <c r="F49" s="1283"/>
      <c r="G49" s="1893"/>
      <c r="H49" s="792"/>
      <c r="I49" s="1889" t="s">
        <v>1530</v>
      </c>
      <c r="J49" s="1894"/>
      <c r="K49" s="1891" t="s">
        <v>1531</v>
      </c>
      <c r="L49" s="1895"/>
      <c r="O49" s="1896" t="s">
        <v>1039</v>
      </c>
      <c r="P49" s="1887" t="s">
        <v>1532</v>
      </c>
      <c r="Q49" s="1888">
        <f ca="1">C29</f>
        <v>0</v>
      </c>
      <c r="R49" s="1888" t="s">
        <v>1525</v>
      </c>
    </row>
    <row r="50" spans="1:18" s="1844" customFormat="1" ht="13.5" thickBot="1">
      <c r="A50" s="1197"/>
      <c r="B50" s="1200"/>
      <c r="C50" s="1201"/>
      <c r="D50" s="1174"/>
      <c r="E50" s="1279" t="s">
        <v>1402</v>
      </c>
      <c r="F50" s="1280">
        <f ca="1">F7</f>
        <v>0</v>
      </c>
      <c r="H50" s="792"/>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8"/>
      <c r="B51" s="1200"/>
      <c r="C51" s="1201"/>
      <c r="D51" s="1174"/>
      <c r="E51" s="1202" t="s">
        <v>1403</v>
      </c>
      <c r="F51" s="347">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8"/>
      <c r="B52" s="1200"/>
      <c r="C52" s="1201"/>
      <c r="D52" s="1174"/>
      <c r="E52" s="1202" t="s">
        <v>1404</v>
      </c>
      <c r="F52" s="1277"/>
      <c r="I52" s="1905" t="s">
        <v>1539</v>
      </c>
      <c r="J52" s="1906"/>
      <c r="K52" s="1905" t="s">
        <v>1540</v>
      </c>
      <c r="L52" s="1906"/>
      <c r="O52" s="1896" t="s">
        <v>1042</v>
      </c>
      <c r="P52" s="1887" t="s">
        <v>1541</v>
      </c>
      <c r="Q52" s="1888" t="b">
        <f>J53</f>
        <v>0</v>
      </c>
      <c r="R52" s="1888" t="s">
        <v>1542</v>
      </c>
    </row>
    <row r="53" spans="1:18" s="1844" customFormat="1" ht="30.75" customHeight="1" thickBot="1">
      <c r="A53" s="1363" t="s">
        <v>1134</v>
      </c>
      <c r="B53" s="368" t="s">
        <v>1405</v>
      </c>
      <c r="C53" s="360">
        <f ca="1">ROUND(IF(F53="押一",C49/12*F11,IF(F53="押二",C49/12*2*F11,IF(F53="押三",C49/12*3*F11,C54*F11))),0)</f>
        <v>0</v>
      </c>
      <c r="D53" s="1826" t="s">
        <v>3036</v>
      </c>
      <c r="E53" s="357"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204" t="s">
        <v>1544</v>
      </c>
      <c r="L53" s="3205"/>
      <c r="O53" s="1886" t="s">
        <v>1043</v>
      </c>
      <c r="P53" s="1887" t="s">
        <v>1545</v>
      </c>
      <c r="Q53" s="1888" t="e">
        <f ca="1">Q47+Q48</f>
        <v>#DIV/0!</v>
      </c>
      <c r="R53" s="1888" t="s">
        <v>1044</v>
      </c>
    </row>
    <row r="54" spans="1:18" s="1844" customFormat="1" ht="13.5" thickBot="1">
      <c r="A54" s="1196"/>
      <c r="B54" s="1943" t="s">
        <v>1599</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8">
        <v>2</v>
      </c>
      <c r="B56" s="1179" t="s">
        <v>1410</v>
      </c>
      <c r="C56" s="275">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1" t="s">
        <v>1474</v>
      </c>
      <c r="C57" s="281">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59" t="s">
        <v>1027</v>
      </c>
      <c r="B58" s="1179" t="s">
        <v>1420</v>
      </c>
      <c r="C58" s="360">
        <f ca="1">ROUND(C59+C64+C65+C66,0)</f>
        <v>0</v>
      </c>
      <c r="D58" s="1181" t="s">
        <v>1421</v>
      </c>
      <c r="E58" s="1182"/>
      <c r="F58" s="1183"/>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4">
        <f ca="1">ROUND(IF(项目基本情况!B11="自然人",C48*F59,C60+C61+C62),0)</f>
        <v>0</v>
      </c>
      <c r="D59" s="1184" t="s">
        <v>1426</v>
      </c>
      <c r="E59" s="1185" t="s">
        <v>1427</v>
      </c>
      <c r="F59" s="367"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4">
        <f ca="1">IF(项目基本情况!B11="自然人","——",ROUND(C48*F60/(1+'数据-取费表'!C42),0))</f>
        <v>0</v>
      </c>
      <c r="D60" s="1185" t="s">
        <v>1430</v>
      </c>
      <c r="E60" s="1171" t="s">
        <v>1418</v>
      </c>
      <c r="F60" s="376">
        <f t="shared" ref="F60:F66" si="0">F32</f>
        <v>5.5000000000000007E-2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3" t="s">
        <v>1488</v>
      </c>
      <c r="B61" s="1171" t="s">
        <v>1489</v>
      </c>
      <c r="C61" s="24">
        <f ca="1">IF(项目基本情况!B11="自然人","——",IF(D61="按租金收入计税",ROUND(C48*F61,0),IF(D61="按房产原值计税",ROUND(C57*F61*0.7,0),INDIRECT("'数据-取费表'!Aj"&amp;$G$1))))</f>
        <v>0</v>
      </c>
      <c r="D61" s="1830" t="s">
        <v>1434</v>
      </c>
      <c r="E61" s="1171" t="s">
        <v>1490</v>
      </c>
      <c r="F61" s="366">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3" t="s">
        <v>1491</v>
      </c>
      <c r="B62" s="1170" t="s">
        <v>1492</v>
      </c>
      <c r="C62" s="25">
        <f ca="1">IF(项目基本情况!B11="自然人","——",ROUND(F62*F63,0))</f>
        <v>0</v>
      </c>
      <c r="D62" s="1186" t="s">
        <v>1493</v>
      </c>
      <c r="E62" s="1171" t="s">
        <v>1494</v>
      </c>
      <c r="F62" s="370">
        <f t="shared" si="0"/>
        <v>6</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1"/>
      <c r="B63" s="1177"/>
      <c r="C63" s="29"/>
      <c r="D63" s="1187"/>
      <c r="E63" s="1171" t="s">
        <v>1495</v>
      </c>
      <c r="F63" s="347">
        <f t="shared" ca="1" si="0"/>
        <v>0</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4">
        <f ca="1">ROUND(C57*F64,0)</f>
        <v>0</v>
      </c>
      <c r="D64" s="1185" t="s">
        <v>1498</v>
      </c>
      <c r="E64" s="1171" t="s">
        <v>1490</v>
      </c>
      <c r="F64" s="373">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4">
        <f ca="1">ROUND(C56*F65,0)</f>
        <v>0</v>
      </c>
      <c r="D65" s="1185" t="s">
        <v>1450</v>
      </c>
      <c r="E65" s="1171" t="s">
        <v>1451</v>
      </c>
      <c r="F65" s="375">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3" t="s">
        <v>1500</v>
      </c>
      <c r="B66" s="1171" t="s">
        <v>1435</v>
      </c>
      <c r="C66" s="24">
        <f ca="1">ROUND(C48*F66,0)</f>
        <v>0</v>
      </c>
      <c r="D66" s="1185" t="s">
        <v>1501</v>
      </c>
      <c r="E66" s="1171" t="s">
        <v>1418</v>
      </c>
      <c r="F66" s="356">
        <f t="shared" ca="1" si="0"/>
        <v>0</v>
      </c>
      <c r="O66" s="1886" t="s">
        <v>1038</v>
      </c>
      <c r="P66" s="1887" t="s">
        <v>1554</v>
      </c>
      <c r="Q66" s="1888" t="e">
        <f ca="1">L60</f>
        <v>#DIV/0!</v>
      </c>
      <c r="R66" s="1888" t="s">
        <v>1577</v>
      </c>
    </row>
    <row r="67" spans="1:18" s="1844" customFormat="1" ht="16.5" thickBot="1">
      <c r="A67" s="1178" t="s">
        <v>1028</v>
      </c>
      <c r="B67" s="1188" t="s">
        <v>1459</v>
      </c>
      <c r="C67" s="360">
        <f ca="1">C48-C58</f>
        <v>0</v>
      </c>
      <c r="D67" s="1184" t="s">
        <v>1460</v>
      </c>
      <c r="E67" s="1189"/>
      <c r="F67" s="1190"/>
      <c r="O67" s="1896" t="s">
        <v>1039</v>
      </c>
      <c r="P67" s="1887" t="s">
        <v>1558</v>
      </c>
      <c r="Q67" s="1935">
        <f ca="1">L51</f>
        <v>0</v>
      </c>
      <c r="R67" s="1888" t="s">
        <v>1578</v>
      </c>
    </row>
    <row r="68" spans="1:18" s="1844" customFormat="1" ht="16.5" thickBot="1">
      <c r="A68" s="1168" t="s">
        <v>1029</v>
      </c>
      <c r="B68" s="1169" t="s">
        <v>1481</v>
      </c>
      <c r="C68" s="345" t="e">
        <f ca="1">ROUND(C67*(1-((1+F70)/(1+F68))^F69)/(F68-F70),0)</f>
        <v>#DIV/0!</v>
      </c>
      <c r="D68" s="1186" t="s">
        <v>1465</v>
      </c>
      <c r="E68" s="1171" t="s">
        <v>1466</v>
      </c>
      <c r="F68" s="356">
        <f ca="1">F40</f>
        <v>0</v>
      </c>
      <c r="O68" s="1896" t="s">
        <v>1040</v>
      </c>
      <c r="P68" s="1936" t="s">
        <v>1579</v>
      </c>
      <c r="Q68" s="1888">
        <f ca="1">ROUND(Q69-Q70*Q71,0)</f>
        <v>0</v>
      </c>
      <c r="R68" s="1888" t="s">
        <v>1048</v>
      </c>
    </row>
    <row r="69" spans="1:18" s="1844" customFormat="1" ht="13.5" thickBot="1">
      <c r="A69" s="1172"/>
      <c r="B69" s="1173"/>
      <c r="C69" s="350"/>
      <c r="D69" s="1191" t="s">
        <v>1469</v>
      </c>
      <c r="E69" s="1171" t="s">
        <v>1470</v>
      </c>
      <c r="F69" s="378">
        <f ca="1">F41</f>
        <v>0</v>
      </c>
      <c r="O69" s="1896" t="s">
        <v>1045</v>
      </c>
      <c r="P69" s="1936" t="s">
        <v>1580</v>
      </c>
      <c r="Q69" s="1888">
        <f ca="1">C39</f>
        <v>0</v>
      </c>
      <c r="R69" s="1888" t="s">
        <v>1525</v>
      </c>
    </row>
    <row r="70" spans="1:18" s="1844" customFormat="1" ht="13.5" thickBot="1">
      <c r="A70" s="1175"/>
      <c r="B70" s="1176"/>
      <c r="C70" s="354"/>
      <c r="D70" s="1187"/>
      <c r="E70" s="1171" t="s">
        <v>1473</v>
      </c>
      <c r="F70" s="1277">
        <f ca="1">F42</f>
        <v>0</v>
      </c>
      <c r="O70" s="1896" t="s">
        <v>1046</v>
      </c>
      <c r="P70" s="1936" t="s">
        <v>1581</v>
      </c>
      <c r="Q70" s="1888">
        <f ca="1">C13</f>
        <v>0</v>
      </c>
      <c r="R70" s="1888" t="s">
        <v>1525</v>
      </c>
    </row>
    <row r="71" spans="1:18" s="1844" customFormat="1" ht="13.5" thickBot="1">
      <c r="A71" s="1192" t="s">
        <v>1030</v>
      </c>
      <c r="B71" s="1193" t="s">
        <v>1483</v>
      </c>
      <c r="C71" s="381" t="e">
        <f ca="1">ROUND(C68/F71,0)</f>
        <v>#DIV/0!</v>
      </c>
      <c r="D71" s="1194" t="s">
        <v>1484</v>
      </c>
      <c r="E71" s="1195" t="s">
        <v>1485</v>
      </c>
      <c r="F71" s="384">
        <f ca="1">F43</f>
        <v>0</v>
      </c>
      <c r="O71" s="1896" t="s">
        <v>1047</v>
      </c>
      <c r="P71" s="1936" t="s">
        <v>1582</v>
      </c>
      <c r="Q71" s="1899">
        <f ca="1">C76</f>
        <v>0</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5" t="s">
        <v>1502</v>
      </c>
      <c r="C75" s="386">
        <f ca="1">ROUND(C13*C76,0)</f>
        <v>0</v>
      </c>
      <c r="D75" s="1844"/>
      <c r="E75" s="1844"/>
      <c r="F75" s="1844"/>
      <c r="K75" s="1870"/>
      <c r="L75" s="1844"/>
      <c r="O75" s="1886" t="s">
        <v>1043</v>
      </c>
      <c r="P75" s="1887" t="s">
        <v>1545</v>
      </c>
      <c r="Q75" s="1888" t="e">
        <f ca="1">Q65+Q66</f>
        <v>#DIV/0!</v>
      </c>
      <c r="R75" s="1888" t="s">
        <v>1044</v>
      </c>
    </row>
    <row r="76" spans="1:18">
      <c r="B76" s="387" t="s">
        <v>1503</v>
      </c>
      <c r="C76" s="388">
        <f ca="1">INDIRECT("'数据-取费表'!j"&amp;$G$1)</f>
        <v>0</v>
      </c>
      <c r="I76" s="1844"/>
      <c r="J76" s="1844"/>
      <c r="K76" s="1870"/>
      <c r="L76" s="1844"/>
    </row>
    <row r="77" spans="1:18">
      <c r="B77" s="389" t="s">
        <v>1504</v>
      </c>
      <c r="C77" s="390"/>
      <c r="I77" s="1844"/>
      <c r="J77" s="1844"/>
      <c r="K77" s="1870"/>
      <c r="L77" s="1844"/>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2520</v>
      </c>
      <c r="B1" s="2563"/>
      <c r="C1" s="2563"/>
      <c r="D1" s="2563"/>
      <c r="E1" s="2564"/>
    </row>
    <row r="2" spans="1:6" ht="15.75">
      <c r="A2" s="2565" t="s">
        <v>2321</v>
      </c>
      <c r="B2" s="2566">
        <f ca="1">SUMIF(B6:B13,"&lt;&gt;#ref!",B6:B13)</f>
        <v>977</v>
      </c>
      <c r="C2" s="2567" t="s">
        <v>2513</v>
      </c>
      <c r="D2" s="2568" t="s">
        <v>2514</v>
      </c>
      <c r="E2" s="2569">
        <f>SUM(E6:E13)</f>
        <v>287.93</v>
      </c>
    </row>
    <row r="3" spans="1:6" ht="15.75">
      <c r="A3" s="2565" t="s">
        <v>1391</v>
      </c>
      <c r="B3" s="2566">
        <f ca="1">ROUND(B2*10000/E2,0)</f>
        <v>33932</v>
      </c>
      <c r="C3" s="2567" t="s">
        <v>2521</v>
      </c>
      <c r="D3" s="2570"/>
      <c r="E3" s="2571"/>
    </row>
    <row r="4" spans="1:6" ht="15.75">
      <c r="A4" s="2572"/>
      <c r="B4" s="2570"/>
      <c r="C4" s="2570"/>
      <c r="D4" s="2570"/>
      <c r="E4" s="2571"/>
    </row>
    <row r="5" spans="1:6" ht="15">
      <c r="A5" s="2573" t="s">
        <v>2515</v>
      </c>
      <c r="B5" s="3209" t="s">
        <v>2516</v>
      </c>
      <c r="C5" s="3209"/>
      <c r="D5" s="2574"/>
      <c r="E5" s="2575" t="s">
        <v>2517</v>
      </c>
      <c r="F5" s="2576" t="s">
        <v>2518</v>
      </c>
    </row>
    <row r="6" spans="1:6">
      <c r="A6" s="2577" t="str">
        <f>'数据-取费表'!AN6</f>
        <v>收益法</v>
      </c>
      <c r="B6" s="2576">
        <f ca="1">IF(F6="是",'数据-取费表'!AO6,0)</f>
        <v>977</v>
      </c>
      <c r="C6" s="2567" t="s">
        <v>2513</v>
      </c>
      <c r="D6" s="2570"/>
      <c r="E6" s="2578">
        <f>IF(OR(A6=0,F6="否"),0,'数据-取费表'!K6+'数据-取费表'!S6)</f>
        <v>287.93</v>
      </c>
      <c r="F6" s="2579" t="s">
        <v>2519</v>
      </c>
    </row>
    <row r="7" spans="1:6">
      <c r="A7" s="2577">
        <f>'数据-取费表'!AN7</f>
        <v>0</v>
      </c>
      <c r="B7" s="2576" t="e">
        <f ca="1">IF(F7="是",'数据-取费表'!AO7,0)</f>
        <v>#REF!</v>
      </c>
      <c r="C7" s="2567" t="s">
        <v>2513</v>
      </c>
      <c r="D7" s="2570"/>
      <c r="E7" s="2578">
        <f>IF(OR(A7=0,F7="否"),0,'数据-取费表'!K7+'数据-取费表'!S7)</f>
        <v>0</v>
      </c>
      <c r="F7" s="2579" t="s">
        <v>2519</v>
      </c>
    </row>
    <row r="8" spans="1:6">
      <c r="A8" s="2577">
        <f>'数据-取费表'!AN8</f>
        <v>0</v>
      </c>
      <c r="B8" s="2576" t="e">
        <f ca="1">IF(F8="是",'数据-取费表'!AO8,0)</f>
        <v>#REF!</v>
      </c>
      <c r="C8" s="2567" t="s">
        <v>2513</v>
      </c>
      <c r="D8" s="2570"/>
      <c r="E8" s="2578">
        <f>IF(OR(A8=0,F8="否"),0,'数据-取费表'!K8+'数据-取费表'!S8)</f>
        <v>0</v>
      </c>
      <c r="F8" s="2579" t="s">
        <v>2519</v>
      </c>
    </row>
    <row r="9" spans="1:6">
      <c r="A9" s="2577">
        <f>'数据-取费表'!AN9</f>
        <v>0</v>
      </c>
      <c r="B9" s="2576" t="e">
        <f ca="1">IF(F9="是",'数据-取费表'!AO9,0)</f>
        <v>#REF!</v>
      </c>
      <c r="C9" s="2567" t="s">
        <v>2513</v>
      </c>
      <c r="D9" s="2570"/>
      <c r="E9" s="2578">
        <f>IF(OR(A9=0,F9="否"),0,'数据-取费表'!K9+'数据-取费表'!S9)</f>
        <v>0</v>
      </c>
      <c r="F9" s="2579" t="s">
        <v>2519</v>
      </c>
    </row>
    <row r="10" spans="1:6">
      <c r="A10" s="2577">
        <f>'数据-取费表'!AN10</f>
        <v>0</v>
      </c>
      <c r="B10" s="2576" t="e">
        <f ca="1">IF(F10="是",'数据-取费表'!AO10,0)</f>
        <v>#REF!</v>
      </c>
      <c r="C10" s="2567" t="s">
        <v>2513</v>
      </c>
      <c r="D10" s="2570"/>
      <c r="E10" s="2578">
        <f>IF(OR(A10=0,F10="否"),0,'数据-取费表'!K10+'数据-取费表'!S10)</f>
        <v>0</v>
      </c>
      <c r="F10" s="2579" t="s">
        <v>2519</v>
      </c>
    </row>
    <row r="11" spans="1:6">
      <c r="A11" s="2577">
        <f>'数据-取费表'!AN11</f>
        <v>0</v>
      </c>
      <c r="B11" s="2576" t="e">
        <f ca="1">IF(F11="是",'数据-取费表'!AO11,0)</f>
        <v>#REF!</v>
      </c>
      <c r="C11" s="2567" t="s">
        <v>2513</v>
      </c>
      <c r="D11" s="2570"/>
      <c r="E11" s="2578">
        <f>IF(OR(A11=0,F11="否"),0,'数据-取费表'!K11+'数据-取费表'!S11)</f>
        <v>0</v>
      </c>
      <c r="F11" s="2579" t="s">
        <v>2519</v>
      </c>
    </row>
    <row r="12" spans="1:6">
      <c r="A12" s="2577">
        <f>'数据-取费表'!AN12</f>
        <v>0</v>
      </c>
      <c r="B12" s="2576" t="e">
        <f ca="1">IF(F12="是",'数据-取费表'!AO12,0)</f>
        <v>#REF!</v>
      </c>
      <c r="C12" s="2567" t="s">
        <v>2513</v>
      </c>
      <c r="D12" s="2570"/>
      <c r="E12" s="2578">
        <f>IF(OR(A12=0,F12="否"),0,'数据-取费表'!K12+'数据-取费表'!S12)</f>
        <v>0</v>
      </c>
      <c r="F12" s="2579" t="s">
        <v>2519</v>
      </c>
    </row>
    <row r="13" spans="1:6" ht="15" thickBot="1">
      <c r="A13" s="2580">
        <f>'数据-取费表'!AN13</f>
        <v>0</v>
      </c>
      <c r="B13" s="2576" t="e">
        <f ca="1">IF(F13="是",'数据-取费表'!AO13,0)</f>
        <v>#REF!</v>
      </c>
      <c r="C13" s="2581" t="s">
        <v>2513</v>
      </c>
      <c r="D13" s="2582"/>
      <c r="E13" s="2578">
        <f>IF(OR(A13=0,F13="否"),0,'数据-取费表'!K13+'数据-取费表'!S13)</f>
        <v>0</v>
      </c>
      <c r="F13" s="2579"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0" t="s">
        <v>1073</v>
      </c>
      <c r="B1" s="3211"/>
      <c r="C1" s="3212"/>
      <c r="D1" s="3213">
        <f>SUM(I10,I15,I20,I21,I23)</f>
        <v>0</v>
      </c>
      <c r="E1" s="3213"/>
      <c r="F1" s="3213"/>
      <c r="G1" s="3213"/>
      <c r="H1" s="3213"/>
      <c r="I1" s="3214"/>
    </row>
    <row r="2" spans="1:9">
      <c r="A2" s="3215" t="s">
        <v>1074</v>
      </c>
      <c r="B2" s="3216" t="s">
        <v>1075</v>
      </c>
      <c r="C2" s="3216"/>
      <c r="D2" s="1303" t="s">
        <v>1076</v>
      </c>
      <c r="E2" s="1303" t="s">
        <v>1077</v>
      </c>
      <c r="F2" s="1303" t="s">
        <v>1078</v>
      </c>
      <c r="G2" s="1303" t="s">
        <v>1079</v>
      </c>
      <c r="H2" s="1303" t="s">
        <v>1080</v>
      </c>
      <c r="I2" s="1304" t="s">
        <v>1081</v>
      </c>
    </row>
    <row r="3" spans="1:9">
      <c r="A3" s="3215"/>
      <c r="B3" s="3216" t="s">
        <v>1082</v>
      </c>
      <c r="C3" s="3216"/>
      <c r="D3" s="1305"/>
      <c r="E3" s="1303"/>
      <c r="F3" s="1306"/>
      <c r="G3" s="1306"/>
      <c r="H3" s="1307"/>
      <c r="I3" s="1308">
        <f>ROUND(D3*E3*F3*G3*H3/10000,0)</f>
        <v>0</v>
      </c>
    </row>
    <row r="4" spans="1:9">
      <c r="A4" s="3215"/>
      <c r="B4" s="3216" t="s">
        <v>1083</v>
      </c>
      <c r="C4" s="3216"/>
      <c r="D4" s="1305"/>
      <c r="E4" s="1303"/>
      <c r="F4" s="1306"/>
      <c r="G4" s="1306"/>
      <c r="H4" s="1307"/>
      <c r="I4" s="1308">
        <f t="shared" ref="I4:I9" si="0">ROUND(D4*E4*F4*G4*H4/10000,0)</f>
        <v>0</v>
      </c>
    </row>
    <row r="5" spans="1:9">
      <c r="A5" s="3215"/>
      <c r="B5" s="3216" t="s">
        <v>1084</v>
      </c>
      <c r="C5" s="3216"/>
      <c r="D5" s="1305"/>
      <c r="E5" s="1303"/>
      <c r="F5" s="1306"/>
      <c r="G5" s="1306"/>
      <c r="H5" s="1307"/>
      <c r="I5" s="1308">
        <f t="shared" si="0"/>
        <v>0</v>
      </c>
    </row>
    <row r="6" spans="1:9">
      <c r="A6" s="3215"/>
      <c r="B6" s="3216" t="s">
        <v>1085</v>
      </c>
      <c r="C6" s="3216"/>
      <c r="D6" s="1305"/>
      <c r="E6" s="1303"/>
      <c r="F6" s="1306"/>
      <c r="G6" s="1306"/>
      <c r="H6" s="1307"/>
      <c r="I6" s="1308">
        <f t="shared" si="0"/>
        <v>0</v>
      </c>
    </row>
    <row r="7" spans="1:9">
      <c r="A7" s="3215"/>
      <c r="B7" s="3216" t="s">
        <v>1086</v>
      </c>
      <c r="C7" s="3216"/>
      <c r="D7" s="1305"/>
      <c r="E7" s="1303"/>
      <c r="F7" s="1306"/>
      <c r="G7" s="1306"/>
      <c r="H7" s="1307"/>
      <c r="I7" s="1308">
        <f t="shared" si="0"/>
        <v>0</v>
      </c>
    </row>
    <row r="8" spans="1:9">
      <c r="A8" s="3215"/>
      <c r="B8" s="3216" t="s">
        <v>1087</v>
      </c>
      <c r="C8" s="3216"/>
      <c r="D8" s="1305"/>
      <c r="E8" s="1303"/>
      <c r="F8" s="1306"/>
      <c r="G8" s="1306"/>
      <c r="H8" s="1307"/>
      <c r="I8" s="1308">
        <f t="shared" si="0"/>
        <v>0</v>
      </c>
    </row>
    <row r="9" spans="1:9">
      <c r="A9" s="3215"/>
      <c r="B9" s="3216" t="s">
        <v>1088</v>
      </c>
      <c r="C9" s="3216"/>
      <c r="D9" s="1305"/>
      <c r="E9" s="1303"/>
      <c r="F9" s="1306"/>
      <c r="G9" s="1306"/>
      <c r="H9" s="1307"/>
      <c r="I9" s="1308">
        <f t="shared" si="0"/>
        <v>0</v>
      </c>
    </row>
    <row r="10" spans="1:9">
      <c r="A10" s="3215"/>
      <c r="B10" s="3217" t="s">
        <v>1089</v>
      </c>
      <c r="C10" s="3217"/>
      <c r="D10" s="1309"/>
      <c r="E10" s="1309" t="e">
        <f>ROUND(D1*10000/D10/H9,0)</f>
        <v>#DIV/0!</v>
      </c>
      <c r="F10" s="1310"/>
      <c r="G10" s="1310"/>
      <c r="H10" s="1311"/>
      <c r="I10" s="1312">
        <f>SUM(I3:I9)</f>
        <v>0</v>
      </c>
    </row>
    <row r="11" spans="1:9" ht="14.25">
      <c r="A11" s="3215" t="s">
        <v>1090</v>
      </c>
      <c r="B11" s="3216" t="s">
        <v>1091</v>
      </c>
      <c r="C11" s="3216"/>
      <c r="D11" s="1305" t="s">
        <v>1092</v>
      </c>
      <c r="E11" s="1305" t="s">
        <v>1093</v>
      </c>
      <c r="F11" s="1306" t="s">
        <v>1094</v>
      </c>
      <c r="G11" s="1306" t="s">
        <v>1080</v>
      </c>
      <c r="H11" s="1313" t="s">
        <v>1095</v>
      </c>
      <c r="I11" s="1304" t="s">
        <v>1081</v>
      </c>
    </row>
    <row r="12" spans="1:9">
      <c r="A12" s="3215"/>
      <c r="B12" s="3216" t="s">
        <v>1096</v>
      </c>
      <c r="C12" s="3216"/>
      <c r="D12" s="1305"/>
      <c r="E12" s="1305"/>
      <c r="F12" s="1306"/>
      <c r="G12" s="1307"/>
      <c r="H12" s="1314"/>
      <c r="I12" s="1304">
        <f>ROUND(D12*E12*F12*G12/10000,0)</f>
        <v>0</v>
      </c>
    </row>
    <row r="13" spans="1:9">
      <c r="A13" s="3215"/>
      <c r="B13" s="3216" t="s">
        <v>1097</v>
      </c>
      <c r="C13" s="3216"/>
      <c r="D13" s="1305"/>
      <c r="E13" s="1305"/>
      <c r="F13" s="1306"/>
      <c r="G13" s="1307"/>
      <c r="H13" s="1314"/>
      <c r="I13" s="1304">
        <f>ROUND(D13*E13*F13*G13/10000,0)</f>
        <v>0</v>
      </c>
    </row>
    <row r="14" spans="1:9">
      <c r="A14" s="3215"/>
      <c r="B14" s="3216" t="s">
        <v>1098</v>
      </c>
      <c r="C14" s="3216"/>
      <c r="D14" s="1305"/>
      <c r="E14" s="1305"/>
      <c r="F14" s="1306"/>
      <c r="G14" s="1307"/>
      <c r="H14" s="1314"/>
      <c r="I14" s="1304">
        <f>ROUND(D14*E14*F14*G14/10000,0)</f>
        <v>0</v>
      </c>
    </row>
    <row r="15" spans="1:9">
      <c r="A15" s="3215"/>
      <c r="B15" s="3217" t="s">
        <v>1089</v>
      </c>
      <c r="C15" s="3217"/>
      <c r="D15" s="1309"/>
      <c r="E15" s="1309">
        <f>SUM(E12:E14)</f>
        <v>0</v>
      </c>
      <c r="F15" s="1310"/>
      <c r="G15" s="1307"/>
      <c r="H15" s="1314"/>
      <c r="I15" s="1315">
        <f>SUM(I12:I14)</f>
        <v>0</v>
      </c>
    </row>
    <row r="16" spans="1:9" ht="24">
      <c r="A16" s="3215" t="s">
        <v>1099</v>
      </c>
      <c r="B16" s="3216" t="s">
        <v>1100</v>
      </c>
      <c r="C16" s="3216"/>
      <c r="D16" s="1305" t="s">
        <v>1076</v>
      </c>
      <c r="E16" s="1316" t="s">
        <v>1101</v>
      </c>
      <c r="F16" s="1306" t="s">
        <v>1102</v>
      </c>
      <c r="G16" s="1307" t="s">
        <v>1080</v>
      </c>
      <c r="H16" s="1313" t="s">
        <v>1095</v>
      </c>
      <c r="I16" s="1304" t="s">
        <v>1081</v>
      </c>
    </row>
    <row r="17" spans="1:9" ht="14.25">
      <c r="A17" s="3215"/>
      <c r="B17" s="3216" t="s">
        <v>1103</v>
      </c>
      <c r="C17" s="3216"/>
      <c r="D17" s="1305"/>
      <c r="E17" s="1305"/>
      <c r="F17" s="1306"/>
      <c r="G17" s="1307"/>
      <c r="H17" s="1317"/>
      <c r="I17" s="1318">
        <f>ROUND(D17*E17*F17*G17/10000,0)</f>
        <v>0</v>
      </c>
    </row>
    <row r="18" spans="1:9" ht="14.25">
      <c r="A18" s="3215"/>
      <c r="B18" s="3216" t="s">
        <v>1104</v>
      </c>
      <c r="C18" s="3216"/>
      <c r="D18" s="1305"/>
      <c r="E18" s="1305"/>
      <c r="F18" s="1306"/>
      <c r="G18" s="1307"/>
      <c r="H18" s="1317"/>
      <c r="I18" s="1318">
        <f>ROUND(D18*E18*F18*G18/10000,0)</f>
        <v>0</v>
      </c>
    </row>
    <row r="19" spans="1:9" ht="14.25">
      <c r="A19" s="3215"/>
      <c r="B19" s="3216" t="s">
        <v>1105</v>
      </c>
      <c r="C19" s="3216"/>
      <c r="D19" s="1305"/>
      <c r="E19" s="1305"/>
      <c r="F19" s="1306"/>
      <c r="G19" s="1307"/>
      <c r="H19" s="1317"/>
      <c r="I19" s="1318">
        <f>ROUND(D19*E19*F19*G19/10000,0)</f>
        <v>0</v>
      </c>
    </row>
    <row r="20" spans="1:9">
      <c r="A20" s="3215"/>
      <c r="B20" s="3217" t="s">
        <v>1089</v>
      </c>
      <c r="C20" s="3217"/>
      <c r="D20" s="1309">
        <f>SUM(D17:D19)</f>
        <v>0</v>
      </c>
      <c r="E20" s="1309"/>
      <c r="F20" s="1310"/>
      <c r="G20" s="1307"/>
      <c r="H20" s="1314"/>
      <c r="I20" s="1315">
        <f>SUM(I17:I19)</f>
        <v>0</v>
      </c>
    </row>
    <row r="21" spans="1:9">
      <c r="A21" s="3215" t="s">
        <v>1106</v>
      </c>
      <c r="B21" s="3219"/>
      <c r="C21" s="3219"/>
      <c r="D21" s="3219"/>
      <c r="E21" s="3219"/>
      <c r="F21" s="3219"/>
      <c r="G21" s="3219"/>
      <c r="H21" s="1767">
        <v>0.1</v>
      </c>
      <c r="I21" s="1312">
        <f>ROUND(I10*H21,0)</f>
        <v>0</v>
      </c>
    </row>
    <row r="22" spans="1:9" ht="14.25">
      <c r="A22" s="3220" t="s">
        <v>1107</v>
      </c>
      <c r="B22" s="3221"/>
      <c r="C22" s="3222"/>
      <c r="D22" s="1319" t="s">
        <v>1108</v>
      </c>
      <c r="E22" s="1319" t="s">
        <v>1109</v>
      </c>
      <c r="F22" s="1320" t="s">
        <v>1110</v>
      </c>
      <c r="G22" s="1320" t="s">
        <v>1111</v>
      </c>
      <c r="H22" s="1313" t="s">
        <v>1112</v>
      </c>
      <c r="I22" s="1304" t="s">
        <v>1113</v>
      </c>
    </row>
    <row r="23" spans="1:9" ht="14.25" thickBot="1">
      <c r="A23" s="3223"/>
      <c r="B23" s="3224"/>
      <c r="C23" s="3225"/>
      <c r="D23" s="1321"/>
      <c r="E23" s="1321"/>
      <c r="F23" s="1321"/>
      <c r="G23" s="1322"/>
      <c r="H23" s="1323"/>
      <c r="I23" s="1324">
        <f>ROUND(E23*D23*F23*(1-G23)/10000,0)</f>
        <v>0</v>
      </c>
    </row>
    <row r="26" spans="1:9">
      <c r="A26" s="1325" t="s">
        <v>1114</v>
      </c>
      <c r="B26" s="1325"/>
      <c r="C26" s="1325"/>
      <c r="D26" s="1325"/>
      <c r="E26" s="3226">
        <f>C27-C30-C31-C32</f>
        <v>0</v>
      </c>
      <c r="F26" s="3226"/>
      <c r="G26" s="3226"/>
      <c r="H26" s="1739" t="s">
        <v>1336</v>
      </c>
    </row>
    <row r="27" spans="1:9">
      <c r="A27" s="1326">
        <v>1</v>
      </c>
      <c r="B27" s="1327" t="s">
        <v>1115</v>
      </c>
      <c r="C27" s="1327">
        <f>C28+C29</f>
        <v>0</v>
      </c>
      <c r="D27" s="1327"/>
      <c r="E27" s="3227"/>
      <c r="F27" s="3227"/>
      <c r="G27" s="3227"/>
    </row>
    <row r="28" spans="1:9">
      <c r="A28" s="1328" t="s">
        <v>1116</v>
      </c>
      <c r="B28" s="1327" t="s">
        <v>1117</v>
      </c>
      <c r="C28" s="1327"/>
      <c r="D28" s="1327"/>
      <c r="E28" s="3227"/>
      <c r="F28" s="3227"/>
      <c r="G28" s="3227"/>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18"/>
      <c r="F32" s="3218"/>
      <c r="G32" s="3218"/>
    </row>
    <row r="33" spans="1:7" hidden="1">
      <c r="A33" s="3228" t="s">
        <v>1126</v>
      </c>
      <c r="B33" s="3229"/>
      <c r="C33" s="3229"/>
      <c r="D33" s="3230"/>
      <c r="E33" s="3226"/>
      <c r="F33" s="3226"/>
      <c r="G33" s="3226"/>
    </row>
    <row r="34" spans="1:7" hidden="1">
      <c r="A34" s="1330">
        <v>1</v>
      </c>
      <c r="B34" s="1327" t="s">
        <v>1127</v>
      </c>
      <c r="C34" s="1327"/>
      <c r="D34" s="1327"/>
      <c r="E34" s="3227"/>
      <c r="F34" s="3227"/>
      <c r="G34" s="3227"/>
    </row>
    <row r="35" spans="1:7" hidden="1">
      <c r="A35" s="1330">
        <v>2</v>
      </c>
      <c r="B35" s="1327" t="s">
        <v>1128</v>
      </c>
      <c r="C35" s="1327"/>
      <c r="D35" s="1327"/>
      <c r="E35" s="3227"/>
      <c r="F35" s="3227"/>
      <c r="G35" s="3227"/>
    </row>
    <row r="36" spans="1:7" hidden="1">
      <c r="A36" s="1330">
        <v>3</v>
      </c>
      <c r="B36" s="1327" t="s">
        <v>1129</v>
      </c>
      <c r="C36" s="1327"/>
      <c r="D36" s="1327"/>
      <c r="E36" s="3227"/>
      <c r="F36" s="3227"/>
      <c r="G36" s="3227"/>
    </row>
    <row r="37" spans="1:7" hidden="1">
      <c r="A37" s="1330">
        <v>4</v>
      </c>
      <c r="B37" s="1327" t="s">
        <v>1130</v>
      </c>
      <c r="C37" s="1327"/>
      <c r="D37" s="1327"/>
      <c r="E37" s="3227"/>
      <c r="F37" s="3227"/>
      <c r="G37" s="3227"/>
    </row>
    <row r="38" spans="1:7" hidden="1">
      <c r="A38" s="3228" t="s">
        <v>1131</v>
      </c>
      <c r="B38" s="3229"/>
      <c r="C38" s="3229"/>
      <c r="D38" s="3230"/>
      <c r="E38" s="3226"/>
      <c r="F38" s="3226"/>
      <c r="G38" s="32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2522</v>
      </c>
      <c r="B1" s="2583" t="s">
        <v>2523</v>
      </c>
      <c r="C1" s="1636" t="s">
        <v>2524</v>
      </c>
      <c r="D1" s="1623"/>
      <c r="E1" s="2584"/>
      <c r="F1" s="2585" t="s">
        <v>2525</v>
      </c>
      <c r="G1" s="1633" t="s">
        <v>2526</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2" customFormat="1" ht="28.5" customHeight="1" thickTop="1">
      <c r="A2" s="1619" t="s">
        <v>1390</v>
      </c>
      <c r="B2" s="1420" t="e">
        <f ca="1">IF(C2="——",ROUND(C49*D3/10000,0),ROUND(C49*D3/10000,0)-D2)</f>
        <v>#DIV/0!</v>
      </c>
      <c r="C2" s="2587"/>
      <c r="D2" s="1367" t="e">
        <f ca="1">SUMIF(INDIRECT("'"&amp;F2&amp;"'"&amp;"!A:A"),"承租人权益价值",INDIRECT("'"&amp;F2&amp;"'"&amp;"!c:c"))</f>
        <v>#REF!</v>
      </c>
      <c r="E2" s="2588" t="s">
        <v>2527</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1391</v>
      </c>
      <c r="B3" s="398" t="e">
        <f ca="1">IF(C2="——",C49,ROUND(B2*10000/D3,0))</f>
        <v>#DIV/0!</v>
      </c>
      <c r="C3" s="399" t="s">
        <v>2528</v>
      </c>
      <c r="D3" s="398">
        <f>IF(D1="",'数据-汇总表'!E3,SUMIF('数据-汇总表'!$C19:$C33,D1,'数据-汇总表'!$E19:$E33))</f>
        <v>31156.999999999996</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0" t="s">
        <v>2529</v>
      </c>
      <c r="B4" s="401"/>
      <c r="C4" s="3177" t="s">
        <v>2530</v>
      </c>
      <c r="D4" s="3178"/>
      <c r="E4" s="3179" t="s">
        <v>2531</v>
      </c>
      <c r="F4" s="3180"/>
      <c r="G4" s="3177" t="s">
        <v>2532</v>
      </c>
      <c r="H4" s="3178"/>
      <c r="I4" s="3177" t="s">
        <v>2533</v>
      </c>
      <c r="J4" s="3178"/>
      <c r="K4" s="2597" t="s">
        <v>2534</v>
      </c>
      <c r="L4" s="1132"/>
      <c r="M4" s="1133"/>
      <c r="N4" s="1133"/>
      <c r="O4" s="1133"/>
      <c r="P4" s="3181" t="s">
        <v>2535</v>
      </c>
      <c r="Q4" s="3182"/>
      <c r="R4" s="3164" t="s">
        <v>2531</v>
      </c>
      <c r="S4" s="3165"/>
      <c r="T4" s="3164" t="s">
        <v>2532</v>
      </c>
      <c r="U4" s="3165"/>
      <c r="V4" s="3161" t="s">
        <v>2533</v>
      </c>
      <c r="W4" s="3161"/>
      <c r="X4" s="1815"/>
      <c r="Y4" s="3164" t="s">
        <v>2535</v>
      </c>
      <c r="Z4" s="3165"/>
      <c r="AA4" s="3158" t="s">
        <v>2531</v>
      </c>
      <c r="AB4" s="3158" t="s">
        <v>2532</v>
      </c>
      <c r="AC4" s="3158" t="s">
        <v>2533</v>
      </c>
    </row>
    <row r="5" spans="1:29" ht="15">
      <c r="A5" s="403"/>
      <c r="B5" s="404"/>
      <c r="C5" s="3170" t="s">
        <v>2536</v>
      </c>
      <c r="D5" s="3171"/>
      <c r="E5" s="3168" t="s">
        <v>2537</v>
      </c>
      <c r="F5" s="3169"/>
      <c r="G5" s="3170" t="s">
        <v>2538</v>
      </c>
      <c r="H5" s="3171"/>
      <c r="I5" s="3170" t="s">
        <v>2539</v>
      </c>
      <c r="J5" s="3171"/>
      <c r="K5" s="2598"/>
      <c r="L5" s="1132"/>
      <c r="M5" s="1133"/>
      <c r="N5" s="1133"/>
      <c r="O5" s="1133"/>
      <c r="P5" s="3183"/>
      <c r="Q5" s="3184"/>
      <c r="R5" s="3166"/>
      <c r="S5" s="3167"/>
      <c r="T5" s="3166"/>
      <c r="U5" s="3167"/>
      <c r="V5" s="3161"/>
      <c r="W5" s="3161"/>
      <c r="X5" s="1815"/>
      <c r="Y5" s="3166"/>
      <c r="Z5" s="3167"/>
      <c r="AA5" s="3159"/>
      <c r="AB5" s="3159"/>
      <c r="AC5" s="3159"/>
    </row>
    <row r="6" spans="1:29" ht="15.75" thickBot="1">
      <c r="A6" s="405"/>
      <c r="B6" s="406"/>
      <c r="C6" s="3172" t="s">
        <v>2540</v>
      </c>
      <c r="D6" s="3173"/>
      <c r="E6" s="3174" t="s">
        <v>2540</v>
      </c>
      <c r="F6" s="3175"/>
      <c r="G6" s="3172" t="s">
        <v>2540</v>
      </c>
      <c r="H6" s="3173"/>
      <c r="I6" s="3172" t="s">
        <v>2540</v>
      </c>
      <c r="J6" s="3173"/>
      <c r="K6" s="2598" t="s">
        <v>2541</v>
      </c>
      <c r="L6" s="1132"/>
      <c r="M6" s="1133"/>
      <c r="N6" s="1133"/>
      <c r="O6" s="1133"/>
      <c r="P6" s="3185"/>
      <c r="Q6" s="3186"/>
      <c r="R6" s="3166"/>
      <c r="S6" s="3167"/>
      <c r="T6" s="3187"/>
      <c r="U6" s="3188"/>
      <c r="V6" s="3161"/>
      <c r="W6" s="3161"/>
      <c r="X6" s="1815"/>
      <c r="Y6" s="3187"/>
      <c r="Z6" s="3188"/>
      <c r="AA6" s="3160"/>
      <c r="AB6" s="3160"/>
      <c r="AC6" s="3160"/>
    </row>
    <row r="7" spans="1:29" s="116" customFormat="1" ht="15.75" thickBot="1">
      <c r="A7" s="407" t="s">
        <v>2542</v>
      </c>
      <c r="B7" s="408"/>
      <c r="C7" s="409">
        <f>'数据-取费表'!B2</f>
        <v>43405</v>
      </c>
      <c r="D7" s="410">
        <v>100</v>
      </c>
      <c r="E7" s="411"/>
      <c r="F7" s="412">
        <f>SUMIF(58:58,YEAR(E7)&amp;"-"&amp;MONTH(E7),59:59)</f>
        <v>0</v>
      </c>
      <c r="G7" s="411"/>
      <c r="H7" s="410">
        <f>SUMIF(58:58,YEAR(G7)&amp;"-"&amp;MONTH(G7),59:59)</f>
        <v>0</v>
      </c>
      <c r="I7" s="411"/>
      <c r="J7" s="410">
        <f>SUMIF(58:58,YEAR(I7)&amp;"-"&amp;MONTH(I7),59:59)</f>
        <v>0</v>
      </c>
      <c r="K7" s="2599"/>
      <c r="L7" s="1134"/>
      <c r="M7" s="1135"/>
      <c r="N7" s="1135"/>
      <c r="O7" s="1135"/>
      <c r="P7" s="3162" t="s">
        <v>2543</v>
      </c>
      <c r="Q7" s="3189"/>
      <c r="R7" s="769" t="s">
        <v>23</v>
      </c>
      <c r="S7" s="770">
        <f t="shared" ref="S7:S15" si="0">F7</f>
        <v>0</v>
      </c>
      <c r="T7" s="769" t="s">
        <v>23</v>
      </c>
      <c r="U7" s="770">
        <f t="shared" ref="U7:U15" si="1">H7</f>
        <v>0</v>
      </c>
      <c r="V7" s="769" t="s">
        <v>23</v>
      </c>
      <c r="W7" s="770">
        <f t="shared" ref="W7:W15" si="2">J7</f>
        <v>0</v>
      </c>
      <c r="X7" s="771"/>
      <c r="Y7" s="3162" t="s">
        <v>2543</v>
      </c>
      <c r="Z7" s="3163"/>
      <c r="AA7" s="772" t="e">
        <f>D7/F7</f>
        <v>#DIV/0!</v>
      </c>
      <c r="AB7" s="772" t="e">
        <f>D7/H7</f>
        <v>#DIV/0!</v>
      </c>
      <c r="AC7" s="772" t="e">
        <f>D7/J7</f>
        <v>#DIV/0!</v>
      </c>
    </row>
    <row r="8" spans="1:29" s="116" customFormat="1" ht="15.75" thickBot="1">
      <c r="A8" s="407" t="s">
        <v>2544</v>
      </c>
      <c r="B8" s="408"/>
      <c r="C8" s="413" t="s">
        <v>2545</v>
      </c>
      <c r="D8" s="410">
        <v>100</v>
      </c>
      <c r="E8" s="2600"/>
      <c r="F8" s="412">
        <f>SUMIF(61:61,E8,62:62)-SUMIF(61:61,C8,62:62)+100</f>
        <v>0</v>
      </c>
      <c r="G8" s="413"/>
      <c r="H8" s="410">
        <f>SUMIF(61:61,G8,62:62)-SUMIF(61:61,C8,62:62)+100</f>
        <v>0</v>
      </c>
      <c r="I8" s="2600"/>
      <c r="J8" s="410">
        <f>SUMIF(61:61,I8,62:62)-SUMIF(61:61,C8,62:62)+100</f>
        <v>0</v>
      </c>
      <c r="K8" s="2599"/>
      <c r="L8" s="1134"/>
      <c r="M8" s="1135"/>
      <c r="N8" s="1135"/>
      <c r="O8" s="1135"/>
      <c r="P8" s="3162" t="s">
        <v>2546</v>
      </c>
      <c r="Q8" s="3163"/>
      <c r="R8" s="769" t="s">
        <v>23</v>
      </c>
      <c r="S8" s="770">
        <f t="shared" si="0"/>
        <v>0</v>
      </c>
      <c r="T8" s="769" t="s">
        <v>23</v>
      </c>
      <c r="U8" s="770">
        <f t="shared" si="1"/>
        <v>0</v>
      </c>
      <c r="V8" s="769" t="s">
        <v>23</v>
      </c>
      <c r="W8" s="770">
        <f t="shared" si="2"/>
        <v>0</v>
      </c>
      <c r="X8" s="771"/>
      <c r="Y8" s="3162" t="s">
        <v>2546</v>
      </c>
      <c r="Z8" s="3163"/>
      <c r="AA8" s="772" t="e">
        <f t="shared" ref="AA8:AA19" si="3">D8/F8</f>
        <v>#DIV/0!</v>
      </c>
      <c r="AB8" s="772" t="e">
        <f t="shared" ref="AB8:AB19" si="4">D8/H8</f>
        <v>#DIV/0!</v>
      </c>
      <c r="AC8" s="772" t="e">
        <f t="shared" ref="AC8:AC19" si="5">D8/J8</f>
        <v>#DIV/0!</v>
      </c>
    </row>
    <row r="9" spans="1:29" s="116" customFormat="1">
      <c r="A9" s="414" t="s">
        <v>2547</v>
      </c>
      <c r="B9" s="70" t="s">
        <v>2548</v>
      </c>
      <c r="C9" s="415"/>
      <c r="D9" s="134">
        <v>100</v>
      </c>
      <c r="E9" s="416"/>
      <c r="F9" s="417">
        <f>SUMIF(63:63,E9,64:64)-SUMIF(63:63,C9,64:64)+100</f>
        <v>100</v>
      </c>
      <c r="G9" s="418"/>
      <c r="H9" s="134">
        <f>SUMIF(63:63,G9,64:64)-SUMIF(63:63,C9,64:64)+100</f>
        <v>100</v>
      </c>
      <c r="I9" s="418"/>
      <c r="J9" s="134">
        <f>SUMIF(63:63,I9,64:64)-SUMIF(63:63,C9,64:64)+100</f>
        <v>100</v>
      </c>
      <c r="K9" s="2599"/>
      <c r="L9" s="1134"/>
      <c r="M9" s="1135"/>
      <c r="N9" s="1135"/>
      <c r="O9" s="1135"/>
      <c r="P9" s="3176" t="s">
        <v>2549</v>
      </c>
      <c r="Q9" s="1797" t="str">
        <f t="shared" ref="Q9:Q15" si="6">B9</f>
        <v>用途</v>
      </c>
      <c r="R9" s="769" t="s">
        <v>17</v>
      </c>
      <c r="S9" s="770">
        <f t="shared" si="0"/>
        <v>100</v>
      </c>
      <c r="T9" s="769" t="s">
        <v>17</v>
      </c>
      <c r="U9" s="770">
        <f t="shared" si="1"/>
        <v>100</v>
      </c>
      <c r="V9" s="769" t="s">
        <v>17</v>
      </c>
      <c r="W9" s="770">
        <f t="shared" si="2"/>
        <v>100</v>
      </c>
      <c r="X9" s="771"/>
      <c r="Y9" s="3035"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76"/>
      <c r="Q10" s="1797"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76"/>
      <c r="Q11" s="1797" t="str">
        <f t="shared" si="6"/>
        <v>容积率</v>
      </c>
      <c r="R11" s="769" t="s">
        <v>21</v>
      </c>
      <c r="S11" s="770" t="e">
        <f t="shared" si="0"/>
        <v>#N/A</v>
      </c>
      <c r="T11" s="769" t="s">
        <v>21</v>
      </c>
      <c r="U11" s="770" t="e">
        <f t="shared" si="1"/>
        <v>#N/A</v>
      </c>
      <c r="V11" s="769" t="s">
        <v>21</v>
      </c>
      <c r="W11" s="770" t="e">
        <f t="shared" si="2"/>
        <v>#N/A</v>
      </c>
      <c r="X11" s="771"/>
      <c r="Y11" s="3035"/>
      <c r="Z11" s="55" t="str">
        <f t="shared" si="7"/>
        <v>容积率</v>
      </c>
      <c r="AA11" s="772" t="e">
        <f t="shared" si="3"/>
        <v>#N/A</v>
      </c>
      <c r="AB11" s="772" t="e">
        <f t="shared" si="4"/>
        <v>#N/A</v>
      </c>
      <c r="AC11" s="772" t="e">
        <f t="shared" si="5"/>
        <v>#N/A</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4"/>
      <c r="M12" s="1135"/>
      <c r="N12" s="1135"/>
      <c r="O12" s="1135"/>
      <c r="P12" s="3176"/>
      <c r="Q12" s="1797">
        <f t="shared" si="6"/>
        <v>111</v>
      </c>
      <c r="R12" s="769" t="s">
        <v>21</v>
      </c>
      <c r="S12" s="770">
        <f t="shared" si="0"/>
        <v>100</v>
      </c>
      <c r="T12" s="769" t="s">
        <v>21</v>
      </c>
      <c r="U12" s="770">
        <f t="shared" si="1"/>
        <v>100</v>
      </c>
      <c r="V12" s="769" t="s">
        <v>21</v>
      </c>
      <c r="W12" s="770">
        <f t="shared" si="2"/>
        <v>100</v>
      </c>
      <c r="X12" s="771"/>
      <c r="Y12" s="3035"/>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176"/>
      <c r="Q13" s="1797">
        <f t="shared" si="6"/>
        <v>111</v>
      </c>
      <c r="R13" s="769" t="s">
        <v>21</v>
      </c>
      <c r="S13" s="770">
        <f t="shared" si="0"/>
        <v>100</v>
      </c>
      <c r="T13" s="769" t="s">
        <v>21</v>
      </c>
      <c r="U13" s="770">
        <f t="shared" si="1"/>
        <v>100</v>
      </c>
      <c r="V13" s="769" t="s">
        <v>21</v>
      </c>
      <c r="W13" s="770">
        <f t="shared" si="2"/>
        <v>100</v>
      </c>
      <c r="X13" s="771"/>
      <c r="Y13" s="3035"/>
      <c r="Z13" s="55">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176"/>
      <c r="Q14" s="1797">
        <f t="shared" si="6"/>
        <v>111</v>
      </c>
      <c r="R14" s="769" t="s">
        <v>21</v>
      </c>
      <c r="S14" s="770">
        <f t="shared" si="0"/>
        <v>100</v>
      </c>
      <c r="T14" s="769" t="s">
        <v>21</v>
      </c>
      <c r="U14" s="770">
        <f t="shared" si="1"/>
        <v>100</v>
      </c>
      <c r="V14" s="769" t="s">
        <v>21</v>
      </c>
      <c r="W14" s="770">
        <f t="shared" si="2"/>
        <v>100</v>
      </c>
      <c r="X14" s="771"/>
      <c r="Y14" s="3035"/>
      <c r="Z14" s="55">
        <f t="shared" si="7"/>
        <v>111</v>
      </c>
      <c r="AA14" s="772">
        <f t="shared" si="3"/>
        <v>1</v>
      </c>
      <c r="AB14" s="772">
        <f t="shared" si="4"/>
        <v>1</v>
      </c>
      <c r="AC14" s="772">
        <f t="shared" si="5"/>
        <v>1</v>
      </c>
    </row>
    <row r="15" spans="1:29" ht="99.75">
      <c r="A15" s="439" t="s">
        <v>2553</v>
      </c>
      <c r="B15" s="68" t="s">
        <v>2077</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90" t="s">
        <v>2554</v>
      </c>
      <c r="Q15" s="1812" t="str">
        <f t="shared" si="6"/>
        <v>居住社区成熟度</v>
      </c>
      <c r="R15" s="773" t="s">
        <v>21</v>
      </c>
      <c r="S15" s="774">
        <f t="shared" si="0"/>
        <v>100</v>
      </c>
      <c r="T15" s="773" t="s">
        <v>21</v>
      </c>
      <c r="U15" s="774">
        <f t="shared" si="1"/>
        <v>100</v>
      </c>
      <c r="V15" s="773" t="s">
        <v>21</v>
      </c>
      <c r="W15" s="774">
        <f t="shared" si="2"/>
        <v>100</v>
      </c>
      <c r="X15" s="1815"/>
      <c r="Y15" s="3192" t="s">
        <v>2554</v>
      </c>
      <c r="Z15" s="1816" t="str">
        <f t="shared" si="7"/>
        <v>居住社区成熟度</v>
      </c>
      <c r="AA15" s="1813">
        <f t="shared" si="3"/>
        <v>1</v>
      </c>
      <c r="AB15" s="1813">
        <f t="shared" si="4"/>
        <v>1</v>
      </c>
      <c r="AC15" s="1813">
        <f t="shared" si="5"/>
        <v>1</v>
      </c>
    </row>
    <row r="16" spans="1:29" ht="15">
      <c r="A16" s="427"/>
      <c r="B16" s="445"/>
      <c r="C16" s="446"/>
      <c r="D16" s="447"/>
      <c r="E16" s="2605"/>
      <c r="F16" s="447"/>
      <c r="G16" s="2606"/>
      <c r="H16" s="449"/>
      <c r="I16" s="2606"/>
      <c r="J16" s="447"/>
      <c r="K16" s="2607"/>
      <c r="L16" s="1142"/>
      <c r="M16" s="1133"/>
      <c r="N16" s="1133"/>
      <c r="O16" s="1133"/>
      <c r="P16" s="3191"/>
      <c r="Q16" s="1812"/>
      <c r="R16" s="773"/>
      <c r="S16" s="774"/>
      <c r="T16" s="773"/>
      <c r="U16" s="774"/>
      <c r="V16" s="773"/>
      <c r="W16" s="774"/>
      <c r="X16" s="1815"/>
      <c r="Y16" s="3193"/>
      <c r="Z16" s="1816"/>
      <c r="AA16" s="1813">
        <v>1</v>
      </c>
      <c r="AB16" s="1813">
        <v>1</v>
      </c>
      <c r="AC16" s="1813">
        <v>1</v>
      </c>
    </row>
    <row r="17" spans="1:29" ht="85.5">
      <c r="A17" s="427"/>
      <c r="B17" s="450" t="s">
        <v>2089</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91"/>
      <c r="Q17" s="1812" t="str">
        <f>B17</f>
        <v>交通便捷度</v>
      </c>
      <c r="R17" s="773" t="s">
        <v>21</v>
      </c>
      <c r="S17" s="774">
        <f>F17</f>
        <v>100</v>
      </c>
      <c r="T17" s="773" t="s">
        <v>21</v>
      </c>
      <c r="U17" s="774">
        <f>H17</f>
        <v>100</v>
      </c>
      <c r="V17" s="773" t="s">
        <v>21</v>
      </c>
      <c r="W17" s="774">
        <f>J17</f>
        <v>100</v>
      </c>
      <c r="X17" s="1815"/>
      <c r="Y17" s="3193"/>
      <c r="Z17" s="1816" t="str">
        <f>Q17</f>
        <v>交通便捷度</v>
      </c>
      <c r="AA17" s="1813">
        <f t="shared" si="3"/>
        <v>1</v>
      </c>
      <c r="AB17" s="1813">
        <f t="shared" si="4"/>
        <v>1</v>
      </c>
      <c r="AC17" s="1813">
        <f t="shared" si="5"/>
        <v>1</v>
      </c>
    </row>
    <row r="18" spans="1:29" ht="15">
      <c r="A18" s="427"/>
      <c r="B18" s="455"/>
      <c r="C18" s="2609"/>
      <c r="D18" s="449"/>
      <c r="E18" s="2610"/>
      <c r="F18" s="449"/>
      <c r="G18" s="2611"/>
      <c r="H18" s="447"/>
      <c r="I18" s="2611"/>
      <c r="J18" s="447"/>
      <c r="K18" s="2607"/>
      <c r="L18" s="1142"/>
      <c r="M18" s="1133"/>
      <c r="N18" s="1133"/>
      <c r="O18" s="1133"/>
      <c r="P18" s="3191"/>
      <c r="Q18" s="1812"/>
      <c r="R18" s="773"/>
      <c r="S18" s="774"/>
      <c r="T18" s="773"/>
      <c r="U18" s="774"/>
      <c r="V18" s="773"/>
      <c r="W18" s="774"/>
      <c r="X18" s="1815"/>
      <c r="Y18" s="3193"/>
      <c r="Z18" s="1816"/>
      <c r="AA18" s="1813">
        <v>1</v>
      </c>
      <c r="AB18" s="1813">
        <v>1</v>
      </c>
      <c r="AC18" s="1813">
        <v>1</v>
      </c>
    </row>
    <row r="19" spans="1:29" ht="42.75">
      <c r="A19" s="427"/>
      <c r="B19" s="450" t="s">
        <v>2087</v>
      </c>
      <c r="C19" s="260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91"/>
      <c r="Q19" s="1812" t="str">
        <f>B19</f>
        <v>公共配套设施</v>
      </c>
      <c r="R19" s="773" t="s">
        <v>21</v>
      </c>
      <c r="S19" s="774">
        <f>F19</f>
        <v>100</v>
      </c>
      <c r="T19" s="773" t="s">
        <v>21</v>
      </c>
      <c r="U19" s="774">
        <f>H19</f>
        <v>100</v>
      </c>
      <c r="V19" s="773" t="s">
        <v>21</v>
      </c>
      <c r="W19" s="774">
        <f>J19</f>
        <v>100</v>
      </c>
      <c r="X19" s="1815"/>
      <c r="Y19" s="3193"/>
      <c r="Z19" s="1816" t="str">
        <f>Q19</f>
        <v>公共配套设施</v>
      </c>
      <c r="AA19" s="1813">
        <f t="shared" si="3"/>
        <v>1</v>
      </c>
      <c r="AB19" s="1813">
        <f t="shared" si="4"/>
        <v>1</v>
      </c>
      <c r="AC19" s="1813">
        <f t="shared" si="5"/>
        <v>1</v>
      </c>
    </row>
    <row r="20" spans="1:29" ht="15">
      <c r="A20" s="427"/>
      <c r="B20" s="455"/>
      <c r="C20" s="446"/>
      <c r="D20" s="447"/>
      <c r="E20" s="2605"/>
      <c r="F20" s="447"/>
      <c r="G20" s="2606"/>
      <c r="H20" s="447"/>
      <c r="I20" s="2606"/>
      <c r="J20" s="447"/>
      <c r="K20" s="2607"/>
      <c r="L20" s="1142"/>
      <c r="M20" s="1133"/>
      <c r="N20" s="1133"/>
      <c r="O20" s="1133"/>
      <c r="P20" s="3191"/>
      <c r="Q20" s="1812"/>
      <c r="R20" s="773"/>
      <c r="S20" s="774"/>
      <c r="T20" s="773"/>
      <c r="U20" s="774"/>
      <c r="V20" s="773"/>
      <c r="W20" s="774"/>
      <c r="X20" s="1815"/>
      <c r="Y20" s="3193"/>
      <c r="Z20" s="1816"/>
      <c r="AA20" s="1813">
        <v>1</v>
      </c>
      <c r="AB20" s="1813">
        <v>1</v>
      </c>
      <c r="AC20" s="1813">
        <v>1</v>
      </c>
    </row>
    <row r="21" spans="1:29" ht="28.5">
      <c r="A21" s="427"/>
      <c r="B21" s="1386" t="s">
        <v>2090</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91"/>
      <c r="Q21" s="1812" t="str">
        <f>B21</f>
        <v>基础设施水平</v>
      </c>
      <c r="R21" s="773" t="s">
        <v>17</v>
      </c>
      <c r="S21" s="774">
        <f>F21</f>
        <v>100</v>
      </c>
      <c r="T21" s="773" t="s">
        <v>17</v>
      </c>
      <c r="U21" s="774">
        <f>H21</f>
        <v>100</v>
      </c>
      <c r="V21" s="773" t="s">
        <v>17</v>
      </c>
      <c r="W21" s="774">
        <f>J21</f>
        <v>100</v>
      </c>
      <c r="X21" s="1815"/>
      <c r="Y21" s="3193"/>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7"/>
      <c r="G22" s="2612"/>
      <c r="H22" s="447"/>
      <c r="I22" s="446"/>
      <c r="J22" s="447"/>
      <c r="K22" s="2613"/>
      <c r="L22" s="1142"/>
      <c r="M22" s="1133"/>
      <c r="N22" s="1133"/>
      <c r="O22" s="1133"/>
      <c r="P22" s="3191"/>
      <c r="Q22" s="1812"/>
      <c r="R22" s="773"/>
      <c r="S22" s="774"/>
      <c r="T22" s="773"/>
      <c r="U22" s="774"/>
      <c r="V22" s="773"/>
      <c r="W22" s="774"/>
      <c r="X22" s="1815"/>
      <c r="Y22" s="3193"/>
      <c r="Z22" s="1816"/>
      <c r="AA22" s="1813">
        <v>1</v>
      </c>
      <c r="AB22" s="1813">
        <v>1</v>
      </c>
      <c r="AC22" s="1813">
        <v>1</v>
      </c>
    </row>
    <row r="23" spans="1:29" ht="57">
      <c r="A23" s="427"/>
      <c r="B23" s="450" t="s">
        <v>2094</v>
      </c>
      <c r="C23" s="260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91"/>
      <c r="Q23" s="1812" t="str">
        <f>B23</f>
        <v>自然及人文环境</v>
      </c>
      <c r="R23" s="773" t="s">
        <v>21</v>
      </c>
      <c r="S23" s="774">
        <f>F23</f>
        <v>100</v>
      </c>
      <c r="T23" s="773" t="s">
        <v>21</v>
      </c>
      <c r="U23" s="774">
        <f>H23</f>
        <v>100</v>
      </c>
      <c r="V23" s="773" t="s">
        <v>21</v>
      </c>
      <c r="W23" s="774">
        <f>J23</f>
        <v>100</v>
      </c>
      <c r="X23" s="1815"/>
      <c r="Y23" s="3193"/>
      <c r="Z23" s="1816" t="str">
        <f>Q23</f>
        <v>自然及人文环境</v>
      </c>
      <c r="AA23" s="1813">
        <f>D23/F23</f>
        <v>1</v>
      </c>
      <c r="AB23" s="1813">
        <f>D23/H23</f>
        <v>1</v>
      </c>
      <c r="AC23" s="1813">
        <f>D23/J23</f>
        <v>1</v>
      </c>
    </row>
    <row r="24" spans="1:29" ht="15">
      <c r="A24" s="427"/>
      <c r="B24" s="455"/>
      <c r="C24" s="446"/>
      <c r="D24" s="447"/>
      <c r="E24" s="2605"/>
      <c r="F24" s="447"/>
      <c r="G24" s="2606"/>
      <c r="H24" s="447"/>
      <c r="I24" s="2606"/>
      <c r="J24" s="447"/>
      <c r="K24" s="2607"/>
      <c r="L24" s="1142"/>
      <c r="M24" s="1133"/>
      <c r="N24" s="1133"/>
      <c r="O24" s="1133"/>
      <c r="P24" s="3191"/>
      <c r="Q24" s="1812"/>
      <c r="R24" s="773"/>
      <c r="S24" s="774"/>
      <c r="T24" s="773"/>
      <c r="U24" s="774"/>
      <c r="V24" s="773"/>
      <c r="W24" s="774"/>
      <c r="X24" s="1815"/>
      <c r="Y24" s="3193"/>
      <c r="Z24" s="1816"/>
      <c r="AA24" s="1813">
        <v>1</v>
      </c>
      <c r="AB24" s="1813">
        <v>1</v>
      </c>
      <c r="AC24" s="1813">
        <v>1</v>
      </c>
    </row>
    <row r="25" spans="1:29" ht="15">
      <c r="A25" s="427"/>
      <c r="B25" s="421" t="s">
        <v>2555</v>
      </c>
      <c r="C25" s="459"/>
      <c r="D25" s="434">
        <v>100</v>
      </c>
      <c r="E25" s="2614"/>
      <c r="F25" s="434">
        <f>SUMIF(86:86,E25,87:87)-SUMIF(86:86,C25,87:87)+100</f>
        <v>100</v>
      </c>
      <c r="G25" s="2615"/>
      <c r="H25" s="434">
        <f>SUMIF(86:86,G25,87:87)-SUMIF(86:86,C25,87:87)+100</f>
        <v>100</v>
      </c>
      <c r="I25" s="2615"/>
      <c r="J25" s="434">
        <f>SUMIF(86:86,I25,87:87)-SUMIF(86:86,C25,87:87)+100</f>
        <v>100</v>
      </c>
      <c r="K25" s="425"/>
      <c r="L25" s="1142"/>
      <c r="M25" s="1133"/>
      <c r="N25" s="1133"/>
      <c r="O25" s="1133"/>
      <c r="P25" s="3191"/>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93"/>
      <c r="Z25" s="1816" t="str">
        <f>Q25</f>
        <v>楼层-1</v>
      </c>
      <c r="AA25" s="1813">
        <f t="shared" ref="AA25:AA46" si="15">D25/F25</f>
        <v>1</v>
      </c>
      <c r="AB25" s="1813">
        <f t="shared" ref="AB25:AB46" si="16">D25/H25</f>
        <v>1</v>
      </c>
      <c r="AC25" s="1813">
        <f t="shared" ref="AC25:AC46" si="17">D25/J25</f>
        <v>1</v>
      </c>
    </row>
    <row r="26" spans="1:29" ht="15">
      <c r="A26" s="427"/>
      <c r="B26" s="421" t="s">
        <v>2556</v>
      </c>
      <c r="C26" s="459"/>
      <c r="D26" s="434">
        <v>100</v>
      </c>
      <c r="E26" s="2614"/>
      <c r="F26" s="434">
        <f>SUMIF(88:88,E26,89:89)-SUMIF(88:88,C26,89:89)+100</f>
        <v>100</v>
      </c>
      <c r="G26" s="2615"/>
      <c r="H26" s="434">
        <f>SUMIF(88:88,G26,89:89)-SUMIF(88:88,C26,89:89)+100</f>
        <v>100</v>
      </c>
      <c r="I26" s="2615"/>
      <c r="J26" s="434">
        <f>SUMIF(88:88,I26,89:89)-SUMIF(88:88,C26,89:89)+100</f>
        <v>100</v>
      </c>
      <c r="K26" s="425"/>
      <c r="L26" s="1142"/>
      <c r="M26" s="1133"/>
      <c r="N26" s="1133"/>
      <c r="O26" s="1133"/>
      <c r="P26" s="3191"/>
      <c r="Q26" s="1812" t="str">
        <f t="shared" si="11"/>
        <v>朝向</v>
      </c>
      <c r="R26" s="773" t="s">
        <v>21</v>
      </c>
      <c r="S26" s="774">
        <f t="shared" si="12"/>
        <v>100</v>
      </c>
      <c r="T26" s="773" t="s">
        <v>21</v>
      </c>
      <c r="U26" s="774">
        <f t="shared" si="13"/>
        <v>100</v>
      </c>
      <c r="V26" s="773" t="s">
        <v>21</v>
      </c>
      <c r="W26" s="774">
        <f t="shared" si="14"/>
        <v>100</v>
      </c>
      <c r="X26" s="1815"/>
      <c r="Y26" s="3193"/>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191"/>
      <c r="Q27" s="1797">
        <f t="shared" si="11"/>
        <v>111</v>
      </c>
      <c r="R27" s="769" t="s">
        <v>21</v>
      </c>
      <c r="S27" s="770">
        <f t="shared" si="12"/>
        <v>100</v>
      </c>
      <c r="T27" s="769" t="s">
        <v>21</v>
      </c>
      <c r="U27" s="770">
        <f t="shared" si="13"/>
        <v>100</v>
      </c>
      <c r="V27" s="769" t="s">
        <v>21</v>
      </c>
      <c r="W27" s="770">
        <f t="shared" si="14"/>
        <v>100</v>
      </c>
      <c r="X27" s="771"/>
      <c r="Y27" s="3193"/>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191"/>
      <c r="Q28" s="1812">
        <f t="shared" si="11"/>
        <v>111</v>
      </c>
      <c r="R28" s="773" t="s">
        <v>21</v>
      </c>
      <c r="S28" s="774">
        <f t="shared" si="12"/>
        <v>100</v>
      </c>
      <c r="T28" s="773" t="s">
        <v>21</v>
      </c>
      <c r="U28" s="774">
        <f t="shared" si="13"/>
        <v>100</v>
      </c>
      <c r="V28" s="773" t="s">
        <v>21</v>
      </c>
      <c r="W28" s="774">
        <f t="shared" si="14"/>
        <v>100</v>
      </c>
      <c r="X28" s="1815"/>
      <c r="Y28" s="3193"/>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191"/>
      <c r="Q29" s="1812">
        <f t="shared" si="11"/>
        <v>111</v>
      </c>
      <c r="R29" s="773" t="s">
        <v>21</v>
      </c>
      <c r="S29" s="774">
        <f t="shared" si="12"/>
        <v>100</v>
      </c>
      <c r="T29" s="773" t="s">
        <v>21</v>
      </c>
      <c r="U29" s="774">
        <f t="shared" si="13"/>
        <v>100</v>
      </c>
      <c r="V29" s="773" t="s">
        <v>21</v>
      </c>
      <c r="W29" s="774">
        <f t="shared" si="14"/>
        <v>100</v>
      </c>
      <c r="X29" s="1815"/>
      <c r="Y29" s="3193"/>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191"/>
      <c r="Q30" s="1812">
        <f t="shared" si="11"/>
        <v>111</v>
      </c>
      <c r="R30" s="773" t="s">
        <v>21</v>
      </c>
      <c r="S30" s="774">
        <f t="shared" si="12"/>
        <v>100</v>
      </c>
      <c r="T30" s="773" t="s">
        <v>21</v>
      </c>
      <c r="U30" s="774">
        <f t="shared" si="13"/>
        <v>100</v>
      </c>
      <c r="V30" s="773" t="s">
        <v>21</v>
      </c>
      <c r="W30" s="774">
        <f t="shared" si="14"/>
        <v>100</v>
      </c>
      <c r="X30" s="1815"/>
      <c r="Y30" s="3193"/>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191"/>
      <c r="Q31" s="1812">
        <f t="shared" si="11"/>
        <v>111</v>
      </c>
      <c r="R31" s="773" t="s">
        <v>21</v>
      </c>
      <c r="S31" s="774">
        <f t="shared" si="12"/>
        <v>100</v>
      </c>
      <c r="T31" s="773" t="s">
        <v>21</v>
      </c>
      <c r="U31" s="774">
        <f t="shared" si="13"/>
        <v>100</v>
      </c>
      <c r="V31" s="773" t="s">
        <v>21</v>
      </c>
      <c r="W31" s="774">
        <f t="shared" si="14"/>
        <v>100</v>
      </c>
      <c r="X31" s="1815"/>
      <c r="Y31" s="3193"/>
      <c r="Z31" s="1816">
        <f t="shared" si="18"/>
        <v>111</v>
      </c>
      <c r="AA31" s="1813">
        <f t="shared" si="15"/>
        <v>1</v>
      </c>
      <c r="AB31" s="1813">
        <f t="shared" si="16"/>
        <v>1</v>
      </c>
      <c r="AC31" s="1813">
        <f t="shared" si="17"/>
        <v>1</v>
      </c>
    </row>
    <row r="32" spans="1:29" ht="15">
      <c r="A32" s="439" t="s">
        <v>2557</v>
      </c>
      <c r="B32" s="70" t="s">
        <v>2558</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42"/>
      <c r="M32" s="1133"/>
      <c r="N32" s="1133"/>
      <c r="O32" s="1133"/>
      <c r="P32" s="3194" t="s">
        <v>2559</v>
      </c>
      <c r="Q32" s="1812" t="str">
        <f t="shared" si="11"/>
        <v>建筑类型</v>
      </c>
      <c r="R32" s="773" t="s">
        <v>21</v>
      </c>
      <c r="S32" s="774">
        <f t="shared" si="12"/>
        <v>100</v>
      </c>
      <c r="T32" s="773" t="s">
        <v>21</v>
      </c>
      <c r="U32" s="774">
        <f t="shared" si="13"/>
        <v>100</v>
      </c>
      <c r="V32" s="773" t="s">
        <v>21</v>
      </c>
      <c r="W32" s="774">
        <f t="shared" si="14"/>
        <v>100</v>
      </c>
      <c r="X32" s="1815"/>
      <c r="Y32" s="3197" t="s">
        <v>2559</v>
      </c>
      <c r="Z32" s="1816" t="str">
        <f t="shared" si="18"/>
        <v>建筑类型</v>
      </c>
      <c r="AA32" s="1813">
        <f t="shared" si="15"/>
        <v>1</v>
      </c>
      <c r="AB32" s="1813">
        <f t="shared" si="16"/>
        <v>1</v>
      </c>
      <c r="AC32" s="1813">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2"/>
      <c r="L33" s="1140"/>
      <c r="M33" s="1143"/>
      <c r="N33" s="1143"/>
      <c r="O33" s="1143"/>
      <c r="P33" s="3195"/>
      <c r="Q33" s="775" t="str">
        <f t="shared" si="11"/>
        <v>项目建筑规模</v>
      </c>
      <c r="R33" s="776" t="s">
        <v>21</v>
      </c>
      <c r="S33" s="777" t="e">
        <f t="shared" si="12"/>
        <v>#N/A</v>
      </c>
      <c r="T33" s="776" t="s">
        <v>21</v>
      </c>
      <c r="U33" s="777" t="e">
        <f t="shared" si="13"/>
        <v>#N/A</v>
      </c>
      <c r="V33" s="776" t="s">
        <v>21</v>
      </c>
      <c r="W33" s="777" t="e">
        <f t="shared" si="14"/>
        <v>#N/A</v>
      </c>
      <c r="X33" s="778"/>
      <c r="Y33" s="3197"/>
      <c r="Z33" s="779" t="str">
        <f t="shared" si="18"/>
        <v>项目建筑规模</v>
      </c>
      <c r="AA33" s="1813" t="e">
        <f t="shared" si="15"/>
        <v>#N/A</v>
      </c>
      <c r="AB33" s="1813" t="e">
        <f t="shared" si="16"/>
        <v>#N/A</v>
      </c>
      <c r="AC33" s="1813" t="e">
        <f t="shared" si="17"/>
        <v>#N/A</v>
      </c>
    </row>
    <row r="34" spans="1:29" ht="15">
      <c r="A34" s="471"/>
      <c r="B34" s="421" t="s">
        <v>2561</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42"/>
      <c r="M34" s="1133"/>
      <c r="N34" s="1133"/>
      <c r="O34" s="1133"/>
      <c r="P34" s="3195"/>
      <c r="Q34" s="1812" t="str">
        <f t="shared" si="11"/>
        <v>建筑结构</v>
      </c>
      <c r="R34" s="773" t="s">
        <v>21</v>
      </c>
      <c r="S34" s="774">
        <f t="shared" si="12"/>
        <v>100</v>
      </c>
      <c r="T34" s="773" t="s">
        <v>21</v>
      </c>
      <c r="U34" s="774">
        <f t="shared" si="13"/>
        <v>100</v>
      </c>
      <c r="V34" s="773" t="s">
        <v>21</v>
      </c>
      <c r="W34" s="774">
        <f t="shared" si="14"/>
        <v>100</v>
      </c>
      <c r="X34" s="1815"/>
      <c r="Y34" s="3197"/>
      <c r="Z34" s="1816" t="str">
        <f t="shared" si="18"/>
        <v>建筑结构</v>
      </c>
      <c r="AA34" s="1813">
        <f t="shared" si="15"/>
        <v>1</v>
      </c>
      <c r="AB34" s="1813">
        <f t="shared" si="16"/>
        <v>1</v>
      </c>
      <c r="AC34" s="1813">
        <f t="shared" si="17"/>
        <v>1</v>
      </c>
    </row>
    <row r="35" spans="1:29" ht="15">
      <c r="A35" s="471"/>
      <c r="B35" s="421" t="s">
        <v>2562</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42"/>
      <c r="M35" s="1133"/>
      <c r="N35" s="1133"/>
      <c r="O35" s="1133"/>
      <c r="P35" s="3195"/>
      <c r="Q35" s="1812" t="str">
        <f t="shared" si="11"/>
        <v>建筑品质</v>
      </c>
      <c r="R35" s="773" t="s">
        <v>21</v>
      </c>
      <c r="S35" s="774">
        <f t="shared" si="12"/>
        <v>100</v>
      </c>
      <c r="T35" s="773" t="s">
        <v>21</v>
      </c>
      <c r="U35" s="774">
        <f t="shared" si="13"/>
        <v>100</v>
      </c>
      <c r="V35" s="773" t="s">
        <v>21</v>
      </c>
      <c r="W35" s="774">
        <f t="shared" si="14"/>
        <v>100</v>
      </c>
      <c r="X35" s="1815"/>
      <c r="Y35" s="3197"/>
      <c r="Z35" s="1816" t="str">
        <f t="shared" si="18"/>
        <v>建筑品质</v>
      </c>
      <c r="AA35" s="1813">
        <f t="shared" si="15"/>
        <v>1</v>
      </c>
      <c r="AB35" s="1813">
        <f t="shared" si="16"/>
        <v>1</v>
      </c>
      <c r="AC35" s="1813">
        <f t="shared" si="17"/>
        <v>1</v>
      </c>
    </row>
    <row r="36" spans="1:29" ht="15">
      <c r="A36" s="471"/>
      <c r="B36" s="421" t="s">
        <v>2563</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42"/>
      <c r="M36" s="1133"/>
      <c r="N36" s="1133"/>
      <c r="O36" s="1133"/>
      <c r="P36" s="3195"/>
      <c r="Q36" s="1812" t="str">
        <f t="shared" si="11"/>
        <v>公共部分装修</v>
      </c>
      <c r="R36" s="773" t="s">
        <v>21</v>
      </c>
      <c r="S36" s="774">
        <f t="shared" si="12"/>
        <v>100</v>
      </c>
      <c r="T36" s="773" t="s">
        <v>21</v>
      </c>
      <c r="U36" s="774">
        <f t="shared" si="13"/>
        <v>100</v>
      </c>
      <c r="V36" s="773" t="s">
        <v>21</v>
      </c>
      <c r="W36" s="774">
        <f t="shared" si="14"/>
        <v>100</v>
      </c>
      <c r="X36" s="1815"/>
      <c r="Y36" s="3197"/>
      <c r="Z36" s="1816" t="str">
        <f t="shared" si="18"/>
        <v>公共部分装修</v>
      </c>
      <c r="AA36" s="1813">
        <f t="shared" si="15"/>
        <v>1</v>
      </c>
      <c r="AB36" s="1813">
        <f t="shared" si="16"/>
        <v>1</v>
      </c>
      <c r="AC36" s="1813">
        <f t="shared" si="17"/>
        <v>1</v>
      </c>
    </row>
    <row r="37" spans="1:29" s="116"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195"/>
      <c r="Q37" s="1797" t="str">
        <f t="shared" si="11"/>
        <v>成新度</v>
      </c>
      <c r="R37" s="769" t="s">
        <v>21</v>
      </c>
      <c r="S37" s="770" t="e">
        <f t="shared" si="12"/>
        <v>#N/A</v>
      </c>
      <c r="T37" s="769" t="s">
        <v>21</v>
      </c>
      <c r="U37" s="770" t="e">
        <f t="shared" si="13"/>
        <v>#N/A</v>
      </c>
      <c r="V37" s="769" t="s">
        <v>21</v>
      </c>
      <c r="W37" s="770" t="e">
        <f t="shared" si="14"/>
        <v>#N/A</v>
      </c>
      <c r="X37" s="771"/>
      <c r="Y37" s="3197"/>
      <c r="Z37" s="55" t="str">
        <f t="shared" si="18"/>
        <v>成新度</v>
      </c>
      <c r="AA37" s="772" t="e">
        <f t="shared" si="15"/>
        <v>#N/A</v>
      </c>
      <c r="AB37" s="772" t="e">
        <f t="shared" si="16"/>
        <v>#N/A</v>
      </c>
      <c r="AC37" s="772" t="e">
        <f t="shared" si="17"/>
        <v>#N/A</v>
      </c>
    </row>
    <row r="38" spans="1:29" ht="15">
      <c r="A38" s="471"/>
      <c r="B38" s="421" t="s">
        <v>2565</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42"/>
      <c r="M38" s="1133"/>
      <c r="N38" s="1133"/>
      <c r="O38" s="1133"/>
      <c r="P38" s="3195" t="s">
        <v>2559</v>
      </c>
      <c r="Q38" s="1812" t="str">
        <f t="shared" si="11"/>
        <v>物业管理</v>
      </c>
      <c r="R38" s="773" t="s">
        <v>21</v>
      </c>
      <c r="S38" s="774">
        <f t="shared" si="12"/>
        <v>100</v>
      </c>
      <c r="T38" s="773" t="s">
        <v>21</v>
      </c>
      <c r="U38" s="774">
        <f t="shared" si="13"/>
        <v>100</v>
      </c>
      <c r="V38" s="773" t="s">
        <v>21</v>
      </c>
      <c r="W38" s="774">
        <f t="shared" si="14"/>
        <v>100</v>
      </c>
      <c r="X38" s="1815"/>
      <c r="Y38" s="3197" t="s">
        <v>2559</v>
      </c>
      <c r="Z38" s="1816" t="str">
        <f t="shared" si="18"/>
        <v>物业管理</v>
      </c>
      <c r="AA38" s="1813">
        <f t="shared" si="15"/>
        <v>1</v>
      </c>
      <c r="AB38" s="1813">
        <f t="shared" si="16"/>
        <v>1</v>
      </c>
      <c r="AC38" s="1813">
        <f t="shared" si="17"/>
        <v>1</v>
      </c>
    </row>
    <row r="39" spans="1:29" ht="15">
      <c r="A39" s="471"/>
      <c r="B39" s="421" t="s">
        <v>2566</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42"/>
      <c r="M39" s="1133"/>
      <c r="N39" s="1133"/>
      <c r="O39" s="1133"/>
      <c r="P39" s="3195"/>
      <c r="Q39" s="1812" t="str">
        <f t="shared" si="11"/>
        <v>市政基础设施</v>
      </c>
      <c r="R39" s="773" t="s">
        <v>21</v>
      </c>
      <c r="S39" s="774">
        <f t="shared" si="12"/>
        <v>100</v>
      </c>
      <c r="T39" s="773" t="s">
        <v>21</v>
      </c>
      <c r="U39" s="774">
        <f t="shared" si="13"/>
        <v>100</v>
      </c>
      <c r="V39" s="773" t="s">
        <v>21</v>
      </c>
      <c r="W39" s="774">
        <f t="shared" si="14"/>
        <v>100</v>
      </c>
      <c r="X39" s="1815"/>
      <c r="Y39" s="3197"/>
      <c r="Z39" s="1816" t="str">
        <f t="shared" si="18"/>
        <v>市政基础设施</v>
      </c>
      <c r="AA39" s="1813">
        <f t="shared" si="15"/>
        <v>1</v>
      </c>
      <c r="AB39" s="1813">
        <f t="shared" si="16"/>
        <v>1</v>
      </c>
      <c r="AC39" s="1813">
        <f t="shared" si="17"/>
        <v>1</v>
      </c>
    </row>
    <row r="40" spans="1:29" ht="15">
      <c r="A40" s="471"/>
      <c r="B40" s="421" t="s">
        <v>2567</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42"/>
      <c r="M40" s="1133"/>
      <c r="N40" s="1133"/>
      <c r="O40" s="1133"/>
      <c r="P40" s="3195"/>
      <c r="Q40" s="1812" t="str">
        <f t="shared" si="11"/>
        <v>房型</v>
      </c>
      <c r="R40" s="773" t="s">
        <v>21</v>
      </c>
      <c r="S40" s="774">
        <f t="shared" si="12"/>
        <v>100</v>
      </c>
      <c r="T40" s="773" t="s">
        <v>21</v>
      </c>
      <c r="U40" s="774">
        <f t="shared" si="13"/>
        <v>100</v>
      </c>
      <c r="V40" s="773" t="s">
        <v>21</v>
      </c>
      <c r="W40" s="774">
        <f t="shared" si="14"/>
        <v>100</v>
      </c>
      <c r="X40" s="1815"/>
      <c r="Y40" s="3197"/>
      <c r="Z40" s="1816" t="str">
        <f t="shared" si="18"/>
        <v>房型</v>
      </c>
      <c r="AA40" s="1813">
        <f t="shared" si="15"/>
        <v>1</v>
      </c>
      <c r="AB40" s="1813">
        <f t="shared" si="16"/>
        <v>1</v>
      </c>
      <c r="AC40" s="1813">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40"/>
      <c r="M41" s="1143"/>
      <c r="N41" s="1143"/>
      <c r="O41" s="1143"/>
      <c r="P41" s="3195"/>
      <c r="Q41" s="775" t="str">
        <f t="shared" si="11"/>
        <v>单套/主力户型建筑面积</v>
      </c>
      <c r="R41" s="776" t="s">
        <v>21</v>
      </c>
      <c r="S41" s="777">
        <f t="shared" si="12"/>
        <v>100</v>
      </c>
      <c r="T41" s="776" t="s">
        <v>21</v>
      </c>
      <c r="U41" s="777">
        <f t="shared" si="13"/>
        <v>100</v>
      </c>
      <c r="V41" s="776" t="s">
        <v>21</v>
      </c>
      <c r="W41" s="777">
        <f t="shared" si="14"/>
        <v>100</v>
      </c>
      <c r="X41" s="778"/>
      <c r="Y41" s="3197"/>
      <c r="Z41" s="779" t="str">
        <f t="shared" si="18"/>
        <v>单套/主力户型建筑面积</v>
      </c>
      <c r="AA41" s="1813">
        <f t="shared" si="15"/>
        <v>1</v>
      </c>
      <c r="AB41" s="1813">
        <f t="shared" si="16"/>
        <v>1</v>
      </c>
      <c r="AC41" s="1813">
        <f t="shared" si="17"/>
        <v>1</v>
      </c>
    </row>
    <row r="42" spans="1:29" ht="15">
      <c r="A42" s="471"/>
      <c r="B42" s="421" t="s">
        <v>2569</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42"/>
      <c r="M42" s="1133"/>
      <c r="N42" s="1133"/>
      <c r="O42" s="1133"/>
      <c r="P42" s="3195"/>
      <c r="Q42" s="1812" t="str">
        <f t="shared" si="11"/>
        <v>内部装修</v>
      </c>
      <c r="R42" s="773" t="s">
        <v>21</v>
      </c>
      <c r="S42" s="774">
        <f t="shared" si="12"/>
        <v>100</v>
      </c>
      <c r="T42" s="773" t="s">
        <v>21</v>
      </c>
      <c r="U42" s="774">
        <f t="shared" si="13"/>
        <v>100</v>
      </c>
      <c r="V42" s="773" t="s">
        <v>21</v>
      </c>
      <c r="W42" s="774">
        <f t="shared" si="14"/>
        <v>100</v>
      </c>
      <c r="X42" s="1815"/>
      <c r="Y42" s="3197"/>
      <c r="Z42" s="1816" t="str">
        <f t="shared" si="18"/>
        <v>内部装修</v>
      </c>
      <c r="AA42" s="1813">
        <f t="shared" si="15"/>
        <v>1</v>
      </c>
      <c r="AB42" s="1813">
        <f t="shared" si="16"/>
        <v>1</v>
      </c>
      <c r="AC42" s="1813">
        <f t="shared" si="17"/>
        <v>1</v>
      </c>
    </row>
    <row r="43" spans="1:29" ht="15">
      <c r="A43" s="471"/>
      <c r="B43" s="421" t="s">
        <v>2570</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42"/>
      <c r="M43" s="1133"/>
      <c r="N43" s="1133"/>
      <c r="O43" s="1133"/>
      <c r="P43" s="3195"/>
      <c r="Q43" s="1812" t="str">
        <f t="shared" si="11"/>
        <v>内部装修维护情况</v>
      </c>
      <c r="R43" s="773" t="s">
        <v>21</v>
      </c>
      <c r="S43" s="774">
        <f t="shared" si="12"/>
        <v>100</v>
      </c>
      <c r="T43" s="773" t="s">
        <v>21</v>
      </c>
      <c r="U43" s="774">
        <f t="shared" si="13"/>
        <v>100</v>
      </c>
      <c r="V43" s="773" t="s">
        <v>21</v>
      </c>
      <c r="W43" s="774">
        <f t="shared" si="14"/>
        <v>100</v>
      </c>
      <c r="X43" s="1815"/>
      <c r="Y43" s="3197"/>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4"/>
      <c r="M44" s="1135"/>
      <c r="N44" s="1135"/>
      <c r="O44" s="1135"/>
      <c r="P44" s="3195"/>
      <c r="Q44" s="1797">
        <f t="shared" si="11"/>
        <v>111</v>
      </c>
      <c r="R44" s="769" t="s">
        <v>21</v>
      </c>
      <c r="S44" s="770">
        <f t="shared" si="12"/>
        <v>100</v>
      </c>
      <c r="T44" s="769" t="s">
        <v>21</v>
      </c>
      <c r="U44" s="770">
        <f t="shared" si="13"/>
        <v>100</v>
      </c>
      <c r="V44" s="769" t="s">
        <v>21</v>
      </c>
      <c r="W44" s="770">
        <f t="shared" si="14"/>
        <v>100</v>
      </c>
      <c r="X44" s="771"/>
      <c r="Y44" s="3197"/>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195"/>
      <c r="Q45" s="1812">
        <f t="shared" si="11"/>
        <v>111</v>
      </c>
      <c r="R45" s="773" t="s">
        <v>21</v>
      </c>
      <c r="S45" s="774">
        <f t="shared" si="12"/>
        <v>100</v>
      </c>
      <c r="T45" s="773" t="s">
        <v>21</v>
      </c>
      <c r="U45" s="774">
        <f t="shared" si="13"/>
        <v>100</v>
      </c>
      <c r="V45" s="773" t="s">
        <v>21</v>
      </c>
      <c r="W45" s="774">
        <f t="shared" si="14"/>
        <v>100</v>
      </c>
      <c r="X45" s="1815"/>
      <c r="Y45" s="3197"/>
      <c r="Z45" s="1816">
        <f t="shared" si="18"/>
        <v>111</v>
      </c>
      <c r="AA45" s="1813">
        <f t="shared" si="15"/>
        <v>1</v>
      </c>
      <c r="AB45" s="1813">
        <f t="shared" si="16"/>
        <v>1</v>
      </c>
      <c r="AC45" s="1813">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196"/>
      <c r="Q46" s="1812">
        <f t="shared" si="11"/>
        <v>111</v>
      </c>
      <c r="R46" s="773" t="s">
        <v>20</v>
      </c>
      <c r="S46" s="774">
        <f t="shared" si="12"/>
        <v>100</v>
      </c>
      <c r="T46" s="773" t="s">
        <v>20</v>
      </c>
      <c r="U46" s="774">
        <f t="shared" si="13"/>
        <v>100</v>
      </c>
      <c r="V46" s="773" t="s">
        <v>20</v>
      </c>
      <c r="W46" s="774">
        <f t="shared" si="14"/>
        <v>100</v>
      </c>
      <c r="X46" s="1815"/>
      <c r="Y46" s="3198"/>
      <c r="Z46" s="1816">
        <f t="shared" si="18"/>
        <v>111</v>
      </c>
      <c r="AA46" s="1813">
        <f t="shared" si="15"/>
        <v>1</v>
      </c>
      <c r="AB46" s="1813">
        <f t="shared" si="16"/>
        <v>1</v>
      </c>
      <c r="AC46" s="1813">
        <f t="shared" si="17"/>
        <v>1</v>
      </c>
    </row>
    <row r="47" spans="1:29" ht="15">
      <c r="A47" s="478" t="s">
        <v>2571</v>
      </c>
      <c r="B47" s="479"/>
      <c r="C47" s="1409" t="s">
        <v>19</v>
      </c>
      <c r="D47" s="1410"/>
      <c r="E47" s="1411"/>
      <c r="F47" s="1412"/>
      <c r="G47" s="1413"/>
      <c r="H47" s="1414"/>
      <c r="I47" s="1411"/>
      <c r="J47" s="1414"/>
      <c r="K47" s="2622"/>
      <c r="L47" s="1145"/>
      <c r="M47" s="1146"/>
      <c r="N47" s="1133"/>
      <c r="O47" s="1146"/>
      <c r="P47" s="3199" t="str">
        <f>A47</f>
        <v>成交单价（元/平方米）</v>
      </c>
      <c r="Q47" s="3199"/>
      <c r="R47" s="3200">
        <f>E47</f>
        <v>0</v>
      </c>
      <c r="S47" s="3200"/>
      <c r="T47" s="3200">
        <f>G47</f>
        <v>0</v>
      </c>
      <c r="U47" s="3200"/>
      <c r="V47" s="3200">
        <f>I47</f>
        <v>0</v>
      </c>
      <c r="W47" s="3200"/>
      <c r="X47" s="758"/>
      <c r="Y47" s="780"/>
      <c r="Z47" s="758"/>
      <c r="AA47" s="758"/>
      <c r="AB47" s="758"/>
      <c r="AC47" s="758"/>
    </row>
    <row r="48" spans="1:29" ht="15.75" thickBot="1">
      <c r="A48" s="485" t="s">
        <v>2572</v>
      </c>
      <c r="B48" s="486"/>
      <c r="C48" s="1415" t="e">
        <f>R49</f>
        <v>#DIV/0!</v>
      </c>
      <c r="D48" s="1416"/>
      <c r="E48" s="1417" t="e">
        <f>R48</f>
        <v>#DIV/0!</v>
      </c>
      <c r="F48" s="1417"/>
      <c r="G48" s="1415" t="e">
        <f>T48</f>
        <v>#DIV/0!</v>
      </c>
      <c r="H48" s="1416"/>
      <c r="I48" s="1417" t="e">
        <f>V48</f>
        <v>#DIV/0!</v>
      </c>
      <c r="J48" s="1416"/>
      <c r="K48" s="2623"/>
      <c r="L48" s="1145"/>
      <c r="M48" s="1146"/>
      <c r="N48" s="1146"/>
      <c r="O48" s="1146"/>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8"/>
      <c r="Y48" s="758"/>
      <c r="Z48" s="758"/>
      <c r="AA48" s="758"/>
      <c r="AB48" s="758"/>
      <c r="AC48" s="758"/>
    </row>
    <row r="49" spans="1:29" ht="15.75" thickBot="1">
      <c r="A49" s="491" t="s">
        <v>2573</v>
      </c>
      <c r="B49" s="492"/>
      <c r="C49" s="1418" t="e">
        <f>R49</f>
        <v>#DIV/0!</v>
      </c>
      <c r="D49" s="1419"/>
      <c r="E49" s="1419"/>
      <c r="F49" s="1419"/>
      <c r="G49" s="1419"/>
      <c r="H49" s="1419"/>
      <c r="I49" s="1419"/>
      <c r="J49" s="1419"/>
      <c r="K49" s="2624"/>
      <c r="L49" s="1145"/>
      <c r="M49" s="1146"/>
      <c r="N49" s="1146"/>
      <c r="O49" s="1146"/>
      <c r="P49" s="3201" t="str">
        <f>A49</f>
        <v>估价对象XX用房的比较价值（楼面单价，元/平方米）</v>
      </c>
      <c r="Q49" s="3202"/>
      <c r="R49" s="3203" t="e">
        <f>IF(F1="售价",ROUND(AVERAGE(R48:V48),0),ROUND(AVERAGE(R48:V48),1))</f>
        <v>#DIV/0!</v>
      </c>
      <c r="S49" s="3203"/>
      <c r="T49" s="3203"/>
      <c r="U49" s="3203"/>
      <c r="V49" s="3203"/>
      <c r="W49" s="320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6"/>
    </row>
    <row r="55" spans="1:29" s="501"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2" t="s">
        <v>2577</v>
      </c>
      <c r="B57" s="758"/>
      <c r="C57" s="763"/>
      <c r="D57" s="763"/>
      <c r="E57" s="763"/>
      <c r="F57" s="764"/>
      <c r="G57" s="764"/>
      <c r="H57" s="763"/>
      <c r="I57" s="763"/>
      <c r="J57" s="763"/>
      <c r="K57" s="1162"/>
      <c r="L57" s="1163"/>
      <c r="M57" s="1161"/>
      <c r="N57" s="1161"/>
      <c r="O57" s="1161"/>
      <c r="P57" s="2627"/>
      <c r="Q57" s="503"/>
    </row>
    <row r="58" spans="1:29" s="507" customFormat="1" ht="15">
      <c r="A58" s="504" t="s">
        <v>2578</v>
      </c>
      <c r="B58" s="505"/>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6" customFormat="1" ht="15">
      <c r="A59" s="508"/>
      <c r="B59" s="2628"/>
      <c r="C59" s="1575">
        <v>100</v>
      </c>
      <c r="D59" s="510"/>
      <c r="E59" s="511"/>
      <c r="F59" s="511"/>
      <c r="G59" s="511"/>
      <c r="H59" s="511"/>
      <c r="I59" s="511"/>
      <c r="J59" s="511"/>
      <c r="K59" s="511"/>
      <c r="L59" s="511"/>
      <c r="M59" s="512"/>
      <c r="N59" s="511"/>
      <c r="O59" s="512"/>
      <c r="P59" s="2629"/>
    </row>
    <row r="60" spans="1:29" s="116" customFormat="1" ht="15.75" thickBot="1">
      <c r="A60" s="514" t="s">
        <v>2579</v>
      </c>
      <c r="B60" s="515"/>
      <c r="C60" s="516"/>
      <c r="D60" s="517"/>
      <c r="E60" s="517"/>
      <c r="F60" s="517"/>
      <c r="G60" s="517"/>
      <c r="H60" s="517"/>
      <c r="I60" s="517"/>
      <c r="J60" s="517"/>
      <c r="K60" s="517"/>
      <c r="L60" s="517"/>
      <c r="M60" s="518"/>
      <c r="N60" s="517"/>
      <c r="O60" s="518"/>
      <c r="P60" s="2629"/>
      <c r="Q60" s="503"/>
    </row>
    <row r="61" spans="1:29" s="116" customFormat="1" ht="15">
      <c r="A61" s="520" t="s">
        <v>2580</v>
      </c>
      <c r="B61" s="509"/>
      <c r="C61" s="521" t="s">
        <v>2581</v>
      </c>
      <c r="D61" s="522"/>
      <c r="E61" s="522"/>
      <c r="F61" s="522"/>
      <c r="G61" s="522"/>
      <c r="H61" s="522"/>
      <c r="I61" s="522"/>
      <c r="J61" s="522"/>
      <c r="K61" s="522"/>
      <c r="L61" s="523"/>
      <c r="M61" s="524"/>
      <c r="N61" s="1153"/>
      <c r="O61" s="1153"/>
      <c r="P61" s="2630"/>
      <c r="Q61" s="503"/>
    </row>
    <row r="62" spans="1:29" s="116"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2582</v>
      </c>
      <c r="B63" s="527" t="s">
        <v>2548</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4"/>
      <c r="O65" s="1154"/>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1"/>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59"/>
      <c r="E73" s="559"/>
      <c r="F73" s="559"/>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2090</v>
      </c>
      <c r="C82" s="538" t="s">
        <v>2598</v>
      </c>
      <c r="D82" s="538" t="s">
        <v>2599</v>
      </c>
      <c r="E82" s="538" t="s">
        <v>2600</v>
      </c>
      <c r="F82" s="538" t="s">
        <v>2601</v>
      </c>
      <c r="G82" s="538" t="s">
        <v>2602</v>
      </c>
      <c r="H82" s="538"/>
      <c r="I82" s="538"/>
      <c r="J82" s="538"/>
      <c r="K82" s="538"/>
      <c r="L82" s="538"/>
      <c r="M82" s="1384"/>
      <c r="N82" s="1155"/>
      <c r="O82" s="1155"/>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6" customFormat="1" ht="15.75" thickTop="1">
      <c r="A86" s="578"/>
      <c r="B86" s="537" t="s">
        <v>2604</v>
      </c>
      <c r="C86" s="553"/>
      <c r="D86" s="553"/>
      <c r="E86" s="553"/>
      <c r="F86" s="553"/>
      <c r="G86" s="553"/>
      <c r="H86" s="553"/>
      <c r="I86" s="553"/>
      <c r="J86" s="553"/>
      <c r="K86" s="553"/>
      <c r="L86" s="579"/>
      <c r="M86" s="580"/>
      <c r="N86" s="1153"/>
      <c r="O86" s="1153"/>
      <c r="P86" s="263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1"/>
      <c r="Q87" s="503"/>
    </row>
    <row r="88" spans="1:17" s="116" customFormat="1" ht="15.75" thickTop="1">
      <c r="A88" s="578"/>
      <c r="B88" s="537" t="s">
        <v>2605</v>
      </c>
      <c r="C88" s="553"/>
      <c r="D88" s="553"/>
      <c r="E88" s="553"/>
      <c r="F88" s="2636"/>
      <c r="G88" s="553"/>
      <c r="H88" s="553"/>
      <c r="I88" s="553"/>
      <c r="J88" s="553"/>
      <c r="K88" s="553"/>
      <c r="L88" s="553"/>
      <c r="M88" s="580"/>
      <c r="N88" s="1153"/>
      <c r="O88" s="1153"/>
      <c r="P88" s="263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1"/>
      <c r="Q89" s="503"/>
    </row>
    <row r="90" spans="1:17" s="470" customFormat="1" ht="15.75" thickTop="1">
      <c r="A90" s="552"/>
      <c r="B90" s="537">
        <f>B27</f>
        <v>111</v>
      </c>
      <c r="C90" s="553"/>
      <c r="D90" s="553"/>
      <c r="E90" s="553"/>
      <c r="F90" s="553"/>
      <c r="G90" s="553"/>
      <c r="H90" s="554"/>
      <c r="I90" s="554"/>
      <c r="J90" s="554"/>
      <c r="K90" s="554"/>
      <c r="L90" s="555"/>
      <c r="M90" s="556"/>
      <c r="N90" s="1156"/>
      <c r="O90" s="1156"/>
      <c r="P90" s="2632"/>
      <c r="Q90" s="558"/>
    </row>
    <row r="91" spans="1:17" s="470" customFormat="1" ht="15.75" thickBot="1">
      <c r="A91" s="552"/>
      <c r="B91" s="542"/>
      <c r="C91" s="559"/>
      <c r="D91" s="559"/>
      <c r="E91" s="559"/>
      <c r="F91" s="559"/>
      <c r="G91" s="559"/>
      <c r="H91" s="561"/>
      <c r="I91" s="561"/>
      <c r="J91" s="561"/>
      <c r="K91" s="561"/>
      <c r="L91" s="561"/>
      <c r="M91" s="562"/>
      <c r="N91" s="1156"/>
      <c r="O91" s="1156"/>
      <c r="P91" s="2632"/>
      <c r="Q91" s="558"/>
    </row>
    <row r="92" spans="1:17" ht="15.75" thickTop="1">
      <c r="A92" s="533"/>
      <c r="B92" s="537">
        <f>B28</f>
        <v>111</v>
      </c>
      <c r="C92" s="553"/>
      <c r="D92" s="553"/>
      <c r="E92" s="553"/>
      <c r="F92" s="553"/>
      <c r="G92" s="582"/>
      <c r="H92" s="582"/>
      <c r="I92" s="582"/>
      <c r="J92" s="582"/>
      <c r="K92" s="583"/>
      <c r="L92" s="584"/>
      <c r="M92" s="585"/>
      <c r="N92" s="1154"/>
      <c r="O92" s="1154"/>
      <c r="P92" s="2631"/>
      <c r="Q92" s="503"/>
    </row>
    <row r="93" spans="1:17" ht="15.75" thickBot="1">
      <c r="A93" s="533"/>
      <c r="B93" s="542"/>
      <c r="C93" s="559"/>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59"/>
      <c r="E95" s="559"/>
      <c r="F95" s="559"/>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69"/>
      <c r="D97" s="569"/>
      <c r="E97" s="569"/>
      <c r="F97" s="569"/>
      <c r="G97" s="535"/>
      <c r="H97" s="535"/>
      <c r="I97" s="535"/>
      <c r="J97" s="535"/>
      <c r="K97" s="535"/>
      <c r="L97" s="535"/>
      <c r="M97" s="536"/>
      <c r="N97" s="1155"/>
      <c r="O97" s="1155"/>
      <c r="P97" s="2631"/>
      <c r="Q97" s="503"/>
    </row>
    <row r="98" spans="1:17" ht="15.75" thickTop="1">
      <c r="A98" s="533"/>
      <c r="B98" s="545">
        <f>B31</f>
        <v>111</v>
      </c>
      <c r="C98" s="586"/>
      <c r="D98" s="586"/>
      <c r="E98" s="586"/>
      <c r="F98" s="586"/>
      <c r="G98" s="586"/>
      <c r="H98" s="586"/>
      <c r="I98" s="586"/>
      <c r="J98" s="586"/>
      <c r="K98" s="587"/>
      <c r="L98" s="588"/>
      <c r="M98" s="589"/>
      <c r="N98" s="1154"/>
      <c r="O98" s="1154"/>
      <c r="P98" s="2631"/>
      <c r="Q98" s="503"/>
    </row>
    <row r="99" spans="1:17" ht="15.75" thickBot="1">
      <c r="A99" s="2637"/>
      <c r="B99" s="568"/>
      <c r="C99" s="590"/>
      <c r="D99" s="590"/>
      <c r="E99" s="590"/>
      <c r="F99" s="590"/>
      <c r="G99" s="590"/>
      <c r="H99" s="590"/>
      <c r="I99" s="590"/>
      <c r="J99" s="590"/>
      <c r="K99" s="590"/>
      <c r="L99" s="590"/>
      <c r="M99" s="591"/>
      <c r="N99" s="1155"/>
      <c r="O99" s="1155"/>
      <c r="P99" s="2631"/>
      <c r="Q99" s="503"/>
    </row>
    <row r="100" spans="1:17">
      <c r="A100" s="526" t="s">
        <v>2557</v>
      </c>
      <c r="B100" s="527" t="s">
        <v>2606</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1"/>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2"/>
      <c r="Q104" s="558"/>
    </row>
    <row r="105" spans="1:17" ht="15" thickTop="1">
      <c r="A105" s="598"/>
      <c r="B105" s="537" t="s">
        <v>2608</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1"/>
      <c r="Q106" s="503"/>
    </row>
    <row r="107" spans="1:17" ht="15" thickTop="1">
      <c r="A107" s="598"/>
      <c r="B107" s="537" t="s">
        <v>2609</v>
      </c>
      <c r="C107" s="582"/>
      <c r="D107" s="582"/>
      <c r="E107" s="582"/>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1"/>
      <c r="Q108" s="503"/>
    </row>
    <row r="109" spans="1:17" ht="15" thickTop="1">
      <c r="A109" s="598"/>
      <c r="B109" s="537" t="s">
        <v>2610</v>
      </c>
      <c r="C109" s="553"/>
      <c r="D109" s="553"/>
      <c r="E109" s="553"/>
      <c r="F109" s="582"/>
      <c r="G109" s="582"/>
      <c r="H109" s="582"/>
      <c r="I109" s="582"/>
      <c r="J109" s="582"/>
      <c r="K109" s="583"/>
      <c r="L109" s="584"/>
      <c r="M109" s="585"/>
      <c r="N109" s="1154"/>
      <c r="O109" s="1154"/>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1"/>
      <c r="Q110" s="503"/>
    </row>
    <row r="111" spans="1:17" s="470" customFormat="1" ht="15" thickTop="1">
      <c r="A111" s="592"/>
      <c r="B111" s="537" t="s">
        <v>1987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2"/>
      <c r="Q113" s="558"/>
    </row>
    <row r="114" spans="1:17" ht="15" thickTop="1">
      <c r="A114" s="598"/>
      <c r="B114" s="537" t="s">
        <v>2611</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1"/>
      <c r="Q115" s="503"/>
    </row>
    <row r="116" spans="1:17" ht="15" thickTop="1">
      <c r="A116" s="598"/>
      <c r="B116" s="537" t="s">
        <v>2612</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2613</v>
      </c>
      <c r="C118" s="582"/>
      <c r="D118" s="582"/>
      <c r="E118" s="582"/>
      <c r="F118" s="582"/>
      <c r="G118" s="582"/>
      <c r="H118" s="582"/>
      <c r="I118" s="582"/>
      <c r="J118" s="582"/>
      <c r="K118" s="583"/>
      <c r="L118" s="584"/>
      <c r="M118" s="585"/>
      <c r="N118" s="1154"/>
      <c r="O118" s="1154"/>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1"/>
      <c r="Q119" s="503"/>
    </row>
    <row r="120" spans="1:17" s="470" customFormat="1" ht="28.5" thickTop="1">
      <c r="A120" s="592"/>
      <c r="B120" s="537" t="s">
        <v>2568</v>
      </c>
      <c r="C120" s="553"/>
      <c r="D120" s="553"/>
      <c r="E120" s="553"/>
      <c r="F120" s="553"/>
      <c r="G120" s="553"/>
      <c r="H120" s="553"/>
      <c r="I120" s="553"/>
      <c r="J120" s="553"/>
      <c r="K120" s="553"/>
      <c r="L120" s="579"/>
      <c r="M120" s="580"/>
      <c r="N120" s="1156"/>
      <c r="O120" s="1156"/>
      <c r="P120" s="2632"/>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2"/>
      <c r="Q121" s="558"/>
    </row>
    <row r="122" spans="1:17" ht="15" thickTop="1">
      <c r="A122" s="598"/>
      <c r="B122" s="537" t="s">
        <v>2614</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59"/>
      <c r="E129" s="559"/>
      <c r="F129" s="559"/>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row r="136" spans="1:17" ht="15" thickBot="1">
      <c r="B136" s="2638" t="s">
        <v>2616</v>
      </c>
    </row>
    <row r="137" spans="1:17" ht="15">
      <c r="B137" s="2639" t="s">
        <v>2617</v>
      </c>
      <c r="C137" s="2640"/>
      <c r="D137" s="2640"/>
      <c r="E137" s="2640"/>
      <c r="F137" s="2640"/>
      <c r="G137" s="2641"/>
      <c r="H137" s="2642"/>
      <c r="I137" s="2643" t="s">
        <v>2618</v>
      </c>
      <c r="J137" s="2640"/>
      <c r="K137" s="2644"/>
    </row>
    <row r="138" spans="1:17" ht="15">
      <c r="B138" s="2645"/>
      <c r="C138" s="145" t="s">
        <v>2619</v>
      </c>
      <c r="D138" s="145" t="s">
        <v>2620</v>
      </c>
      <c r="E138" s="2646" t="s">
        <v>2621</v>
      </c>
      <c r="F138" s="2647" t="s">
        <v>2622</v>
      </c>
      <c r="G138" s="145" t="s">
        <v>2620</v>
      </c>
      <c r="H138" s="146" t="s">
        <v>2621</v>
      </c>
      <c r="I138" s="2648"/>
      <c r="J138" s="145" t="s">
        <v>2623</v>
      </c>
      <c r="K138" s="146" t="s">
        <v>2624</v>
      </c>
    </row>
    <row r="139" spans="1:17" ht="15">
      <c r="B139" s="1086">
        <v>6</v>
      </c>
      <c r="C139" s="1087">
        <v>96</v>
      </c>
      <c r="D139" s="2649" t="s">
        <v>2625</v>
      </c>
      <c r="E139" s="1088">
        <v>100</v>
      </c>
      <c r="F139" s="1089">
        <v>102.5</v>
      </c>
      <c r="G139" s="2649" t="s">
        <v>2625</v>
      </c>
      <c r="H139" s="1090">
        <v>105</v>
      </c>
      <c r="I139" s="2650" t="s">
        <v>2626</v>
      </c>
      <c r="J139" s="1087">
        <v>20</v>
      </c>
      <c r="K139" s="1091">
        <f>C145/(J139-2)</f>
        <v>4.0555555555555553E-3</v>
      </c>
    </row>
    <row r="140" spans="1:17" ht="15">
      <c r="B140" s="1092">
        <v>5</v>
      </c>
      <c r="C140" s="1093">
        <v>100</v>
      </c>
      <c r="D140" s="1093"/>
      <c r="E140" s="1094"/>
      <c r="F140" s="1095">
        <v>102</v>
      </c>
      <c r="G140" s="1093"/>
      <c r="H140" s="1096"/>
      <c r="I140" s="2651" t="s">
        <v>2627</v>
      </c>
      <c r="J140" s="314">
        <f>ROUNDUP((J139-1)/2,0)</f>
        <v>10</v>
      </c>
      <c r="K140" s="1097">
        <v>100</v>
      </c>
    </row>
    <row r="141" spans="1:17" ht="15">
      <c r="B141" s="1092">
        <v>4</v>
      </c>
      <c r="C141" s="1093">
        <v>102</v>
      </c>
      <c r="D141" s="1093"/>
      <c r="E141" s="1094"/>
      <c r="F141" s="1095">
        <v>101.5</v>
      </c>
      <c r="G141" s="1093"/>
      <c r="H141" s="1096"/>
      <c r="I141" s="2651" t="s">
        <v>2628</v>
      </c>
      <c r="J141" s="314">
        <v>1</v>
      </c>
      <c r="K141" s="1098">
        <f>ROUND(100+(J141-J140)*K139*100,1)</f>
        <v>96.4</v>
      </c>
    </row>
    <row r="142" spans="1:17" ht="15">
      <c r="B142" s="1092">
        <v>3</v>
      </c>
      <c r="C142" s="1093">
        <v>103</v>
      </c>
      <c r="D142" s="1093"/>
      <c r="E142" s="1094"/>
      <c r="F142" s="1095">
        <v>101</v>
      </c>
      <c r="G142" s="1093"/>
      <c r="H142" s="1096"/>
      <c r="I142" s="2651" t="s">
        <v>2629</v>
      </c>
      <c r="J142" s="314">
        <f>J139</f>
        <v>20</v>
      </c>
      <c r="K142" s="1099">
        <v>95</v>
      </c>
    </row>
    <row r="143" spans="1:17" ht="15">
      <c r="B143" s="1092">
        <v>2</v>
      </c>
      <c r="C143" s="1093">
        <v>100</v>
      </c>
      <c r="D143" s="1093"/>
      <c r="E143" s="1094"/>
      <c r="F143" s="1095">
        <v>100.5</v>
      </c>
      <c r="G143" s="1093"/>
      <c r="H143" s="1096"/>
      <c r="I143" s="2651" t="s">
        <v>2630</v>
      </c>
      <c r="J143" s="1093">
        <v>15</v>
      </c>
      <c r="K143" s="1098">
        <f>ROUND(100+(J143-J140)*K139*100,1)</f>
        <v>102</v>
      </c>
    </row>
    <row r="144" spans="1:17" ht="15">
      <c r="B144" s="1092">
        <v>1</v>
      </c>
      <c r="C144" s="1093">
        <v>98</v>
      </c>
      <c r="D144" s="2652" t="s">
        <v>2631</v>
      </c>
      <c r="E144" s="1094">
        <v>102</v>
      </c>
      <c r="F144" s="1100">
        <v>100</v>
      </c>
      <c r="G144" s="2652" t="s">
        <v>2631</v>
      </c>
      <c r="H144" s="1096">
        <v>105</v>
      </c>
      <c r="I144" s="2651" t="s">
        <v>2630</v>
      </c>
      <c r="J144" s="1093">
        <v>18</v>
      </c>
      <c r="K144" s="1098">
        <f>ROUND(100+(J144-J140)*K139*100,1)</f>
        <v>103.2</v>
      </c>
    </row>
    <row r="145" spans="2:11" ht="15.75" thickBot="1">
      <c r="B145" s="2653" t="s">
        <v>2632</v>
      </c>
      <c r="C145" s="1101">
        <f>ROUND(MAX(C139:C144)/MIN(C139:C144)-1,3)</f>
        <v>7.2999999999999995E-2</v>
      </c>
      <c r="D145" s="1102"/>
      <c r="E145" s="1102"/>
      <c r="F145" s="2654" t="s">
        <v>2633</v>
      </c>
      <c r="G145" s="2655"/>
      <c r="H145" s="2656"/>
      <c r="I145" s="2657" t="s">
        <v>2630</v>
      </c>
      <c r="J145" s="1103">
        <v>8</v>
      </c>
      <c r="K145" s="1104">
        <f>ROUND(100+(J145-J140)*K139*100,1)</f>
        <v>99.2</v>
      </c>
    </row>
    <row r="147" spans="2:11">
      <c r="B147" s="2638" t="s">
        <v>2634</v>
      </c>
    </row>
    <row r="148" spans="2:11">
      <c r="B148" s="2638"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2522</v>
      </c>
      <c r="B1" s="2670" t="s">
        <v>2680</v>
      </c>
      <c r="C1" s="1622" t="s">
        <v>2524</v>
      </c>
      <c r="D1" s="1623"/>
      <c r="E1" s="1632"/>
      <c r="F1" s="2585"/>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2321</v>
      </c>
      <c r="B2" s="1420" t="e">
        <f ca="1">IF(C2="——",ROUND(C50*D3/10000,0),ROUND(C50*D3/10000,0)-D2)</f>
        <v>#DIV/0!</v>
      </c>
      <c r="C2" s="2587"/>
      <c r="D2" s="1367" t="e">
        <f ca="1">SUMIF(INDIRECT("'"&amp;F2&amp;"'"&amp;"!A:A"),"承租人权益价值",INDIRECT("'"&amp;F2&amp;"'"&amp;"!c:c"))</f>
        <v>#REF!</v>
      </c>
      <c r="E2" s="2588" t="s">
        <v>2322</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2638</v>
      </c>
      <c r="D3" s="398">
        <f>IF(D1="",'数据-汇总表'!E3,SUMIF('数据-汇总表'!$C19:$C33,D1,'数据-汇总表'!$E19:$E33))</f>
        <v>31156.999999999996</v>
      </c>
      <c r="E3" s="266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2639</v>
      </c>
      <c r="B4" s="401"/>
      <c r="C4" s="3177" t="s">
        <v>2640</v>
      </c>
      <c r="D4" s="3178"/>
      <c r="E4" s="3179" t="s">
        <v>2641</v>
      </c>
      <c r="F4" s="3180"/>
      <c r="G4" s="3177" t="s">
        <v>2642</v>
      </c>
      <c r="H4" s="3178"/>
      <c r="I4" s="3177" t="s">
        <v>2643</v>
      </c>
      <c r="J4" s="3178"/>
      <c r="K4" s="609" t="s">
        <v>2644</v>
      </c>
      <c r="L4" s="1132"/>
      <c r="M4" s="1133"/>
      <c r="N4" s="1133"/>
      <c r="O4" s="1133"/>
      <c r="P4" s="3237" t="s">
        <v>2645</v>
      </c>
      <c r="Q4" s="3238"/>
      <c r="R4" s="3232" t="s">
        <v>2641</v>
      </c>
      <c r="S4" s="3233"/>
      <c r="T4" s="3232" t="s">
        <v>2642</v>
      </c>
      <c r="U4" s="3233"/>
      <c r="V4" s="3241" t="s">
        <v>2643</v>
      </c>
      <c r="W4" s="3241"/>
      <c r="X4" s="2671"/>
      <c r="Y4" s="3232" t="s">
        <v>2645</v>
      </c>
      <c r="Z4" s="3233"/>
      <c r="AA4" s="3231" t="s">
        <v>2641</v>
      </c>
      <c r="AB4" s="3231" t="s">
        <v>2642</v>
      </c>
      <c r="AC4" s="3234" t="s">
        <v>2643</v>
      </c>
    </row>
    <row r="5" spans="1:29" ht="15">
      <c r="A5" s="403"/>
      <c r="B5" s="404"/>
      <c r="C5" s="3170" t="s">
        <v>2536</v>
      </c>
      <c r="D5" s="3171"/>
      <c r="E5" s="3168" t="s">
        <v>2537</v>
      </c>
      <c r="F5" s="3169"/>
      <c r="G5" s="3170" t="s">
        <v>2538</v>
      </c>
      <c r="H5" s="3171"/>
      <c r="I5" s="3170" t="s">
        <v>2539</v>
      </c>
      <c r="J5" s="3171"/>
      <c r="K5" s="609"/>
      <c r="L5" s="1132"/>
      <c r="M5" s="1133"/>
      <c r="N5" s="1133"/>
      <c r="O5" s="1133"/>
      <c r="P5" s="3239"/>
      <c r="Q5" s="3184"/>
      <c r="R5" s="3166"/>
      <c r="S5" s="3167"/>
      <c r="T5" s="3166"/>
      <c r="U5" s="3167"/>
      <c r="V5" s="3161"/>
      <c r="W5" s="3161"/>
      <c r="X5" s="1815"/>
      <c r="Y5" s="3166"/>
      <c r="Z5" s="3167"/>
      <c r="AA5" s="3159"/>
      <c r="AB5" s="3159"/>
      <c r="AC5" s="3235"/>
    </row>
    <row r="6" spans="1:29" ht="15.75" thickBot="1">
      <c r="A6" s="405"/>
      <c r="B6" s="406"/>
      <c r="C6" s="3172" t="s">
        <v>2540</v>
      </c>
      <c r="D6" s="3173"/>
      <c r="E6" s="3174" t="s">
        <v>2540</v>
      </c>
      <c r="F6" s="3175"/>
      <c r="G6" s="3172" t="s">
        <v>2540</v>
      </c>
      <c r="H6" s="3173"/>
      <c r="I6" s="3172" t="s">
        <v>2540</v>
      </c>
      <c r="J6" s="3173"/>
      <c r="K6" s="609" t="s">
        <v>2541</v>
      </c>
      <c r="L6" s="1132"/>
      <c r="M6" s="1133"/>
      <c r="N6" s="1133"/>
      <c r="O6" s="1133"/>
      <c r="P6" s="3240"/>
      <c r="Q6" s="3186"/>
      <c r="R6" s="3166"/>
      <c r="S6" s="3167"/>
      <c r="T6" s="3187"/>
      <c r="U6" s="3188"/>
      <c r="V6" s="3161"/>
      <c r="W6" s="3161"/>
      <c r="X6" s="1815"/>
      <c r="Y6" s="3187"/>
      <c r="Z6" s="3188"/>
      <c r="AA6" s="3160"/>
      <c r="AB6" s="3160"/>
      <c r="AC6" s="3236"/>
    </row>
    <row r="7" spans="1:29" s="116" customFormat="1" ht="15.75" thickBot="1">
      <c r="A7" s="407" t="s">
        <v>2542</v>
      </c>
      <c r="B7" s="408"/>
      <c r="C7" s="409">
        <f>'数据-取费表'!B2</f>
        <v>43405</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42" t="s">
        <v>2543</v>
      </c>
      <c r="Q7" s="3189"/>
      <c r="R7" s="769" t="s">
        <v>17</v>
      </c>
      <c r="S7" s="770">
        <f t="shared" ref="S7:S15" si="0">F7</f>
        <v>0</v>
      </c>
      <c r="T7" s="769" t="s">
        <v>17</v>
      </c>
      <c r="U7" s="770">
        <f t="shared" ref="U7:U15" si="1">H7</f>
        <v>0</v>
      </c>
      <c r="V7" s="769" t="s">
        <v>17</v>
      </c>
      <c r="W7" s="770">
        <f t="shared" ref="W7:W15" si="2">J7</f>
        <v>0</v>
      </c>
      <c r="X7" s="771"/>
      <c r="Y7" s="3162" t="s">
        <v>2543</v>
      </c>
      <c r="Z7" s="3163"/>
      <c r="AA7" s="772" t="e">
        <f>D7/F7</f>
        <v>#DIV/0!</v>
      </c>
      <c r="AB7" s="772" t="e">
        <f>D7/H7</f>
        <v>#DIV/0!</v>
      </c>
      <c r="AC7" s="2672" t="e">
        <f>D7/J7</f>
        <v>#DIV/0!</v>
      </c>
    </row>
    <row r="8" spans="1:29" s="116"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42" t="s">
        <v>2546</v>
      </c>
      <c r="Q8" s="3163"/>
      <c r="R8" s="769" t="s">
        <v>17</v>
      </c>
      <c r="S8" s="770">
        <f t="shared" si="0"/>
        <v>0</v>
      </c>
      <c r="T8" s="769" t="s">
        <v>17</v>
      </c>
      <c r="U8" s="770">
        <f t="shared" si="1"/>
        <v>0</v>
      </c>
      <c r="V8" s="769" t="s">
        <v>17</v>
      </c>
      <c r="W8" s="770">
        <f t="shared" si="2"/>
        <v>0</v>
      </c>
      <c r="X8" s="771"/>
      <c r="Y8" s="3162" t="s">
        <v>2546</v>
      </c>
      <c r="Z8" s="3163"/>
      <c r="AA8" s="772" t="e">
        <f t="shared" ref="AA8:AA47" si="3">D8/F8</f>
        <v>#DIV/0!</v>
      </c>
      <c r="AB8" s="772" t="e">
        <f t="shared" ref="AB8:AB47" si="4">D8/H8</f>
        <v>#DIV/0!</v>
      </c>
      <c r="AC8" s="2672" t="e">
        <f t="shared" ref="AC8:AC47" si="5">D8/J8</f>
        <v>#DIV/0!</v>
      </c>
    </row>
    <row r="9" spans="1:29" s="116" customFormat="1">
      <c r="A9" s="414" t="s">
        <v>2547</v>
      </c>
      <c r="B9" s="70" t="s">
        <v>2548</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76" t="s">
        <v>2549</v>
      </c>
      <c r="Q9" s="1797" t="str">
        <f t="shared" ref="Q9:Q15" si="6">B9</f>
        <v>用途</v>
      </c>
      <c r="R9" s="769" t="s">
        <v>17</v>
      </c>
      <c r="S9" s="770">
        <f t="shared" si="0"/>
        <v>100</v>
      </c>
      <c r="T9" s="769" t="s">
        <v>17</v>
      </c>
      <c r="U9" s="770">
        <f t="shared" si="1"/>
        <v>100</v>
      </c>
      <c r="V9" s="769" t="s">
        <v>17</v>
      </c>
      <c r="W9" s="770">
        <f t="shared" si="2"/>
        <v>100</v>
      </c>
      <c r="X9" s="771"/>
      <c r="Y9" s="3035" t="s">
        <v>2550</v>
      </c>
      <c r="Z9" s="55" t="str">
        <f t="shared" ref="Z9:Z15" si="7">Q9</f>
        <v>用途</v>
      </c>
      <c r="AA9" s="772">
        <f t="shared" si="3"/>
        <v>1</v>
      </c>
      <c r="AB9" s="772">
        <f t="shared" si="4"/>
        <v>1</v>
      </c>
      <c r="AC9" s="2672">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76"/>
      <c r="Q10" s="1797"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2672">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76"/>
      <c r="Q11" s="1797"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2672" t="e">
        <f t="shared" si="5"/>
        <v>#N/A</v>
      </c>
    </row>
    <row r="12" spans="1:29" s="116"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4"/>
      <c r="M12" s="1135"/>
      <c r="N12" s="1135"/>
      <c r="O12" s="1135"/>
      <c r="P12" s="3176"/>
      <c r="Q12" s="1797">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42"/>
      <c r="M13" s="1133"/>
      <c r="N13" s="1133"/>
      <c r="O13" s="1133"/>
      <c r="P13" s="3176"/>
      <c r="Q13" s="1797">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42"/>
      <c r="M14" s="1133"/>
      <c r="N14" s="1133"/>
      <c r="O14" s="1133"/>
      <c r="P14" s="3176"/>
      <c r="Q14" s="1797">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2672">
        <f t="shared" si="5"/>
        <v>1</v>
      </c>
    </row>
    <row r="15" spans="1:29" ht="71.25">
      <c r="A15" s="439" t="s">
        <v>2553</v>
      </c>
      <c r="B15" s="628" t="s">
        <v>2681</v>
      </c>
      <c r="C15" s="267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190" t="s">
        <v>2554</v>
      </c>
      <c r="Q15" s="1812" t="str">
        <f t="shared" si="6"/>
        <v>办公集聚程度</v>
      </c>
      <c r="R15" s="773" t="s">
        <v>17</v>
      </c>
      <c r="S15" s="774">
        <f t="shared" si="0"/>
        <v>100</v>
      </c>
      <c r="T15" s="773" t="s">
        <v>17</v>
      </c>
      <c r="U15" s="774">
        <f t="shared" si="1"/>
        <v>100</v>
      </c>
      <c r="V15" s="773" t="s">
        <v>17</v>
      </c>
      <c r="W15" s="774">
        <f t="shared" si="2"/>
        <v>100</v>
      </c>
      <c r="X15" s="1815"/>
      <c r="Y15" s="3192" t="s">
        <v>2554</v>
      </c>
      <c r="Z15" s="1816" t="str">
        <f t="shared" si="7"/>
        <v>办公集聚程度</v>
      </c>
      <c r="AA15" s="1813">
        <f t="shared" si="3"/>
        <v>1</v>
      </c>
      <c r="AB15" s="1813">
        <f t="shared" si="4"/>
        <v>1</v>
      </c>
      <c r="AC15" s="2675">
        <f t="shared" si="5"/>
        <v>1</v>
      </c>
    </row>
    <row r="16" spans="1:29" ht="15">
      <c r="A16" s="427"/>
      <c r="B16" s="629"/>
      <c r="C16" s="2612"/>
      <c r="D16" s="447"/>
      <c r="E16" s="446"/>
      <c r="F16" s="447"/>
      <c r="G16" s="2612"/>
      <c r="H16" s="449"/>
      <c r="I16" s="446"/>
      <c r="J16" s="447"/>
      <c r="K16" s="614"/>
      <c r="L16" s="1142"/>
      <c r="M16" s="1133"/>
      <c r="N16" s="1133"/>
      <c r="O16" s="1133"/>
      <c r="P16" s="3191"/>
      <c r="Q16" s="1812"/>
      <c r="R16" s="773"/>
      <c r="S16" s="774"/>
      <c r="T16" s="773"/>
      <c r="U16" s="774"/>
      <c r="V16" s="773"/>
      <c r="W16" s="774"/>
      <c r="X16" s="1815"/>
      <c r="Y16" s="3193"/>
      <c r="Z16" s="1816"/>
      <c r="AA16" s="1813">
        <v>1</v>
      </c>
      <c r="AB16" s="1813">
        <v>1</v>
      </c>
      <c r="AC16" s="2675">
        <v>1</v>
      </c>
    </row>
    <row r="17" spans="1:29" ht="71.25">
      <c r="A17" s="427"/>
      <c r="B17" s="630" t="s">
        <v>2089</v>
      </c>
      <c r="C17" s="267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191"/>
      <c r="Q17" s="1812" t="str">
        <f>B17</f>
        <v>交通便捷度</v>
      </c>
      <c r="R17" s="773" t="s">
        <v>17</v>
      </c>
      <c r="S17" s="774">
        <f>F17</f>
        <v>100</v>
      </c>
      <c r="T17" s="773" t="s">
        <v>17</v>
      </c>
      <c r="U17" s="774">
        <f>H17</f>
        <v>100</v>
      </c>
      <c r="V17" s="773" t="s">
        <v>17</v>
      </c>
      <c r="W17" s="774">
        <f>J17</f>
        <v>100</v>
      </c>
      <c r="X17" s="1815"/>
      <c r="Y17" s="3193"/>
      <c r="Z17" s="1816" t="str">
        <f>Q17</f>
        <v>交通便捷度</v>
      </c>
      <c r="AA17" s="1813">
        <f t="shared" si="3"/>
        <v>1</v>
      </c>
      <c r="AB17" s="1813">
        <f t="shared" si="4"/>
        <v>1</v>
      </c>
      <c r="AC17" s="2675">
        <f t="shared" si="5"/>
        <v>1</v>
      </c>
    </row>
    <row r="18" spans="1:29" ht="15">
      <c r="A18" s="427"/>
      <c r="B18" s="631"/>
      <c r="C18" s="2677"/>
      <c r="D18" s="449"/>
      <c r="E18" s="2610"/>
      <c r="F18" s="449"/>
      <c r="G18" s="2611"/>
      <c r="H18" s="447"/>
      <c r="I18" s="2611"/>
      <c r="J18" s="447"/>
      <c r="K18" s="614"/>
      <c r="L18" s="1142"/>
      <c r="M18" s="1133"/>
      <c r="N18" s="1133"/>
      <c r="O18" s="1133"/>
      <c r="P18" s="3191"/>
      <c r="Q18" s="1812"/>
      <c r="R18" s="773"/>
      <c r="S18" s="774"/>
      <c r="T18" s="773"/>
      <c r="U18" s="774"/>
      <c r="V18" s="773"/>
      <c r="W18" s="774"/>
      <c r="X18" s="1815"/>
      <c r="Y18" s="3193"/>
      <c r="Z18" s="1816"/>
      <c r="AA18" s="1813">
        <v>1</v>
      </c>
      <c r="AB18" s="1813">
        <v>1</v>
      </c>
      <c r="AC18" s="2675">
        <v>1</v>
      </c>
    </row>
    <row r="19" spans="1:29" ht="42.75">
      <c r="A19" s="427"/>
      <c r="B19" s="630" t="s">
        <v>2682</v>
      </c>
      <c r="C19" s="267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191"/>
      <c r="Q19" s="1812" t="str">
        <f>B19</f>
        <v>公共配套设施</v>
      </c>
      <c r="R19" s="773" t="s">
        <v>17</v>
      </c>
      <c r="S19" s="774">
        <f>F19</f>
        <v>100</v>
      </c>
      <c r="T19" s="773" t="s">
        <v>17</v>
      </c>
      <c r="U19" s="774">
        <f>H19</f>
        <v>100</v>
      </c>
      <c r="V19" s="773" t="s">
        <v>17</v>
      </c>
      <c r="W19" s="774">
        <f>J19</f>
        <v>100</v>
      </c>
      <c r="X19" s="1815"/>
      <c r="Y19" s="3193"/>
      <c r="Z19" s="1816" t="str">
        <f>Q19</f>
        <v>公共配套设施</v>
      </c>
      <c r="AA19" s="1813">
        <f t="shared" si="3"/>
        <v>1</v>
      </c>
      <c r="AB19" s="1813">
        <f t="shared" si="4"/>
        <v>1</v>
      </c>
      <c r="AC19" s="2675">
        <f t="shared" si="5"/>
        <v>1</v>
      </c>
    </row>
    <row r="20" spans="1:29" ht="15">
      <c r="A20" s="427"/>
      <c r="B20" s="631"/>
      <c r="C20" s="2612"/>
      <c r="D20" s="447"/>
      <c r="E20" s="2605"/>
      <c r="F20" s="447"/>
      <c r="G20" s="2606"/>
      <c r="H20" s="447"/>
      <c r="I20" s="2606"/>
      <c r="J20" s="447"/>
      <c r="K20" s="614"/>
      <c r="L20" s="1142"/>
      <c r="M20" s="1133"/>
      <c r="N20" s="1133"/>
      <c r="O20" s="1133"/>
      <c r="P20" s="3191"/>
      <c r="Q20" s="1812"/>
      <c r="R20" s="773"/>
      <c r="S20" s="774"/>
      <c r="T20" s="773"/>
      <c r="U20" s="774"/>
      <c r="V20" s="773"/>
      <c r="W20" s="774"/>
      <c r="X20" s="1815"/>
      <c r="Y20" s="3193"/>
      <c r="Z20" s="1816"/>
      <c r="AA20" s="1813">
        <v>1</v>
      </c>
      <c r="AB20" s="1813">
        <v>1</v>
      </c>
      <c r="AC20" s="2675">
        <v>1</v>
      </c>
    </row>
    <row r="21" spans="1:29" ht="28.5">
      <c r="A21" s="427"/>
      <c r="B21" s="632" t="s">
        <v>2683</v>
      </c>
      <c r="C21" s="267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191"/>
      <c r="Q21" s="1812" t="str">
        <f>B21</f>
        <v>基础设施水平</v>
      </c>
      <c r="R21" s="773" t="s">
        <v>17</v>
      </c>
      <c r="S21" s="774">
        <f>F21</f>
        <v>100</v>
      </c>
      <c r="T21" s="773" t="s">
        <v>17</v>
      </c>
      <c r="U21" s="774">
        <f>H21</f>
        <v>100</v>
      </c>
      <c r="V21" s="773" t="s">
        <v>17</v>
      </c>
      <c r="W21" s="774">
        <f>J21</f>
        <v>100</v>
      </c>
      <c r="X21" s="1815"/>
      <c r="Y21" s="3193"/>
      <c r="Z21" s="1816" t="str">
        <f>Q21</f>
        <v>基础设施水平</v>
      </c>
      <c r="AA21" s="1813">
        <f t="shared" ref="AA21" si="8">D21/F21</f>
        <v>1</v>
      </c>
      <c r="AB21" s="1813">
        <f t="shared" ref="AB21" si="9">D21/H21</f>
        <v>1</v>
      </c>
      <c r="AC21" s="2675">
        <f t="shared" ref="AC21" si="10">D21/J21</f>
        <v>1</v>
      </c>
    </row>
    <row r="22" spans="1:29" ht="15">
      <c r="A22" s="427"/>
      <c r="B22" s="632"/>
      <c r="C22" s="2677"/>
      <c r="D22" s="447"/>
      <c r="E22" s="446"/>
      <c r="F22" s="447"/>
      <c r="G22" s="2612"/>
      <c r="H22" s="447"/>
      <c r="I22" s="2612"/>
      <c r="J22" s="447"/>
      <c r="K22" s="1385"/>
      <c r="L22" s="1142"/>
      <c r="M22" s="1133"/>
      <c r="N22" s="1133"/>
      <c r="O22" s="1133"/>
      <c r="P22" s="3191"/>
      <c r="Q22" s="1812"/>
      <c r="R22" s="773"/>
      <c r="S22" s="774"/>
      <c r="T22" s="773"/>
      <c r="U22" s="774"/>
      <c r="V22" s="773"/>
      <c r="W22" s="774"/>
      <c r="X22" s="1815"/>
      <c r="Y22" s="3193"/>
      <c r="Z22" s="1816"/>
      <c r="AA22" s="1813">
        <v>1</v>
      </c>
      <c r="AB22" s="1813">
        <v>1</v>
      </c>
      <c r="AC22" s="2675">
        <v>1</v>
      </c>
    </row>
    <row r="23" spans="1:29" ht="42.75">
      <c r="A23" s="427"/>
      <c r="B23" s="630" t="s">
        <v>2684</v>
      </c>
      <c r="C23" s="267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191"/>
      <c r="Q23" s="1812" t="str">
        <f>B23</f>
        <v>环境质量</v>
      </c>
      <c r="R23" s="773" t="s">
        <v>17</v>
      </c>
      <c r="S23" s="774">
        <f>F23</f>
        <v>100</v>
      </c>
      <c r="T23" s="773" t="s">
        <v>17</v>
      </c>
      <c r="U23" s="774">
        <f>H23</f>
        <v>100</v>
      </c>
      <c r="V23" s="773" t="s">
        <v>17</v>
      </c>
      <c r="W23" s="774">
        <f>J23</f>
        <v>100</v>
      </c>
      <c r="X23" s="1815"/>
      <c r="Y23" s="3193"/>
      <c r="Z23" s="1816" t="str">
        <f>Q23</f>
        <v>环境质量</v>
      </c>
      <c r="AA23" s="1813">
        <f t="shared" si="3"/>
        <v>1</v>
      </c>
      <c r="AB23" s="1813">
        <f t="shared" si="4"/>
        <v>1</v>
      </c>
      <c r="AC23" s="2675">
        <f t="shared" si="5"/>
        <v>1</v>
      </c>
    </row>
    <row r="24" spans="1:29" ht="15">
      <c r="A24" s="427"/>
      <c r="B24" s="632"/>
      <c r="C24" s="2612"/>
      <c r="D24" s="447"/>
      <c r="E24" s="2605"/>
      <c r="F24" s="447"/>
      <c r="G24" s="2606"/>
      <c r="H24" s="447"/>
      <c r="I24" s="2606"/>
      <c r="J24" s="447"/>
      <c r="K24" s="614"/>
      <c r="L24" s="1142"/>
      <c r="M24" s="1133"/>
      <c r="N24" s="1133"/>
      <c r="O24" s="1133"/>
      <c r="P24" s="3191"/>
      <c r="Q24" s="1812"/>
      <c r="R24" s="773"/>
      <c r="S24" s="774"/>
      <c r="T24" s="773"/>
      <c r="U24" s="774"/>
      <c r="V24" s="773"/>
      <c r="W24" s="774"/>
      <c r="X24" s="1815"/>
      <c r="Y24" s="3193"/>
      <c r="Z24" s="1816"/>
      <c r="AA24" s="1813">
        <v>1</v>
      </c>
      <c r="AB24" s="1813">
        <v>1</v>
      </c>
      <c r="AC24" s="2675">
        <v>1</v>
      </c>
    </row>
    <row r="25" spans="1:29" ht="27">
      <c r="A25" s="403"/>
      <c r="B25" s="630" t="s">
        <v>2685</v>
      </c>
      <c r="C25" s="2616"/>
      <c r="D25" s="434">
        <v>100</v>
      </c>
      <c r="E25" s="433"/>
      <c r="F25" s="434">
        <f>SUMIF(87:87,E26,88:88)-SUMIF(87:87,C26,88:88)+100</f>
        <v>100</v>
      </c>
      <c r="G25" s="2616"/>
      <c r="H25" s="434">
        <f>SUMIF(87:87,G26,88:88)-SUMIF(87:87,C26,88:88)+100</f>
        <v>100</v>
      </c>
      <c r="I25" s="433"/>
      <c r="J25" s="434">
        <f>SUMIF(87:87,I26,88:88)-SUMIF(87:87,C26,88:88)+100</f>
        <v>100</v>
      </c>
      <c r="K25" s="613"/>
      <c r="L25" s="1142"/>
      <c r="M25" s="1133"/>
      <c r="N25" s="1133"/>
      <c r="O25" s="1133"/>
      <c r="P25" s="3191"/>
      <c r="Q25" s="1812" t="str">
        <f>B25</f>
        <v>毗邻道路的类型与等级</v>
      </c>
      <c r="R25" s="773" t="s">
        <v>17</v>
      </c>
      <c r="S25" s="774">
        <f>F25</f>
        <v>100</v>
      </c>
      <c r="T25" s="773" t="s">
        <v>17</v>
      </c>
      <c r="U25" s="774">
        <f>H25</f>
        <v>100</v>
      </c>
      <c r="V25" s="773" t="s">
        <v>17</v>
      </c>
      <c r="W25" s="774">
        <f>J25</f>
        <v>100</v>
      </c>
      <c r="X25" s="1815"/>
      <c r="Y25" s="3193"/>
      <c r="Z25" s="1816" t="str">
        <f>Q25</f>
        <v>毗邻道路的类型与等级</v>
      </c>
      <c r="AA25" s="1813">
        <f t="shared" si="3"/>
        <v>1</v>
      </c>
      <c r="AB25" s="1813">
        <f t="shared" si="4"/>
        <v>1</v>
      </c>
      <c r="AC25" s="2675">
        <f t="shared" si="5"/>
        <v>1</v>
      </c>
    </row>
    <row r="26" spans="1:29" ht="15">
      <c r="A26" s="403"/>
      <c r="B26" s="631"/>
      <c r="C26" s="633"/>
      <c r="D26" s="434"/>
      <c r="E26" s="615"/>
      <c r="F26" s="434"/>
      <c r="G26" s="633"/>
      <c r="H26" s="434"/>
      <c r="I26" s="615"/>
      <c r="J26" s="434"/>
      <c r="K26" s="614"/>
      <c r="L26" s="1142"/>
      <c r="M26" s="1133"/>
      <c r="N26" s="1133"/>
      <c r="O26" s="1133"/>
      <c r="P26" s="3191"/>
      <c r="Q26" s="1812"/>
      <c r="R26" s="773"/>
      <c r="S26" s="774"/>
      <c r="T26" s="773"/>
      <c r="U26" s="774"/>
      <c r="V26" s="773"/>
      <c r="W26" s="774"/>
      <c r="X26" s="1815"/>
      <c r="Y26" s="3193"/>
      <c r="Z26" s="1816"/>
      <c r="AA26" s="1813">
        <v>1</v>
      </c>
      <c r="AB26" s="1813">
        <v>1</v>
      </c>
      <c r="AC26" s="2675">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191"/>
      <c r="Q27" s="1812" t="str">
        <f t="shared" ref="Q27:Q47" si="11">B27</f>
        <v>楼层</v>
      </c>
      <c r="R27" s="773" t="s">
        <v>17</v>
      </c>
      <c r="S27" s="774">
        <f>F27</f>
        <v>100</v>
      </c>
      <c r="T27" s="773" t="s">
        <v>17</v>
      </c>
      <c r="U27" s="774">
        <f>H27</f>
        <v>100</v>
      </c>
      <c r="V27" s="773" t="s">
        <v>17</v>
      </c>
      <c r="W27" s="774">
        <f>J27</f>
        <v>100</v>
      </c>
      <c r="X27" s="1815"/>
      <c r="Y27" s="3193"/>
      <c r="Z27" s="1816" t="str">
        <f>Q27</f>
        <v>楼层</v>
      </c>
      <c r="AA27" s="1813">
        <f t="shared" si="3"/>
        <v>1</v>
      </c>
      <c r="AB27" s="1813">
        <f t="shared" si="4"/>
        <v>1</v>
      </c>
      <c r="AC27" s="2675">
        <f t="shared" si="5"/>
        <v>1</v>
      </c>
    </row>
    <row r="28" spans="1:29" s="116" customFormat="1" ht="15">
      <c r="A28" s="430"/>
      <c r="B28" s="630" t="s">
        <v>2686</v>
      </c>
      <c r="C28" s="2678"/>
      <c r="D28" s="461">
        <v>100</v>
      </c>
      <c r="E28" s="2666"/>
      <c r="F28" s="461">
        <f>SUMIF(91:91,E28,92:92)-SUMIF(91:91,C28,92:92)+100</f>
        <v>100</v>
      </c>
      <c r="G28" s="2678"/>
      <c r="H28" s="461">
        <f>SUMIF(91:91,G28,92:92)-SUMIF(91:91,C28,92:92)+100</f>
        <v>100</v>
      </c>
      <c r="I28" s="2666"/>
      <c r="J28" s="461">
        <f>SUMIF(91:91,I28,92:92)-SUMIF(91:91,C28,92:92)+100</f>
        <v>100</v>
      </c>
      <c r="K28" s="611"/>
      <c r="L28" s="1134"/>
      <c r="M28" s="1135"/>
      <c r="N28" s="1135"/>
      <c r="O28" s="1135"/>
      <c r="P28" s="3191"/>
      <c r="Q28" s="1797" t="str">
        <f t="shared" si="11"/>
        <v>朝向</v>
      </c>
      <c r="R28" s="769" t="s">
        <v>17</v>
      </c>
      <c r="S28" s="770">
        <f>F28</f>
        <v>100</v>
      </c>
      <c r="T28" s="769" t="s">
        <v>17</v>
      </c>
      <c r="U28" s="770">
        <f>H28</f>
        <v>100</v>
      </c>
      <c r="V28" s="769" t="s">
        <v>17</v>
      </c>
      <c r="W28" s="770">
        <f>J28</f>
        <v>100</v>
      </c>
      <c r="X28" s="771"/>
      <c r="Y28" s="3193"/>
      <c r="Z28" s="55" t="str">
        <f>Q28</f>
        <v>朝向</v>
      </c>
      <c r="AA28" s="1813">
        <f>D28/F28</f>
        <v>1</v>
      </c>
      <c r="AB28" s="1813">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42"/>
      <c r="M29" s="1133"/>
      <c r="N29" s="1133"/>
      <c r="O29" s="1133"/>
      <c r="P29" s="3191"/>
      <c r="Q29" s="1812">
        <f t="shared" si="11"/>
        <v>111</v>
      </c>
      <c r="R29" s="773" t="s">
        <v>17</v>
      </c>
      <c r="S29" s="774">
        <f t="shared" ref="S29:S47" si="12">F29</f>
        <v>100</v>
      </c>
      <c r="T29" s="773" t="s">
        <v>17</v>
      </c>
      <c r="U29" s="774">
        <f t="shared" ref="U29:U47" si="13">H29</f>
        <v>100</v>
      </c>
      <c r="V29" s="773" t="s">
        <v>17</v>
      </c>
      <c r="W29" s="774">
        <f t="shared" ref="W29:W47" si="14">J29</f>
        <v>100</v>
      </c>
      <c r="X29" s="1815"/>
      <c r="Y29" s="3193"/>
      <c r="Z29" s="1816">
        <f t="shared" ref="Z29:Z47" si="15">Q29</f>
        <v>111</v>
      </c>
      <c r="AA29" s="1813">
        <f t="shared" si="3"/>
        <v>1</v>
      </c>
      <c r="AB29" s="1813">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42"/>
      <c r="M30" s="1133"/>
      <c r="N30" s="1133"/>
      <c r="O30" s="1133"/>
      <c r="P30" s="3191"/>
      <c r="Q30" s="1812">
        <f t="shared" si="11"/>
        <v>111</v>
      </c>
      <c r="R30" s="773" t="s">
        <v>17</v>
      </c>
      <c r="S30" s="774">
        <f t="shared" si="12"/>
        <v>100</v>
      </c>
      <c r="T30" s="773" t="s">
        <v>17</v>
      </c>
      <c r="U30" s="774">
        <f t="shared" si="13"/>
        <v>100</v>
      </c>
      <c r="V30" s="773" t="s">
        <v>17</v>
      </c>
      <c r="W30" s="774">
        <f t="shared" si="14"/>
        <v>100</v>
      </c>
      <c r="X30" s="1815"/>
      <c r="Y30" s="3193"/>
      <c r="Z30" s="1816">
        <f t="shared" si="15"/>
        <v>111</v>
      </c>
      <c r="AA30" s="1813">
        <f t="shared" si="3"/>
        <v>1</v>
      </c>
      <c r="AB30" s="1813">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42"/>
      <c r="M31" s="1133"/>
      <c r="N31" s="1133"/>
      <c r="O31" s="1133"/>
      <c r="P31" s="3191"/>
      <c r="Q31" s="1812">
        <f t="shared" si="11"/>
        <v>111</v>
      </c>
      <c r="R31" s="773" t="s">
        <v>17</v>
      </c>
      <c r="S31" s="774">
        <f t="shared" si="12"/>
        <v>100</v>
      </c>
      <c r="T31" s="773" t="s">
        <v>17</v>
      </c>
      <c r="U31" s="774">
        <f t="shared" si="13"/>
        <v>100</v>
      </c>
      <c r="V31" s="773" t="s">
        <v>17</v>
      </c>
      <c r="W31" s="774">
        <f t="shared" si="14"/>
        <v>100</v>
      </c>
      <c r="X31" s="1815"/>
      <c r="Y31" s="3193"/>
      <c r="Z31" s="1816">
        <f t="shared" si="15"/>
        <v>111</v>
      </c>
      <c r="AA31" s="1813">
        <f t="shared" si="3"/>
        <v>1</v>
      </c>
      <c r="AB31" s="1813">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42"/>
      <c r="M32" s="1133"/>
      <c r="N32" s="1133"/>
      <c r="O32" s="1133"/>
      <c r="P32" s="3191"/>
      <c r="Q32" s="1812">
        <f t="shared" si="11"/>
        <v>111</v>
      </c>
      <c r="R32" s="773" t="s">
        <v>17</v>
      </c>
      <c r="S32" s="774">
        <f t="shared" si="12"/>
        <v>100</v>
      </c>
      <c r="T32" s="773" t="s">
        <v>17</v>
      </c>
      <c r="U32" s="774">
        <f t="shared" si="13"/>
        <v>100</v>
      </c>
      <c r="V32" s="773" t="s">
        <v>17</v>
      </c>
      <c r="W32" s="774">
        <f t="shared" si="14"/>
        <v>100</v>
      </c>
      <c r="X32" s="1815"/>
      <c r="Y32" s="3193"/>
      <c r="Z32" s="1816">
        <f t="shared" si="15"/>
        <v>111</v>
      </c>
      <c r="AA32" s="1813">
        <f t="shared" si="3"/>
        <v>1</v>
      </c>
      <c r="AB32" s="1813">
        <f t="shared" si="4"/>
        <v>1</v>
      </c>
      <c r="AC32" s="2675">
        <f t="shared" si="5"/>
        <v>1</v>
      </c>
    </row>
    <row r="33" spans="1:29" ht="15">
      <c r="A33" s="439" t="s">
        <v>2557</v>
      </c>
      <c r="B33" s="70" t="s">
        <v>2687</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42"/>
      <c r="M33" s="1133"/>
      <c r="N33" s="1133"/>
      <c r="O33" s="1133"/>
      <c r="P33" s="3194" t="s">
        <v>2559</v>
      </c>
      <c r="Q33" s="1812" t="str">
        <f t="shared" si="11"/>
        <v>建筑类型</v>
      </c>
      <c r="R33" s="773" t="s">
        <v>17</v>
      </c>
      <c r="S33" s="774">
        <f t="shared" si="12"/>
        <v>100</v>
      </c>
      <c r="T33" s="773" t="s">
        <v>17</v>
      </c>
      <c r="U33" s="774">
        <f t="shared" si="13"/>
        <v>100</v>
      </c>
      <c r="V33" s="773" t="s">
        <v>17</v>
      </c>
      <c r="W33" s="774">
        <f t="shared" si="14"/>
        <v>100</v>
      </c>
      <c r="X33" s="1815"/>
      <c r="Y33" s="3197" t="s">
        <v>2559</v>
      </c>
      <c r="Z33" s="1816" t="str">
        <f t="shared" si="15"/>
        <v>建筑类型</v>
      </c>
      <c r="AA33" s="1813">
        <f t="shared" si="3"/>
        <v>1</v>
      </c>
      <c r="AB33" s="1813">
        <f t="shared" si="4"/>
        <v>1</v>
      </c>
      <c r="AC33" s="2675">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195"/>
      <c r="Q34" s="775" t="str">
        <f t="shared" si="11"/>
        <v>项目建筑规模</v>
      </c>
      <c r="R34" s="776" t="s">
        <v>17</v>
      </c>
      <c r="S34" s="777" t="e">
        <f t="shared" si="12"/>
        <v>#N/A</v>
      </c>
      <c r="T34" s="776" t="s">
        <v>17</v>
      </c>
      <c r="U34" s="777" t="e">
        <f t="shared" si="13"/>
        <v>#N/A</v>
      </c>
      <c r="V34" s="776" t="s">
        <v>17</v>
      </c>
      <c r="W34" s="777" t="e">
        <f t="shared" si="14"/>
        <v>#N/A</v>
      </c>
      <c r="X34" s="778"/>
      <c r="Y34" s="3197"/>
      <c r="Z34" s="779" t="str">
        <f t="shared" si="15"/>
        <v>项目建筑规模</v>
      </c>
      <c r="AA34" s="1813" t="e">
        <f t="shared" si="3"/>
        <v>#N/A</v>
      </c>
      <c r="AB34" s="1813" t="e">
        <f t="shared" si="4"/>
        <v>#N/A</v>
      </c>
      <c r="AC34" s="2675"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195"/>
      <c r="Q35" s="1812" t="str">
        <f t="shared" si="11"/>
        <v>建筑结构</v>
      </c>
      <c r="R35" s="773" t="s">
        <v>17</v>
      </c>
      <c r="S35" s="774">
        <f t="shared" si="12"/>
        <v>100</v>
      </c>
      <c r="T35" s="773" t="s">
        <v>17</v>
      </c>
      <c r="U35" s="774">
        <f t="shared" si="13"/>
        <v>100</v>
      </c>
      <c r="V35" s="773" t="s">
        <v>17</v>
      </c>
      <c r="W35" s="774">
        <f t="shared" si="14"/>
        <v>100</v>
      </c>
      <c r="X35" s="1815"/>
      <c r="Y35" s="3197"/>
      <c r="Z35" s="1816" t="str">
        <f t="shared" si="15"/>
        <v>建筑结构</v>
      </c>
      <c r="AA35" s="1813">
        <f t="shared" si="3"/>
        <v>1</v>
      </c>
      <c r="AB35" s="1813">
        <f t="shared" si="4"/>
        <v>1</v>
      </c>
      <c r="AC35" s="2675">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195"/>
      <c r="Q36" s="1812" t="str">
        <f t="shared" si="11"/>
        <v>公共部分装修</v>
      </c>
      <c r="R36" s="773" t="s">
        <v>17</v>
      </c>
      <c r="S36" s="774">
        <f t="shared" si="12"/>
        <v>100</v>
      </c>
      <c r="T36" s="773" t="s">
        <v>17</v>
      </c>
      <c r="U36" s="774">
        <f t="shared" si="13"/>
        <v>100</v>
      </c>
      <c r="V36" s="773" t="s">
        <v>17</v>
      </c>
      <c r="W36" s="774">
        <f t="shared" si="14"/>
        <v>100</v>
      </c>
      <c r="X36" s="1815"/>
      <c r="Y36" s="3197"/>
      <c r="Z36" s="1816" t="str">
        <f t="shared" si="15"/>
        <v>公共部分装修</v>
      </c>
      <c r="AA36" s="1813">
        <f t="shared" si="3"/>
        <v>1</v>
      </c>
      <c r="AB36" s="1813">
        <f t="shared" si="4"/>
        <v>1</v>
      </c>
      <c r="AC36" s="2675">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195"/>
      <c r="Q37" s="1812" t="str">
        <f t="shared" si="11"/>
        <v>成新度</v>
      </c>
      <c r="R37" s="773" t="s">
        <v>17</v>
      </c>
      <c r="S37" s="774" t="e">
        <f t="shared" si="12"/>
        <v>#N/A</v>
      </c>
      <c r="T37" s="773" t="s">
        <v>17</v>
      </c>
      <c r="U37" s="774" t="e">
        <f t="shared" si="13"/>
        <v>#N/A</v>
      </c>
      <c r="V37" s="773" t="s">
        <v>17</v>
      </c>
      <c r="W37" s="774" t="e">
        <f t="shared" si="14"/>
        <v>#N/A</v>
      </c>
      <c r="X37" s="1815"/>
      <c r="Y37" s="3197"/>
      <c r="Z37" s="1816" t="str">
        <f t="shared" si="15"/>
        <v>成新度</v>
      </c>
      <c r="AA37" s="1813" t="e">
        <f t="shared" si="3"/>
        <v>#N/A</v>
      </c>
      <c r="AB37" s="1813" t="e">
        <f t="shared" si="4"/>
        <v>#N/A</v>
      </c>
      <c r="AC37" s="2675"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195"/>
      <c r="Q38" s="1797" t="str">
        <f t="shared" si="11"/>
        <v>写字楼等级</v>
      </c>
      <c r="R38" s="769" t="s">
        <v>17</v>
      </c>
      <c r="S38" s="770">
        <f t="shared" si="12"/>
        <v>100</v>
      </c>
      <c r="T38" s="769" t="s">
        <v>17</v>
      </c>
      <c r="U38" s="770">
        <f t="shared" si="13"/>
        <v>100</v>
      </c>
      <c r="V38" s="769" t="s">
        <v>17</v>
      </c>
      <c r="W38" s="770">
        <f t="shared" si="14"/>
        <v>100</v>
      </c>
      <c r="X38" s="771"/>
      <c r="Y38" s="3197"/>
      <c r="Z38" s="55" t="str">
        <f t="shared" si="15"/>
        <v>写字楼等级</v>
      </c>
      <c r="AA38" s="772">
        <f t="shared" si="3"/>
        <v>1</v>
      </c>
      <c r="AB38" s="772">
        <f t="shared" si="4"/>
        <v>1</v>
      </c>
      <c r="AC38" s="2672">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195" t="s">
        <v>2559</v>
      </c>
      <c r="Q39" s="1812" t="str">
        <f t="shared" si="11"/>
        <v>物业管理</v>
      </c>
      <c r="R39" s="773" t="s">
        <v>17</v>
      </c>
      <c r="S39" s="774">
        <f t="shared" si="12"/>
        <v>100</v>
      </c>
      <c r="T39" s="773" t="s">
        <v>17</v>
      </c>
      <c r="U39" s="774">
        <f t="shared" si="13"/>
        <v>100</v>
      </c>
      <c r="V39" s="773" t="s">
        <v>17</v>
      </c>
      <c r="W39" s="774">
        <f t="shared" si="14"/>
        <v>100</v>
      </c>
      <c r="X39" s="1815"/>
      <c r="Y39" s="3197" t="s">
        <v>2559</v>
      </c>
      <c r="Z39" s="1816" t="str">
        <f t="shared" si="15"/>
        <v>物业管理</v>
      </c>
      <c r="AA39" s="1813">
        <f t="shared" si="3"/>
        <v>1</v>
      </c>
      <c r="AB39" s="1813">
        <f t="shared" si="4"/>
        <v>1</v>
      </c>
      <c r="AC39" s="2675">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195"/>
      <c r="Q40" s="1812" t="str">
        <f t="shared" si="11"/>
        <v>市政基础设施</v>
      </c>
      <c r="R40" s="773" t="s">
        <v>17</v>
      </c>
      <c r="S40" s="774">
        <f t="shared" si="12"/>
        <v>100</v>
      </c>
      <c r="T40" s="773" t="s">
        <v>17</v>
      </c>
      <c r="U40" s="774">
        <f t="shared" si="13"/>
        <v>100</v>
      </c>
      <c r="V40" s="773" t="s">
        <v>17</v>
      </c>
      <c r="W40" s="774">
        <f t="shared" si="14"/>
        <v>100</v>
      </c>
      <c r="X40" s="1815"/>
      <c r="Y40" s="3197"/>
      <c r="Z40" s="1816" t="str">
        <f t="shared" si="15"/>
        <v>市政基础设施</v>
      </c>
      <c r="AA40" s="1813">
        <f t="shared" si="3"/>
        <v>1</v>
      </c>
      <c r="AB40" s="1813">
        <f t="shared" si="4"/>
        <v>1</v>
      </c>
      <c r="AC40" s="2675">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195"/>
      <c r="Q41" s="1812" t="str">
        <f t="shared" si="11"/>
        <v>层高</v>
      </c>
      <c r="R41" s="773" t="s">
        <v>17</v>
      </c>
      <c r="S41" s="774">
        <f t="shared" si="12"/>
        <v>100</v>
      </c>
      <c r="T41" s="773" t="s">
        <v>17</v>
      </c>
      <c r="U41" s="774">
        <f t="shared" si="13"/>
        <v>100</v>
      </c>
      <c r="V41" s="773" t="s">
        <v>17</v>
      </c>
      <c r="W41" s="774">
        <f t="shared" si="14"/>
        <v>100</v>
      </c>
      <c r="X41" s="1815"/>
      <c r="Y41" s="3197"/>
      <c r="Z41" s="1816" t="str">
        <f t="shared" si="15"/>
        <v>层高</v>
      </c>
      <c r="AA41" s="1813">
        <f t="shared" si="3"/>
        <v>1</v>
      </c>
      <c r="AB41" s="1813">
        <f t="shared" si="4"/>
        <v>1</v>
      </c>
      <c r="AC41" s="2675">
        <f t="shared" si="5"/>
        <v>1</v>
      </c>
    </row>
    <row r="42" spans="1:29" s="470" customFormat="1" ht="15">
      <c r="A42" s="467"/>
      <c r="B42" s="1814"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95"/>
      <c r="Q42" s="775" t="str">
        <f t="shared" si="11"/>
        <v>单套建筑面积</v>
      </c>
      <c r="R42" s="776" t="s">
        <v>17</v>
      </c>
      <c r="S42" s="777">
        <f t="shared" si="12"/>
        <v>100</v>
      </c>
      <c r="T42" s="776" t="s">
        <v>17</v>
      </c>
      <c r="U42" s="777">
        <f t="shared" si="13"/>
        <v>100</v>
      </c>
      <c r="V42" s="776" t="s">
        <v>17</v>
      </c>
      <c r="W42" s="777">
        <f t="shared" si="14"/>
        <v>100</v>
      </c>
      <c r="X42" s="778"/>
      <c r="Y42" s="3197"/>
      <c r="Z42" s="779" t="str">
        <f t="shared" si="15"/>
        <v>单套建筑面积</v>
      </c>
      <c r="AA42" s="1813">
        <f t="shared" si="3"/>
        <v>1</v>
      </c>
      <c r="AB42" s="1813">
        <f t="shared" si="4"/>
        <v>1</v>
      </c>
      <c r="AC42" s="2675">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195"/>
      <c r="Q43" s="1812" t="str">
        <f t="shared" si="11"/>
        <v>内部装修</v>
      </c>
      <c r="R43" s="773" t="s">
        <v>17</v>
      </c>
      <c r="S43" s="774">
        <f t="shared" si="12"/>
        <v>100</v>
      </c>
      <c r="T43" s="773" t="s">
        <v>17</v>
      </c>
      <c r="U43" s="774">
        <f t="shared" si="13"/>
        <v>100</v>
      </c>
      <c r="V43" s="773" t="s">
        <v>17</v>
      </c>
      <c r="W43" s="774">
        <f t="shared" si="14"/>
        <v>100</v>
      </c>
      <c r="X43" s="1815"/>
      <c r="Y43" s="3197"/>
      <c r="Z43" s="1816" t="str">
        <f t="shared" si="15"/>
        <v>内部装修</v>
      </c>
      <c r="AA43" s="1813">
        <f t="shared" si="3"/>
        <v>1</v>
      </c>
      <c r="AB43" s="1813">
        <f t="shared" si="4"/>
        <v>1</v>
      </c>
      <c r="AC43" s="2675">
        <f t="shared" si="5"/>
        <v>1</v>
      </c>
    </row>
    <row r="44" spans="1:29" ht="15">
      <c r="A44" s="471"/>
      <c r="B44" s="421" t="s">
        <v>2570</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2"/>
      <c r="M44" s="1133"/>
      <c r="N44" s="1133"/>
      <c r="O44" s="1133"/>
      <c r="P44" s="3195"/>
      <c r="Q44" s="1812" t="str">
        <f t="shared" si="11"/>
        <v>内部装修维护情况</v>
      </c>
      <c r="R44" s="773" t="s">
        <v>17</v>
      </c>
      <c r="S44" s="774">
        <f t="shared" si="12"/>
        <v>100</v>
      </c>
      <c r="T44" s="773" t="s">
        <v>17</v>
      </c>
      <c r="U44" s="774">
        <f t="shared" si="13"/>
        <v>100</v>
      </c>
      <c r="V44" s="773" t="s">
        <v>17</v>
      </c>
      <c r="W44" s="774">
        <f t="shared" si="14"/>
        <v>100</v>
      </c>
      <c r="X44" s="1815"/>
      <c r="Y44" s="3197"/>
      <c r="Z44" s="1816" t="str">
        <f t="shared" si="15"/>
        <v>内部装修维护情况</v>
      </c>
      <c r="AA44" s="1813">
        <f t="shared" si="3"/>
        <v>1</v>
      </c>
      <c r="AB44" s="1813">
        <f t="shared" si="4"/>
        <v>1</v>
      </c>
      <c r="AC44" s="2675">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195"/>
      <c r="Q45" s="1797">
        <f t="shared" si="11"/>
        <v>111</v>
      </c>
      <c r="R45" s="769" t="s">
        <v>17</v>
      </c>
      <c r="S45" s="770">
        <f t="shared" si="12"/>
        <v>100</v>
      </c>
      <c r="T45" s="769" t="s">
        <v>17</v>
      </c>
      <c r="U45" s="770">
        <f t="shared" si="13"/>
        <v>100</v>
      </c>
      <c r="V45" s="769" t="s">
        <v>17</v>
      </c>
      <c r="W45" s="770">
        <f t="shared" si="14"/>
        <v>100</v>
      </c>
      <c r="X45" s="771"/>
      <c r="Y45" s="3197"/>
      <c r="Z45" s="55">
        <f t="shared" si="15"/>
        <v>111</v>
      </c>
      <c r="AA45" s="772">
        <f t="shared" si="3"/>
        <v>1</v>
      </c>
      <c r="AB45" s="772">
        <f t="shared" si="4"/>
        <v>1</v>
      </c>
      <c r="AC45" s="2672">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195"/>
      <c r="Q46" s="1812">
        <f t="shared" si="11"/>
        <v>111</v>
      </c>
      <c r="R46" s="773" t="s">
        <v>17</v>
      </c>
      <c r="S46" s="774">
        <f t="shared" si="12"/>
        <v>100</v>
      </c>
      <c r="T46" s="773" t="s">
        <v>17</v>
      </c>
      <c r="U46" s="774">
        <f t="shared" si="13"/>
        <v>100</v>
      </c>
      <c r="V46" s="773" t="s">
        <v>17</v>
      </c>
      <c r="W46" s="774">
        <f t="shared" si="14"/>
        <v>100</v>
      </c>
      <c r="X46" s="1815"/>
      <c r="Y46" s="3197"/>
      <c r="Z46" s="1816">
        <f t="shared" si="15"/>
        <v>111</v>
      </c>
      <c r="AA46" s="1813">
        <f t="shared" si="3"/>
        <v>1</v>
      </c>
      <c r="AB46" s="1813">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96"/>
      <c r="Q47" s="1812">
        <f t="shared" si="11"/>
        <v>111</v>
      </c>
      <c r="R47" s="773" t="s">
        <v>17</v>
      </c>
      <c r="S47" s="774">
        <f t="shared" si="12"/>
        <v>100</v>
      </c>
      <c r="T47" s="773" t="s">
        <v>17</v>
      </c>
      <c r="U47" s="774">
        <f t="shared" si="13"/>
        <v>100</v>
      </c>
      <c r="V47" s="773" t="s">
        <v>17</v>
      </c>
      <c r="W47" s="774">
        <f t="shared" si="14"/>
        <v>100</v>
      </c>
      <c r="X47" s="1815"/>
      <c r="Y47" s="3198"/>
      <c r="Z47" s="1816">
        <f t="shared" si="15"/>
        <v>111</v>
      </c>
      <c r="AA47" s="1813">
        <f t="shared" si="3"/>
        <v>1</v>
      </c>
      <c r="AB47" s="1813">
        <f t="shared" si="4"/>
        <v>1</v>
      </c>
      <c r="AC47" s="2675">
        <f t="shared" si="5"/>
        <v>1</v>
      </c>
    </row>
    <row r="48" spans="1:29" ht="15">
      <c r="A48" s="478" t="s">
        <v>2571</v>
      </c>
      <c r="B48" s="479"/>
      <c r="C48" s="1409" t="s">
        <v>1</v>
      </c>
      <c r="D48" s="1410"/>
      <c r="E48" s="1411"/>
      <c r="F48" s="1412"/>
      <c r="G48" s="1413"/>
      <c r="H48" s="1414"/>
      <c r="I48" s="1411"/>
      <c r="J48" s="484"/>
      <c r="K48" s="782"/>
      <c r="L48" s="1145"/>
      <c r="M48" s="1133"/>
      <c r="N48" s="1133"/>
      <c r="O48" s="1133"/>
      <c r="P48" s="3176" t="str">
        <f>A48</f>
        <v>成交单价（元/平方米）</v>
      </c>
      <c r="Q48" s="3199"/>
      <c r="R48" s="3200">
        <f>E48</f>
        <v>0</v>
      </c>
      <c r="S48" s="3200"/>
      <c r="T48" s="3200">
        <f>G48</f>
        <v>0</v>
      </c>
      <c r="U48" s="3200"/>
      <c r="V48" s="3200">
        <f>I48</f>
        <v>0</v>
      </c>
      <c r="W48" s="3200"/>
      <c r="X48" s="445"/>
      <c r="Y48" s="780"/>
      <c r="Z48" s="445"/>
      <c r="AA48" s="445"/>
      <c r="AB48" s="445"/>
      <c r="AC48" s="629"/>
    </row>
    <row r="49" spans="1:29" ht="15.75" thickBot="1">
      <c r="A49" s="485" t="s">
        <v>2663</v>
      </c>
      <c r="B49" s="486"/>
      <c r="C49" s="1415" t="e">
        <f>R50</f>
        <v>#DIV/0!</v>
      </c>
      <c r="D49" s="1416"/>
      <c r="E49" s="1417" t="e">
        <f>R49</f>
        <v>#DIV/0!</v>
      </c>
      <c r="F49" s="1417"/>
      <c r="G49" s="1415" t="e">
        <f>T49</f>
        <v>#DIV/0!</v>
      </c>
      <c r="H49" s="1416"/>
      <c r="I49" s="1417" t="e">
        <f>V49</f>
        <v>#DIV/0!</v>
      </c>
      <c r="J49" s="488"/>
      <c r="K49" s="783"/>
      <c r="L49" s="1145"/>
      <c r="M49" s="1133"/>
      <c r="N49" s="1133"/>
      <c r="O49" s="1133"/>
      <c r="P49" s="3176" t="str">
        <f>A49</f>
        <v>比较价值（元/平方米）</v>
      </c>
      <c r="Q49" s="3199"/>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445"/>
      <c r="Y49" s="445"/>
      <c r="Z49" s="445"/>
      <c r="AA49" s="445"/>
      <c r="AB49" s="445"/>
      <c r="AC49" s="629"/>
    </row>
    <row r="50" spans="1:29" ht="15.75" thickBot="1">
      <c r="A50" s="491" t="s">
        <v>2664</v>
      </c>
      <c r="B50" s="492"/>
      <c r="C50" s="1419" t="e">
        <f>R50</f>
        <v>#DIV/0!</v>
      </c>
      <c r="D50" s="1419"/>
      <c r="E50" s="1419"/>
      <c r="F50" s="1419"/>
      <c r="G50" s="1419"/>
      <c r="H50" s="1419"/>
      <c r="I50" s="1419"/>
      <c r="J50" s="493"/>
      <c r="K50" s="784"/>
      <c r="L50" s="1145"/>
      <c r="M50" s="1133"/>
      <c r="N50" s="1133"/>
      <c r="O50" s="1133"/>
      <c r="P50" s="3243" t="str">
        <f>A50</f>
        <v>估价对象XX用房的比较价值（楼面单价，元/平方米）</v>
      </c>
      <c r="Q50" s="3244"/>
      <c r="R50" s="3245" t="e">
        <f>IF(F1="售价",ROUND(AVERAGE(R49:V49),0),ROUND(AVERAGE(R49:V49),1))</f>
        <v>#DIV/0!</v>
      </c>
      <c r="S50" s="3245"/>
      <c r="T50" s="3245"/>
      <c r="U50" s="3245"/>
      <c r="V50" s="3245"/>
      <c r="W50" s="3245"/>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1"/>
    </row>
    <row r="56" spans="1:29" s="501"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2" t="s">
        <v>2668</v>
      </c>
      <c r="B58" s="758"/>
      <c r="C58" s="763"/>
      <c r="D58" s="763"/>
      <c r="E58" s="763"/>
      <c r="F58" s="764"/>
      <c r="G58" s="764"/>
      <c r="H58" s="763"/>
      <c r="I58" s="763"/>
      <c r="J58" s="763"/>
      <c r="K58" s="765"/>
      <c r="L58" s="1163"/>
      <c r="M58" s="1161"/>
      <c r="N58" s="1161"/>
      <c r="O58" s="1161"/>
      <c r="P58" s="2682"/>
      <c r="Q58" s="503"/>
    </row>
    <row r="59" spans="1:29" s="507" customFormat="1" ht="15">
      <c r="A59" s="504" t="s">
        <v>2542</v>
      </c>
      <c r="B59" s="505"/>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6" customFormat="1" ht="15">
      <c r="A60" s="508"/>
      <c r="B60" s="509"/>
      <c r="C60" s="1575">
        <v>100</v>
      </c>
      <c r="D60" s="511"/>
      <c r="E60" s="511"/>
      <c r="F60" s="511"/>
      <c r="G60" s="511"/>
      <c r="H60" s="511"/>
      <c r="I60" s="511"/>
      <c r="J60" s="511"/>
      <c r="K60" s="511"/>
      <c r="L60" s="511"/>
      <c r="M60" s="512"/>
      <c r="N60" s="511"/>
      <c r="O60" s="512"/>
      <c r="P60" s="2683"/>
    </row>
    <row r="61" spans="1:29" s="116" customFormat="1" ht="15.75" thickBot="1">
      <c r="A61" s="514" t="s">
        <v>2579</v>
      </c>
      <c r="B61" s="515"/>
      <c r="C61" s="516"/>
      <c r="D61" s="517"/>
      <c r="E61" s="517"/>
      <c r="F61" s="517"/>
      <c r="G61" s="517"/>
      <c r="H61" s="517"/>
      <c r="I61" s="517"/>
      <c r="J61" s="517"/>
      <c r="K61" s="517"/>
      <c r="L61" s="517"/>
      <c r="M61" s="518"/>
      <c r="N61" s="517"/>
      <c r="O61" s="518"/>
      <c r="P61" s="2683"/>
      <c r="Q61" s="503"/>
    </row>
    <row r="62" spans="1:29" s="116" customFormat="1" ht="15">
      <c r="A62" s="520" t="s">
        <v>2544</v>
      </c>
      <c r="B62" s="509"/>
      <c r="C62" s="521" t="s">
        <v>2646</v>
      </c>
      <c r="D62" s="522"/>
      <c r="E62" s="522"/>
      <c r="F62" s="522"/>
      <c r="G62" s="522"/>
      <c r="H62" s="522"/>
      <c r="I62" s="522"/>
      <c r="J62" s="522"/>
      <c r="K62" s="522"/>
      <c r="L62" s="523"/>
      <c r="M62" s="524"/>
      <c r="N62" s="1153"/>
      <c r="O62" s="1153"/>
      <c r="P62" s="2684"/>
      <c r="Q62" s="503"/>
    </row>
    <row r="63" spans="1:29" s="116" customFormat="1" ht="15.75" thickBot="1">
      <c r="A63" s="520"/>
      <c r="B63" s="509"/>
      <c r="C63" s="510">
        <v>100</v>
      </c>
      <c r="D63" s="511"/>
      <c r="E63" s="511"/>
      <c r="F63" s="511"/>
      <c r="G63" s="511"/>
      <c r="H63" s="511"/>
      <c r="I63" s="511"/>
      <c r="J63" s="511"/>
      <c r="K63" s="511"/>
      <c r="L63" s="511"/>
      <c r="M63" s="513"/>
      <c r="N63" s="1153"/>
      <c r="O63" s="1153"/>
      <c r="P63" s="2683"/>
      <c r="Q63" s="503"/>
    </row>
    <row r="64" spans="1:29">
      <c r="A64" s="526" t="s">
        <v>2582</v>
      </c>
      <c r="B64" s="527" t="s">
        <v>2548</v>
      </c>
      <c r="C64" s="528">
        <f>C9</f>
        <v>0</v>
      </c>
      <c r="D64" s="529"/>
      <c r="E64" s="529"/>
      <c r="F64" s="529"/>
      <c r="G64" s="529"/>
      <c r="H64" s="529"/>
      <c r="I64" s="529"/>
      <c r="J64" s="529"/>
      <c r="K64" s="530"/>
      <c r="L64" s="531"/>
      <c r="M64" s="532"/>
      <c r="N64" s="1154"/>
      <c r="O64" s="1154"/>
      <c r="P64" s="2685"/>
      <c r="Q64" s="503"/>
    </row>
    <row r="65" spans="1:17" ht="15.75" thickBot="1">
      <c r="A65" s="533"/>
      <c r="B65" s="534"/>
      <c r="C65" s="535">
        <v>100</v>
      </c>
      <c r="D65" s="535"/>
      <c r="E65" s="535"/>
      <c r="F65" s="535"/>
      <c r="G65" s="535"/>
      <c r="H65" s="535"/>
      <c r="I65" s="535"/>
      <c r="J65" s="535"/>
      <c r="K65" s="535"/>
      <c r="L65" s="535"/>
      <c r="M65" s="536"/>
      <c r="N65" s="1155"/>
      <c r="O65" s="1155"/>
      <c r="P65" s="2685"/>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4"/>
      <c r="O66" s="1154"/>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5"/>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5"/>
      <c r="Q68" s="503"/>
    </row>
    <row r="69" spans="1:17" ht="15">
      <c r="A69" s="533"/>
      <c r="B69" s="547"/>
      <c r="C69" s="548"/>
      <c r="D69" s="548"/>
      <c r="E69" s="548"/>
      <c r="F69" s="548"/>
      <c r="G69" s="548"/>
      <c r="H69" s="548"/>
      <c r="I69" s="548"/>
      <c r="J69" s="548"/>
      <c r="K69" s="549"/>
      <c r="L69" s="550"/>
      <c r="M69" s="551"/>
      <c r="N69" s="1154"/>
      <c r="O69" s="1154"/>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5"/>
      <c r="Q70" s="503"/>
    </row>
    <row r="71" spans="1:17" s="470" customFormat="1" ht="15.75" thickTop="1">
      <c r="A71" s="552"/>
      <c r="B71" s="537">
        <f>B12</f>
        <v>111</v>
      </c>
      <c r="C71" s="553"/>
      <c r="D71" s="553"/>
      <c r="E71" s="553"/>
      <c r="F71" s="553"/>
      <c r="G71" s="553"/>
      <c r="H71" s="554"/>
      <c r="I71" s="554"/>
      <c r="J71" s="554"/>
      <c r="K71" s="554"/>
      <c r="L71" s="555"/>
      <c r="M71" s="556"/>
      <c r="N71" s="1156"/>
      <c r="O71" s="1156"/>
      <c r="P71" s="2686"/>
      <c r="Q71" s="558"/>
    </row>
    <row r="72" spans="1:17" s="470" customFormat="1" ht="15.75" thickBot="1">
      <c r="A72" s="552"/>
      <c r="B72" s="542"/>
      <c r="C72" s="559"/>
      <c r="D72" s="535"/>
      <c r="E72" s="535"/>
      <c r="F72" s="535"/>
      <c r="G72" s="535"/>
      <c r="H72" s="535"/>
      <c r="I72" s="535"/>
      <c r="J72" s="535"/>
      <c r="K72" s="535"/>
      <c r="L72" s="535"/>
      <c r="M72" s="536"/>
      <c r="N72" s="1155"/>
      <c r="O72" s="1155"/>
      <c r="P72" s="2686"/>
      <c r="Q72" s="558"/>
    </row>
    <row r="73" spans="1:17" s="470" customFormat="1" ht="15.75" thickTop="1">
      <c r="A73" s="552"/>
      <c r="B73" s="537">
        <f>B13</f>
        <v>111</v>
      </c>
      <c r="C73" s="553"/>
      <c r="D73" s="553"/>
      <c r="E73" s="553"/>
      <c r="F73" s="553"/>
      <c r="G73" s="553"/>
      <c r="H73" s="554"/>
      <c r="I73" s="554"/>
      <c r="J73" s="554"/>
      <c r="K73" s="554"/>
      <c r="L73" s="555"/>
      <c r="M73" s="556"/>
      <c r="N73" s="1156"/>
      <c r="O73" s="1156"/>
      <c r="P73" s="2687"/>
      <c r="Q73" s="560"/>
    </row>
    <row r="74" spans="1:17" s="470" customFormat="1" ht="15.75" thickBot="1">
      <c r="A74" s="552"/>
      <c r="B74" s="542"/>
      <c r="C74" s="559"/>
      <c r="D74" s="559"/>
      <c r="E74" s="559"/>
      <c r="F74" s="559"/>
      <c r="G74" s="559"/>
      <c r="H74" s="561"/>
      <c r="I74" s="561"/>
      <c r="J74" s="561"/>
      <c r="K74" s="561"/>
      <c r="L74" s="561"/>
      <c r="M74" s="562"/>
      <c r="N74" s="1156"/>
      <c r="O74" s="1156"/>
      <c r="P74" s="2686"/>
      <c r="Q74" s="558"/>
    </row>
    <row r="75" spans="1:17" s="470" customFormat="1" ht="15.75" thickTop="1">
      <c r="A75" s="552"/>
      <c r="B75" s="545">
        <f>B14</f>
        <v>111</v>
      </c>
      <c r="C75" s="522"/>
      <c r="D75" s="522"/>
      <c r="E75" s="522"/>
      <c r="F75" s="522"/>
      <c r="G75" s="522"/>
      <c r="H75" s="563"/>
      <c r="I75" s="563"/>
      <c r="J75" s="563"/>
      <c r="K75" s="563"/>
      <c r="L75" s="564"/>
      <c r="M75" s="565"/>
      <c r="N75" s="1156"/>
      <c r="O75" s="1156"/>
      <c r="P75" s="2688"/>
      <c r="Q75" s="558"/>
    </row>
    <row r="76" spans="1:17" s="470" customFormat="1" ht="15.75" thickBot="1">
      <c r="A76" s="567"/>
      <c r="B76" s="568"/>
      <c r="C76" s="569"/>
      <c r="D76" s="569"/>
      <c r="E76" s="569"/>
      <c r="F76" s="569"/>
      <c r="G76" s="569"/>
      <c r="H76" s="570"/>
      <c r="I76" s="570"/>
      <c r="J76" s="570"/>
      <c r="K76" s="570"/>
      <c r="L76" s="570"/>
      <c r="M76" s="571"/>
      <c r="N76" s="1156"/>
      <c r="O76" s="1156"/>
      <c r="P76" s="2686"/>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4"/>
      <c r="O77" s="1154"/>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5"/>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4"/>
      <c r="O79" s="1154"/>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5"/>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4"/>
      <c r="O81" s="1154"/>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5"/>
      <c r="Q82" s="503"/>
    </row>
    <row r="83" spans="1:17" ht="15.75" thickTop="1">
      <c r="A83" s="533"/>
      <c r="B83" s="545" t="s">
        <v>2683</v>
      </c>
      <c r="C83" s="659" t="s">
        <v>2669</v>
      </c>
      <c r="D83" s="659" t="s">
        <v>2670</v>
      </c>
      <c r="E83" s="659" t="s">
        <v>2671</v>
      </c>
      <c r="F83" s="659" t="s">
        <v>2672</v>
      </c>
      <c r="G83" s="659" t="s">
        <v>2673</v>
      </c>
      <c r="H83" s="538"/>
      <c r="I83" s="538"/>
      <c r="J83" s="538"/>
      <c r="K83" s="538"/>
      <c r="L83" s="538"/>
      <c r="M83" s="1384"/>
      <c r="N83" s="1155"/>
      <c r="O83" s="1155"/>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5"/>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4"/>
      <c r="O85" s="1154"/>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5"/>
      <c r="Q86" s="503"/>
    </row>
    <row r="87" spans="1:17" s="116" customFormat="1" ht="27.75" thickTop="1">
      <c r="A87" s="578"/>
      <c r="B87" s="537" t="s">
        <v>2693</v>
      </c>
      <c r="C87" s="553"/>
      <c r="D87" s="553"/>
      <c r="E87" s="553"/>
      <c r="F87" s="553"/>
      <c r="G87" s="553"/>
      <c r="H87" s="553"/>
      <c r="I87" s="553"/>
      <c r="J87" s="553"/>
      <c r="K87" s="553"/>
      <c r="L87" s="579"/>
      <c r="M87" s="580"/>
      <c r="N87" s="1153"/>
      <c r="O87" s="1153"/>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5"/>
      <c r="Q88" s="503"/>
    </row>
    <row r="89" spans="1:17" s="116" customFormat="1" ht="15.75" thickTop="1">
      <c r="A89" s="578"/>
      <c r="B89" s="537" t="str">
        <f>B27</f>
        <v>楼层</v>
      </c>
      <c r="C89" s="553"/>
      <c r="D89" s="553"/>
      <c r="E89" s="553"/>
      <c r="F89" s="2636"/>
      <c r="G89" s="553"/>
      <c r="H89" s="553"/>
      <c r="I89" s="553"/>
      <c r="J89" s="553"/>
      <c r="K89" s="553"/>
      <c r="L89" s="553"/>
      <c r="M89" s="580"/>
      <c r="N89" s="1153"/>
      <c r="O89" s="1153"/>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5"/>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6"/>
      <c r="Q92" s="558"/>
    </row>
    <row r="93" spans="1:17" ht="15.75" thickTop="1">
      <c r="A93" s="533"/>
      <c r="B93" s="537">
        <f>B29</f>
        <v>111</v>
      </c>
      <c r="C93" s="553"/>
      <c r="D93" s="553"/>
      <c r="E93" s="553"/>
      <c r="F93" s="553"/>
      <c r="G93" s="553"/>
      <c r="H93" s="553"/>
      <c r="I93" s="553"/>
      <c r="J93" s="553"/>
      <c r="K93" s="553"/>
      <c r="L93" s="579"/>
      <c r="M93" s="580"/>
      <c r="N93" s="1154"/>
      <c r="O93" s="1154"/>
      <c r="P93" s="2685"/>
      <c r="Q93" s="503"/>
    </row>
    <row r="94" spans="1:17" ht="15.75" thickBot="1">
      <c r="A94" s="533"/>
      <c r="B94" s="542"/>
      <c r="C94" s="559"/>
      <c r="D94" s="535"/>
      <c r="E94" s="535"/>
      <c r="F94" s="535"/>
      <c r="G94" s="535"/>
      <c r="H94" s="535"/>
      <c r="I94" s="535"/>
      <c r="J94" s="535"/>
      <c r="K94" s="535"/>
      <c r="L94" s="535"/>
      <c r="M94" s="536"/>
      <c r="N94" s="1155"/>
      <c r="O94" s="1155"/>
      <c r="P94" s="2685"/>
      <c r="Q94" s="503"/>
    </row>
    <row r="95" spans="1:17" ht="15.75" thickTop="1">
      <c r="A95" s="533"/>
      <c r="B95" s="537">
        <f>B30</f>
        <v>111</v>
      </c>
      <c r="C95" s="553"/>
      <c r="D95" s="553"/>
      <c r="E95" s="553"/>
      <c r="F95" s="553"/>
      <c r="G95" s="582"/>
      <c r="H95" s="582"/>
      <c r="I95" s="582"/>
      <c r="J95" s="582"/>
      <c r="K95" s="583"/>
      <c r="L95" s="584"/>
      <c r="M95" s="585"/>
      <c r="N95" s="1154"/>
      <c r="O95" s="1154"/>
      <c r="P95" s="2685"/>
      <c r="Q95" s="503"/>
    </row>
    <row r="96" spans="1:17" ht="15.75" thickBot="1">
      <c r="A96" s="533"/>
      <c r="B96" s="542"/>
      <c r="C96" s="559"/>
      <c r="D96" s="559"/>
      <c r="E96" s="559"/>
      <c r="F96" s="559"/>
      <c r="G96" s="535"/>
      <c r="H96" s="535"/>
      <c r="I96" s="535"/>
      <c r="J96" s="535"/>
      <c r="K96" s="535"/>
      <c r="L96" s="535"/>
      <c r="M96" s="536"/>
      <c r="N96" s="1155"/>
      <c r="O96" s="1155"/>
      <c r="P96" s="2685"/>
      <c r="Q96" s="503"/>
    </row>
    <row r="97" spans="1:17" ht="15.75" thickTop="1">
      <c r="A97" s="533"/>
      <c r="B97" s="537">
        <f>B31</f>
        <v>111</v>
      </c>
      <c r="C97" s="553"/>
      <c r="D97" s="553"/>
      <c r="E97" s="553"/>
      <c r="F97" s="553"/>
      <c r="G97" s="582"/>
      <c r="H97" s="582"/>
      <c r="I97" s="582"/>
      <c r="J97" s="582"/>
      <c r="K97" s="583"/>
      <c r="L97" s="584"/>
      <c r="M97" s="585"/>
      <c r="N97" s="1154"/>
      <c r="O97" s="1154"/>
      <c r="P97" s="2685"/>
      <c r="Q97" s="503"/>
    </row>
    <row r="98" spans="1:17" ht="15.75" thickBot="1">
      <c r="A98" s="533"/>
      <c r="B98" s="542"/>
      <c r="C98" s="559"/>
      <c r="D98" s="535"/>
      <c r="E98" s="535"/>
      <c r="F98" s="535"/>
      <c r="G98" s="535"/>
      <c r="H98" s="535"/>
      <c r="I98" s="535"/>
      <c r="J98" s="535"/>
      <c r="K98" s="535"/>
      <c r="L98" s="535"/>
      <c r="M98" s="536"/>
      <c r="N98" s="1155"/>
      <c r="O98" s="1155"/>
      <c r="P98" s="2685"/>
      <c r="Q98" s="503"/>
    </row>
    <row r="99" spans="1:17" ht="15.75" thickTop="1">
      <c r="A99" s="533"/>
      <c r="B99" s="545">
        <f>B32</f>
        <v>111</v>
      </c>
      <c r="C99" s="522"/>
      <c r="D99" s="522"/>
      <c r="E99" s="522"/>
      <c r="F99" s="522"/>
      <c r="G99" s="586"/>
      <c r="H99" s="586"/>
      <c r="I99" s="586"/>
      <c r="J99" s="586"/>
      <c r="K99" s="587"/>
      <c r="L99" s="588"/>
      <c r="M99" s="589"/>
      <c r="N99" s="1154"/>
      <c r="O99" s="1154"/>
      <c r="P99" s="2685"/>
      <c r="Q99" s="503"/>
    </row>
    <row r="100" spans="1:17" ht="15.75" thickBot="1">
      <c r="A100" s="2637"/>
      <c r="B100" s="568"/>
      <c r="C100" s="569"/>
      <c r="D100" s="569"/>
      <c r="E100" s="569"/>
      <c r="F100" s="569"/>
      <c r="G100" s="590"/>
      <c r="H100" s="590"/>
      <c r="I100" s="590"/>
      <c r="J100" s="590"/>
      <c r="K100" s="590"/>
      <c r="L100" s="590"/>
      <c r="M100" s="591"/>
      <c r="N100" s="1155"/>
      <c r="O100" s="1155"/>
      <c r="P100" s="2685"/>
      <c r="Q100" s="503"/>
    </row>
    <row r="101" spans="1:17">
      <c r="A101" s="526" t="s">
        <v>2557</v>
      </c>
      <c r="B101" s="527" t="s">
        <v>2606</v>
      </c>
      <c r="C101" s="529"/>
      <c r="D101" s="529"/>
      <c r="E101" s="529"/>
      <c r="F101" s="529"/>
      <c r="G101" s="529"/>
      <c r="H101" s="529"/>
      <c r="I101" s="529"/>
      <c r="J101" s="529"/>
      <c r="K101" s="530"/>
      <c r="L101" s="531"/>
      <c r="M101" s="532"/>
      <c r="N101" s="1154"/>
      <c r="O101" s="1154"/>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5"/>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5"/>
      <c r="Q103" s="503"/>
    </row>
    <row r="104" spans="1:17" s="470" customFormat="1">
      <c r="A104" s="592"/>
      <c r="B104" s="593"/>
      <c r="C104" s="594"/>
      <c r="D104" s="594"/>
      <c r="E104" s="594"/>
      <c r="F104" s="594"/>
      <c r="G104" s="594"/>
      <c r="H104" s="594"/>
      <c r="I104" s="594"/>
      <c r="J104" s="595"/>
      <c r="K104" s="595"/>
      <c r="L104" s="596"/>
      <c r="M104" s="597"/>
      <c r="N104" s="1156"/>
      <c r="O104" s="1156"/>
      <c r="P104" s="2686"/>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6"/>
      <c r="Q105" s="558"/>
    </row>
    <row r="106" spans="1:17" ht="15" thickTop="1">
      <c r="A106" s="598"/>
      <c r="B106" s="537" t="s">
        <v>2608</v>
      </c>
      <c r="C106" s="553"/>
      <c r="D106" s="553"/>
      <c r="E106" s="582"/>
      <c r="F106" s="582"/>
      <c r="G106" s="582"/>
      <c r="H106" s="582"/>
      <c r="I106" s="582"/>
      <c r="J106" s="582"/>
      <c r="K106" s="583"/>
      <c r="L106" s="584"/>
      <c r="M106" s="585"/>
      <c r="N106" s="1154"/>
      <c r="O106" s="1154"/>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5"/>
      <c r="Q107" s="503"/>
    </row>
    <row r="108" spans="1:17" ht="15" thickTop="1">
      <c r="A108" s="598"/>
      <c r="B108" s="537" t="s">
        <v>2610</v>
      </c>
      <c r="C108" s="553"/>
      <c r="D108" s="553"/>
      <c r="E108" s="553"/>
      <c r="F108" s="582"/>
      <c r="G108" s="582"/>
      <c r="H108" s="582"/>
      <c r="I108" s="582"/>
      <c r="J108" s="582"/>
      <c r="K108" s="583"/>
      <c r="L108" s="584"/>
      <c r="M108" s="585"/>
      <c r="N108" s="1154"/>
      <c r="O108" s="1154"/>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5"/>
      <c r="Q109" s="503"/>
    </row>
    <row r="110" spans="1:17" ht="15" thickTop="1">
      <c r="A110" s="598"/>
      <c r="B110" s="537" t="s">
        <v>1987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5"/>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5"/>
      <c r="Q112" s="503"/>
    </row>
    <row r="113" spans="1:17" s="470" customFormat="1" ht="15" thickTop="1">
      <c r="A113" s="592"/>
      <c r="B113" s="537" t="s">
        <v>2694</v>
      </c>
      <c r="C113" s="553"/>
      <c r="D113" s="553"/>
      <c r="E113" s="553"/>
      <c r="F113" s="553"/>
      <c r="G113" s="553"/>
      <c r="H113" s="582"/>
      <c r="I113" s="582"/>
      <c r="J113" s="582"/>
      <c r="K113" s="583"/>
      <c r="L113" s="584"/>
      <c r="M113" s="585"/>
      <c r="N113" s="1156"/>
      <c r="O113" s="1156"/>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6"/>
      <c r="Q114" s="558"/>
    </row>
    <row r="115" spans="1:17" ht="15" thickTop="1">
      <c r="A115" s="598"/>
      <c r="B115" s="537" t="s">
        <v>2611</v>
      </c>
      <c r="C115" s="553"/>
      <c r="D115" s="553"/>
      <c r="E115" s="582"/>
      <c r="F115" s="582"/>
      <c r="G115" s="582"/>
      <c r="H115" s="582"/>
      <c r="I115" s="582"/>
      <c r="J115" s="582"/>
      <c r="K115" s="583"/>
      <c r="L115" s="584"/>
      <c r="M115" s="585"/>
      <c r="N115" s="1154"/>
      <c r="O115" s="1154"/>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5"/>
      <c r="Q116" s="503"/>
    </row>
    <row r="117" spans="1:17" ht="15" thickTop="1">
      <c r="A117" s="598"/>
      <c r="B117" s="537" t="s">
        <v>2612</v>
      </c>
      <c r="C117" s="553"/>
      <c r="D117" s="553"/>
      <c r="E117" s="553"/>
      <c r="F117" s="553"/>
      <c r="G117" s="553"/>
      <c r="H117" s="582"/>
      <c r="I117" s="582"/>
      <c r="J117" s="582"/>
      <c r="K117" s="583"/>
      <c r="L117" s="584"/>
      <c r="M117" s="585"/>
      <c r="N117" s="1154"/>
      <c r="O117" s="1154"/>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5"/>
      <c r="Q118" s="503"/>
    </row>
    <row r="119" spans="1:17" ht="15" thickTop="1">
      <c r="A119" s="598"/>
      <c r="B119" s="635" t="s">
        <v>2695</v>
      </c>
      <c r="C119" s="582"/>
      <c r="D119" s="582"/>
      <c r="E119" s="582"/>
      <c r="F119" s="582"/>
      <c r="G119" s="582"/>
      <c r="H119" s="582"/>
      <c r="I119" s="582"/>
      <c r="J119" s="582"/>
      <c r="K119" s="582"/>
      <c r="L119" s="2690"/>
      <c r="M119" s="2691"/>
      <c r="N119" s="1155"/>
      <c r="O119" s="1155"/>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5"/>
      <c r="Q120" s="503"/>
    </row>
    <row r="121" spans="1:17" s="470" customFormat="1" ht="15" thickTop="1">
      <c r="A121" s="592"/>
      <c r="B121" s="537" t="s">
        <v>2678</v>
      </c>
      <c r="C121" s="553"/>
      <c r="D121" s="553"/>
      <c r="E121" s="553"/>
      <c r="F121" s="582"/>
      <c r="G121" s="554"/>
      <c r="H121" s="554"/>
      <c r="I121" s="554"/>
      <c r="J121" s="554"/>
      <c r="K121" s="554"/>
      <c r="L121" s="555"/>
      <c r="M121" s="556"/>
      <c r="N121" s="1156"/>
      <c r="O121" s="1156"/>
      <c r="P121" s="2686"/>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6"/>
      <c r="Q122" s="558"/>
    </row>
    <row r="123" spans="1:17" ht="15" thickTop="1">
      <c r="A123" s="598"/>
      <c r="B123" s="537" t="s">
        <v>2614</v>
      </c>
      <c r="C123" s="553"/>
      <c r="D123" s="553"/>
      <c r="E123" s="553"/>
      <c r="F123" s="582"/>
      <c r="G123" s="582"/>
      <c r="H123" s="582"/>
      <c r="I123" s="582"/>
      <c r="J123" s="582"/>
      <c r="K123" s="583"/>
      <c r="L123" s="584"/>
      <c r="M123" s="585"/>
      <c r="N123" s="1154"/>
      <c r="O123" s="1154"/>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5"/>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4"/>
      <c r="O125" s="1154"/>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5"/>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6"/>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6"/>
      <c r="Q128" s="558"/>
    </row>
    <row r="129" spans="1:17" ht="15" thickTop="1">
      <c r="A129" s="598"/>
      <c r="B129" s="537">
        <f>B46</f>
        <v>111</v>
      </c>
      <c r="C129" s="553"/>
      <c r="D129" s="553"/>
      <c r="E129" s="553"/>
      <c r="F129" s="553"/>
      <c r="G129" s="582"/>
      <c r="H129" s="582"/>
      <c r="I129" s="582"/>
      <c r="J129" s="582"/>
      <c r="K129" s="583"/>
      <c r="L129" s="584"/>
      <c r="M129" s="585"/>
      <c r="N129" s="1154"/>
      <c r="O129" s="1154"/>
      <c r="P129" s="2685"/>
      <c r="Q129" s="503"/>
    </row>
    <row r="130" spans="1:17" ht="15.75" thickBot="1">
      <c r="A130" s="533"/>
      <c r="B130" s="542"/>
      <c r="C130" s="559"/>
      <c r="D130" s="559"/>
      <c r="E130" s="559"/>
      <c r="F130" s="559"/>
      <c r="G130" s="535"/>
      <c r="H130" s="535"/>
      <c r="I130" s="535"/>
      <c r="J130" s="535"/>
      <c r="K130" s="535"/>
      <c r="L130" s="535"/>
      <c r="M130" s="536"/>
      <c r="N130" s="1155"/>
      <c r="O130" s="1155"/>
      <c r="P130" s="2685"/>
      <c r="Q130" s="503"/>
    </row>
    <row r="131" spans="1:17" ht="15" thickTop="1">
      <c r="A131" s="598"/>
      <c r="B131" s="545">
        <f>B47</f>
        <v>111</v>
      </c>
      <c r="C131" s="522"/>
      <c r="D131" s="522"/>
      <c r="E131" s="522"/>
      <c r="F131" s="522"/>
      <c r="G131" s="586"/>
      <c r="H131" s="586"/>
      <c r="I131" s="586"/>
      <c r="J131" s="586"/>
      <c r="K131" s="522"/>
      <c r="L131" s="523"/>
      <c r="M131" s="589"/>
      <c r="N131" s="1154"/>
      <c r="O131" s="1154"/>
      <c r="P131" s="2685"/>
      <c r="Q131" s="503"/>
    </row>
    <row r="132" spans="1:17" ht="15.75" thickBot="1">
      <c r="A132" s="2637"/>
      <c r="B132" s="568"/>
      <c r="C132" s="569"/>
      <c r="D132" s="569"/>
      <c r="E132" s="569"/>
      <c r="F132" s="569"/>
      <c r="G132" s="590"/>
      <c r="H132" s="590"/>
      <c r="I132" s="590"/>
      <c r="J132" s="590"/>
      <c r="K132" s="590"/>
      <c r="L132" s="590"/>
      <c r="M132" s="591"/>
      <c r="N132" s="1155"/>
      <c r="O132" s="1155"/>
      <c r="P132" s="268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2522</v>
      </c>
      <c r="B1" s="2670" t="s">
        <v>2696</v>
      </c>
      <c r="C1" s="1622" t="s">
        <v>2524</v>
      </c>
      <c r="D1" s="1623"/>
      <c r="E1" s="1632"/>
      <c r="F1" s="2585"/>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2321</v>
      </c>
      <c r="B2" s="1420" t="e">
        <f ca="1">IF(C2="——",ROUND(C43*D3/10000,0),ROUND(C43*D3/10000,0)-D2)</f>
        <v>#DIV/0!</v>
      </c>
      <c r="C2" s="2587"/>
      <c r="D2" s="1126" t="e">
        <f ca="1">SUMIF(INDIRECT("'"&amp;F2&amp;"'"&amp;"!A:A"),"承租人权益价值",INDIRECT("'"&amp;F2&amp;"'"&amp;"!c:c"))</f>
        <v>#REF!</v>
      </c>
      <c r="E2" s="2588" t="s">
        <v>2322</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31156.999999999996</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2639</v>
      </c>
      <c r="B4" s="401"/>
      <c r="C4" s="3177" t="s">
        <v>2640</v>
      </c>
      <c r="D4" s="3178"/>
      <c r="E4" s="3179" t="s">
        <v>2641</v>
      </c>
      <c r="F4" s="3180"/>
      <c r="G4" s="3177" t="s">
        <v>2642</v>
      </c>
      <c r="H4" s="3178"/>
      <c r="I4" s="3177" t="s">
        <v>2643</v>
      </c>
      <c r="J4" s="3178"/>
      <c r="K4" s="609" t="s">
        <v>2644</v>
      </c>
      <c r="L4" s="1132"/>
      <c r="M4" s="1133"/>
      <c r="N4" s="1133"/>
      <c r="O4" s="1133"/>
      <c r="P4" s="3181" t="s">
        <v>2645</v>
      </c>
      <c r="Q4" s="3182"/>
      <c r="R4" s="3164" t="s">
        <v>2641</v>
      </c>
      <c r="S4" s="3165"/>
      <c r="T4" s="3164" t="s">
        <v>2642</v>
      </c>
      <c r="U4" s="3165"/>
      <c r="V4" s="3161" t="s">
        <v>2643</v>
      </c>
      <c r="W4" s="3161"/>
      <c r="X4" s="1815"/>
      <c r="Y4" s="3164" t="s">
        <v>2645</v>
      </c>
      <c r="Z4" s="3165"/>
      <c r="AA4" s="3158" t="s">
        <v>2641</v>
      </c>
      <c r="AB4" s="3159" t="s">
        <v>2642</v>
      </c>
      <c r="AC4" s="3158" t="s">
        <v>2643</v>
      </c>
    </row>
    <row r="5" spans="1:29" ht="15">
      <c r="A5" s="403"/>
      <c r="B5" s="404"/>
      <c r="C5" s="3170" t="s">
        <v>2536</v>
      </c>
      <c r="D5" s="3171"/>
      <c r="E5" s="3168" t="s">
        <v>2537</v>
      </c>
      <c r="F5" s="3169"/>
      <c r="G5" s="3170" t="s">
        <v>2538</v>
      </c>
      <c r="H5" s="3171"/>
      <c r="I5" s="3170" t="s">
        <v>2539</v>
      </c>
      <c r="J5" s="3171"/>
      <c r="K5" s="609"/>
      <c r="L5" s="1132"/>
      <c r="M5" s="1133"/>
      <c r="N5" s="1133"/>
      <c r="O5" s="1133"/>
      <c r="P5" s="3183"/>
      <c r="Q5" s="3184"/>
      <c r="R5" s="3166"/>
      <c r="S5" s="3167"/>
      <c r="T5" s="3166"/>
      <c r="U5" s="3167"/>
      <c r="V5" s="3161"/>
      <c r="W5" s="3161"/>
      <c r="X5" s="1815"/>
      <c r="Y5" s="3166"/>
      <c r="Z5" s="3167"/>
      <c r="AA5" s="3159"/>
      <c r="AB5" s="3159"/>
      <c r="AC5" s="3159"/>
    </row>
    <row r="6" spans="1:29" ht="15.75" thickBot="1">
      <c r="A6" s="405"/>
      <c r="B6" s="406"/>
      <c r="C6" s="3172" t="s">
        <v>2540</v>
      </c>
      <c r="D6" s="3173"/>
      <c r="E6" s="3174" t="s">
        <v>2540</v>
      </c>
      <c r="F6" s="3175"/>
      <c r="G6" s="3172" t="s">
        <v>2540</v>
      </c>
      <c r="H6" s="3173"/>
      <c r="I6" s="3172" t="s">
        <v>2540</v>
      </c>
      <c r="J6" s="3173"/>
      <c r="K6" s="609" t="s">
        <v>2541</v>
      </c>
      <c r="L6" s="1132"/>
      <c r="M6" s="1133"/>
      <c r="N6" s="1133"/>
      <c r="O6" s="1133"/>
      <c r="P6" s="3185"/>
      <c r="Q6" s="3186"/>
      <c r="R6" s="3166"/>
      <c r="S6" s="3167"/>
      <c r="T6" s="3187"/>
      <c r="U6" s="3188"/>
      <c r="V6" s="3161"/>
      <c r="W6" s="3161"/>
      <c r="X6" s="1815"/>
      <c r="Y6" s="3187"/>
      <c r="Z6" s="3188"/>
      <c r="AA6" s="3160"/>
      <c r="AB6" s="3160"/>
      <c r="AC6" s="3160"/>
    </row>
    <row r="7" spans="1:29" s="116" customFormat="1" ht="15.75" thickBot="1">
      <c r="A7" s="407" t="s">
        <v>2542</v>
      </c>
      <c r="B7" s="408"/>
      <c r="C7" s="409">
        <f>'数据-取费表'!B2</f>
        <v>43405</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62" t="s">
        <v>2543</v>
      </c>
      <c r="Q7" s="3189"/>
      <c r="R7" s="769" t="s">
        <v>17</v>
      </c>
      <c r="S7" s="770">
        <f t="shared" ref="S7:S15" si="0">F7</f>
        <v>0</v>
      </c>
      <c r="T7" s="769" t="s">
        <v>17</v>
      </c>
      <c r="U7" s="770">
        <f t="shared" ref="U7:U15" si="1">H7</f>
        <v>0</v>
      </c>
      <c r="V7" s="769" t="s">
        <v>17</v>
      </c>
      <c r="W7" s="770">
        <f t="shared" ref="W7:W15" si="2">J7</f>
        <v>0</v>
      </c>
      <c r="X7" s="771"/>
      <c r="Y7" s="3162" t="s">
        <v>2543</v>
      </c>
      <c r="Z7" s="3163"/>
      <c r="AA7" s="772" t="e">
        <f>D7/F7</f>
        <v>#DIV/0!</v>
      </c>
      <c r="AB7" s="772" t="e">
        <f>D7/H7</f>
        <v>#DIV/0!</v>
      </c>
      <c r="AC7" s="772" t="e">
        <f>D7/J7</f>
        <v>#DIV/0!</v>
      </c>
    </row>
    <row r="8" spans="1:29" s="116"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62" t="s">
        <v>2546</v>
      </c>
      <c r="Q8" s="3163"/>
      <c r="R8" s="769" t="s">
        <v>17</v>
      </c>
      <c r="S8" s="770">
        <f t="shared" si="0"/>
        <v>0</v>
      </c>
      <c r="T8" s="769" t="s">
        <v>17</v>
      </c>
      <c r="U8" s="770">
        <f t="shared" si="1"/>
        <v>0</v>
      </c>
      <c r="V8" s="769" t="s">
        <v>17</v>
      </c>
      <c r="W8" s="770">
        <f t="shared" si="2"/>
        <v>0</v>
      </c>
      <c r="X8" s="771"/>
      <c r="Y8" s="3162" t="s">
        <v>2546</v>
      </c>
      <c r="Z8" s="3163"/>
      <c r="AA8" s="772" t="e">
        <f t="shared" ref="AA8:AA40" si="3">D8/F8</f>
        <v>#DIV/0!</v>
      </c>
      <c r="AB8" s="772" t="e">
        <f t="shared" ref="AB8:AB40" si="4">D8/H8</f>
        <v>#DIV/0!</v>
      </c>
      <c r="AC8" s="772" t="e">
        <f t="shared" ref="AC8:AC40" si="5">D8/J8</f>
        <v>#DIV/0!</v>
      </c>
    </row>
    <row r="9" spans="1:29" s="116" customFormat="1">
      <c r="A9" s="414" t="s">
        <v>2547</v>
      </c>
      <c r="B9" s="70" t="s">
        <v>2548</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99" t="s">
        <v>2549</v>
      </c>
      <c r="Q9" s="1797" t="str">
        <f t="shared" ref="Q9:Q15" si="6">B9</f>
        <v>用途</v>
      </c>
      <c r="R9" s="769" t="s">
        <v>17</v>
      </c>
      <c r="S9" s="770">
        <f t="shared" si="0"/>
        <v>100</v>
      </c>
      <c r="T9" s="769" t="s">
        <v>17</v>
      </c>
      <c r="U9" s="770">
        <f t="shared" si="1"/>
        <v>100</v>
      </c>
      <c r="V9" s="769" t="s">
        <v>17</v>
      </c>
      <c r="W9" s="770">
        <f t="shared" si="2"/>
        <v>100</v>
      </c>
      <c r="X9" s="771"/>
      <c r="Y9" s="3035" t="s">
        <v>2550</v>
      </c>
      <c r="Z9" s="55" t="str">
        <f t="shared" ref="Z9:Z15" si="7">Q9</f>
        <v>用途</v>
      </c>
      <c r="AA9" s="772">
        <f t="shared" si="3"/>
        <v>1</v>
      </c>
      <c r="AB9" s="772">
        <f t="shared" si="4"/>
        <v>1</v>
      </c>
      <c r="AC9" s="772">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99"/>
      <c r="Q10" s="1797"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99"/>
      <c r="Q11" s="1797"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772" t="e">
        <f t="shared" si="5"/>
        <v>#N/A</v>
      </c>
    </row>
    <row r="12" spans="1:29" s="116"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4"/>
      <c r="M12" s="1135"/>
      <c r="N12" s="1135"/>
      <c r="O12" s="1136"/>
      <c r="P12" s="3199"/>
      <c r="Q12" s="1797">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42"/>
      <c r="M13" s="1133"/>
      <c r="N13" s="1133"/>
      <c r="O13" s="1141"/>
      <c r="P13" s="3199"/>
      <c r="Q13" s="1797">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42"/>
      <c r="M14" s="1133"/>
      <c r="N14" s="1133"/>
      <c r="O14" s="1141"/>
      <c r="P14" s="3199"/>
      <c r="Q14" s="1797">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772">
        <f t="shared" si="5"/>
        <v>1</v>
      </c>
    </row>
    <row r="15" spans="1:29" ht="57">
      <c r="A15" s="439" t="s">
        <v>2553</v>
      </c>
      <c r="B15" s="68" t="s">
        <v>2697</v>
      </c>
      <c r="C15" s="269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92" t="s">
        <v>2554</v>
      </c>
      <c r="Q15" s="1812" t="str">
        <f t="shared" si="6"/>
        <v>产业集聚程度</v>
      </c>
      <c r="R15" s="773" t="s">
        <v>17</v>
      </c>
      <c r="S15" s="774">
        <f t="shared" si="0"/>
        <v>100</v>
      </c>
      <c r="T15" s="773" t="s">
        <v>17</v>
      </c>
      <c r="U15" s="774">
        <f t="shared" si="1"/>
        <v>100</v>
      </c>
      <c r="V15" s="773" t="s">
        <v>17</v>
      </c>
      <c r="W15" s="774">
        <f t="shared" si="2"/>
        <v>100</v>
      </c>
      <c r="X15" s="1815"/>
      <c r="Y15" s="3192" t="s">
        <v>2554</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93"/>
      <c r="Q16" s="1812"/>
      <c r="R16" s="773"/>
      <c r="S16" s="774"/>
      <c r="T16" s="773"/>
      <c r="U16" s="774"/>
      <c r="V16" s="773"/>
      <c r="W16" s="774"/>
      <c r="X16" s="1815"/>
      <c r="Y16" s="3193"/>
      <c r="Z16" s="1816"/>
      <c r="AA16" s="1813">
        <v>1</v>
      </c>
      <c r="AB16" s="1813">
        <v>1</v>
      </c>
      <c r="AC16" s="1813">
        <v>1</v>
      </c>
    </row>
    <row r="17" spans="1:29" ht="85.5">
      <c r="A17" s="427"/>
      <c r="B17" s="450" t="s">
        <v>2089</v>
      </c>
      <c r="C17" s="260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93"/>
      <c r="Q17" s="1812" t="str">
        <f>B17</f>
        <v>交通便捷度</v>
      </c>
      <c r="R17" s="773" t="s">
        <v>17</v>
      </c>
      <c r="S17" s="774">
        <f>F17</f>
        <v>100</v>
      </c>
      <c r="T17" s="773" t="s">
        <v>17</v>
      </c>
      <c r="U17" s="774">
        <f>H17</f>
        <v>100</v>
      </c>
      <c r="V17" s="773" t="s">
        <v>17</v>
      </c>
      <c r="W17" s="774">
        <f>J17</f>
        <v>100</v>
      </c>
      <c r="X17" s="1815"/>
      <c r="Y17" s="3193"/>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41"/>
      <c r="P18" s="3193"/>
      <c r="Q18" s="1812"/>
      <c r="R18" s="773"/>
      <c r="S18" s="774"/>
      <c r="T18" s="773"/>
      <c r="U18" s="774"/>
      <c r="V18" s="773"/>
      <c r="W18" s="774"/>
      <c r="X18" s="1815"/>
      <c r="Y18" s="3193"/>
      <c r="Z18" s="1816"/>
      <c r="AA18" s="1813">
        <v>1</v>
      </c>
      <c r="AB18" s="1813">
        <v>1</v>
      </c>
      <c r="AC18" s="1813">
        <v>1</v>
      </c>
    </row>
    <row r="19" spans="1:29" ht="42.75">
      <c r="A19" s="427"/>
      <c r="B19" s="450" t="s">
        <v>2682</v>
      </c>
      <c r="C19" s="260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93"/>
      <c r="Q19" s="1812" t="str">
        <f>B19</f>
        <v>公共配套设施</v>
      </c>
      <c r="R19" s="773" t="s">
        <v>17</v>
      </c>
      <c r="S19" s="774">
        <f>F19</f>
        <v>100</v>
      </c>
      <c r="T19" s="773" t="s">
        <v>17</v>
      </c>
      <c r="U19" s="774">
        <f>H19</f>
        <v>100</v>
      </c>
      <c r="V19" s="773" t="s">
        <v>17</v>
      </c>
      <c r="W19" s="774">
        <f>J19</f>
        <v>100</v>
      </c>
      <c r="X19" s="1815"/>
      <c r="Y19" s="3193"/>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41"/>
      <c r="P20" s="3193"/>
      <c r="Q20" s="1812"/>
      <c r="R20" s="773"/>
      <c r="S20" s="774"/>
      <c r="T20" s="773"/>
      <c r="U20" s="774"/>
      <c r="V20" s="773"/>
      <c r="W20" s="774"/>
      <c r="X20" s="1815"/>
      <c r="Y20" s="3193"/>
      <c r="Z20" s="1816"/>
      <c r="AA20" s="1813">
        <v>1</v>
      </c>
      <c r="AB20" s="1813">
        <v>1</v>
      </c>
      <c r="AC20" s="1813">
        <v>1</v>
      </c>
    </row>
    <row r="21" spans="1:29" ht="28.5">
      <c r="A21" s="427"/>
      <c r="B21" s="1386" t="s">
        <v>2683</v>
      </c>
      <c r="C21" s="260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93"/>
      <c r="Q21" s="1812" t="str">
        <f>B21</f>
        <v>基础设施水平</v>
      </c>
      <c r="R21" s="773" t="s">
        <v>17</v>
      </c>
      <c r="S21" s="774">
        <f>F21</f>
        <v>100</v>
      </c>
      <c r="T21" s="773" t="s">
        <v>17</v>
      </c>
      <c r="U21" s="774">
        <f>H21</f>
        <v>100</v>
      </c>
      <c r="V21" s="773" t="s">
        <v>17</v>
      </c>
      <c r="W21" s="774">
        <f>J21</f>
        <v>100</v>
      </c>
      <c r="X21" s="1815"/>
      <c r="Y21" s="3193"/>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41"/>
      <c r="P22" s="3193"/>
      <c r="Q22" s="1812"/>
      <c r="R22" s="773"/>
      <c r="S22" s="774"/>
      <c r="T22" s="773"/>
      <c r="U22" s="774"/>
      <c r="V22" s="773"/>
      <c r="W22" s="774"/>
      <c r="X22" s="1815"/>
      <c r="Y22" s="3193"/>
      <c r="Z22" s="1816"/>
      <c r="AA22" s="1813">
        <v>1</v>
      </c>
      <c r="AB22" s="1813">
        <v>1</v>
      </c>
      <c r="AC22" s="1813">
        <v>1</v>
      </c>
    </row>
    <row r="23" spans="1:29" ht="71.25">
      <c r="A23" s="427"/>
      <c r="B23" s="450" t="s">
        <v>2684</v>
      </c>
      <c r="C23" s="260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93"/>
      <c r="Q23" s="1812" t="str">
        <f>B23</f>
        <v>环境质量</v>
      </c>
      <c r="R23" s="773" t="s">
        <v>17</v>
      </c>
      <c r="S23" s="774">
        <f>F23</f>
        <v>100</v>
      </c>
      <c r="T23" s="773" t="s">
        <v>17</v>
      </c>
      <c r="U23" s="774">
        <f>H23</f>
        <v>100</v>
      </c>
      <c r="V23" s="773" t="s">
        <v>17</v>
      </c>
      <c r="W23" s="774">
        <f>J23</f>
        <v>100</v>
      </c>
      <c r="X23" s="1815"/>
      <c r="Y23" s="3193"/>
      <c r="Z23" s="1816" t="str">
        <f>Q23</f>
        <v>环境质量</v>
      </c>
      <c r="AA23" s="1813">
        <f t="shared" si="3"/>
        <v>1</v>
      </c>
      <c r="AB23" s="1813">
        <f t="shared" si="4"/>
        <v>1</v>
      </c>
      <c r="AC23" s="1813">
        <f t="shared" si="5"/>
        <v>1</v>
      </c>
    </row>
    <row r="24" spans="1:29" ht="15">
      <c r="A24" s="427"/>
      <c r="B24" s="1386"/>
      <c r="C24" s="446"/>
      <c r="D24" s="447"/>
      <c r="E24" s="2606"/>
      <c r="F24" s="448"/>
      <c r="G24" s="2605"/>
      <c r="H24" s="447"/>
      <c r="I24" s="2606"/>
      <c r="J24" s="447"/>
      <c r="K24" s="614"/>
      <c r="L24" s="1142"/>
      <c r="M24" s="1133"/>
      <c r="N24" s="1133"/>
      <c r="O24" s="1141"/>
      <c r="P24" s="3193"/>
      <c r="Q24" s="1812"/>
      <c r="R24" s="773"/>
      <c r="S24" s="774"/>
      <c r="T24" s="773"/>
      <c r="U24" s="774"/>
      <c r="V24" s="773"/>
      <c r="W24" s="774"/>
      <c r="X24" s="1815"/>
      <c r="Y24" s="3193"/>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93"/>
      <c r="Q25" s="1812">
        <f>B25</f>
        <v>111</v>
      </c>
      <c r="R25" s="773" t="s">
        <v>17</v>
      </c>
      <c r="S25" s="774">
        <f>F25</f>
        <v>100</v>
      </c>
      <c r="T25" s="773" t="s">
        <v>17</v>
      </c>
      <c r="U25" s="774">
        <f>H25</f>
        <v>100</v>
      </c>
      <c r="V25" s="773" t="s">
        <v>17</v>
      </c>
      <c r="W25" s="774">
        <f>J25</f>
        <v>100</v>
      </c>
      <c r="X25" s="1815"/>
      <c r="Y25" s="3193"/>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93"/>
      <c r="Q26" s="1812">
        <f t="shared" ref="Q26:Q40" si="11">B26</f>
        <v>111</v>
      </c>
      <c r="R26" s="773" t="s">
        <v>17</v>
      </c>
      <c r="S26" s="774">
        <f>F26</f>
        <v>100</v>
      </c>
      <c r="T26" s="773" t="s">
        <v>17</v>
      </c>
      <c r="U26" s="774">
        <f>H26</f>
        <v>100</v>
      </c>
      <c r="V26" s="773" t="s">
        <v>17</v>
      </c>
      <c r="W26" s="774">
        <f>J26</f>
        <v>100</v>
      </c>
      <c r="X26" s="1815"/>
      <c r="Y26" s="3193"/>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93"/>
      <c r="Q27" s="1797">
        <f t="shared" si="11"/>
        <v>111</v>
      </c>
      <c r="R27" s="769" t="s">
        <v>17</v>
      </c>
      <c r="S27" s="770">
        <f>F27</f>
        <v>100</v>
      </c>
      <c r="T27" s="769" t="s">
        <v>17</v>
      </c>
      <c r="U27" s="770">
        <f>H27</f>
        <v>100</v>
      </c>
      <c r="V27" s="769" t="s">
        <v>17</v>
      </c>
      <c r="W27" s="770">
        <f>J27</f>
        <v>100</v>
      </c>
      <c r="X27" s="771"/>
      <c r="Y27" s="3193"/>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93"/>
      <c r="Q28" s="1812">
        <f t="shared" si="11"/>
        <v>111</v>
      </c>
      <c r="R28" s="773" t="s">
        <v>17</v>
      </c>
      <c r="S28" s="774">
        <f t="shared" ref="S28:S40" si="12">F28</f>
        <v>100</v>
      </c>
      <c r="T28" s="773" t="s">
        <v>17</v>
      </c>
      <c r="U28" s="774">
        <f t="shared" ref="U28:U40" si="13">H28</f>
        <v>100</v>
      </c>
      <c r="V28" s="773" t="s">
        <v>17</v>
      </c>
      <c r="W28" s="774">
        <f t="shared" ref="W28:W40" si="14">J28</f>
        <v>100</v>
      </c>
      <c r="X28" s="1815"/>
      <c r="Y28" s="3193"/>
      <c r="Z28" s="1816">
        <f t="shared" ref="Z28:Z40" si="15">Q28</f>
        <v>111</v>
      </c>
      <c r="AA28" s="1813">
        <f t="shared" si="3"/>
        <v>1</v>
      </c>
      <c r="AB28" s="1813">
        <f t="shared" si="4"/>
        <v>1</v>
      </c>
      <c r="AC28" s="1813">
        <f t="shared" si="5"/>
        <v>1</v>
      </c>
    </row>
    <row r="29" spans="1:29" ht="28.5">
      <c r="A29" s="465" t="s">
        <v>2557</v>
      </c>
      <c r="B29" s="70" t="s">
        <v>2687</v>
      </c>
      <c r="C29" s="2680"/>
      <c r="D29" s="466">
        <v>100</v>
      </c>
      <c r="E29" s="2680"/>
      <c r="F29" s="460">
        <f>SUMIF(88:88,E29,89:89)-SUMIF(88:88,C29,89:89)+100</f>
        <v>100</v>
      </c>
      <c r="G29" s="2680"/>
      <c r="H29" s="434">
        <f>SUMIF(88:88,G29,89:89)-SUMIF(88:88,C29,89:89)+100</f>
        <v>100</v>
      </c>
      <c r="I29" s="2680"/>
      <c r="J29" s="466">
        <f>SUMIF(88:88,I29,89:89)-SUMIF(88:88,C29,89:89)+100</f>
        <v>100</v>
      </c>
      <c r="K29" s="611"/>
      <c r="L29" s="1142"/>
      <c r="M29" s="1133"/>
      <c r="N29" s="1133"/>
      <c r="O29" s="1141"/>
      <c r="P29" s="3246" t="s">
        <v>2559</v>
      </c>
      <c r="Q29" s="1812" t="str">
        <f t="shared" si="11"/>
        <v>建筑类型</v>
      </c>
      <c r="R29" s="773" t="s">
        <v>17</v>
      </c>
      <c r="S29" s="774">
        <f t="shared" si="12"/>
        <v>100</v>
      </c>
      <c r="T29" s="773" t="s">
        <v>17</v>
      </c>
      <c r="U29" s="774">
        <f t="shared" si="13"/>
        <v>100</v>
      </c>
      <c r="V29" s="773" t="s">
        <v>17</v>
      </c>
      <c r="W29" s="774">
        <f t="shared" si="14"/>
        <v>100</v>
      </c>
      <c r="X29" s="1815"/>
      <c r="Y29" s="3197" t="s">
        <v>2559</v>
      </c>
      <c r="Z29" s="1816" t="str">
        <f t="shared" si="15"/>
        <v>建筑类型</v>
      </c>
      <c r="AA29" s="1813">
        <f t="shared" si="3"/>
        <v>1</v>
      </c>
      <c r="AB29" s="1813">
        <f t="shared" si="4"/>
        <v>1</v>
      </c>
      <c r="AC29" s="1813">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97"/>
      <c r="Q30" s="775" t="str">
        <f t="shared" si="11"/>
        <v>项目建筑规模</v>
      </c>
      <c r="R30" s="776" t="s">
        <v>17</v>
      </c>
      <c r="S30" s="777" t="e">
        <f t="shared" si="12"/>
        <v>#N/A</v>
      </c>
      <c r="T30" s="776" t="s">
        <v>17</v>
      </c>
      <c r="U30" s="777" t="e">
        <f t="shared" si="13"/>
        <v>#N/A</v>
      </c>
      <c r="V30" s="776" t="s">
        <v>17</v>
      </c>
      <c r="W30" s="777" t="e">
        <f t="shared" si="14"/>
        <v>#N/A</v>
      </c>
      <c r="X30" s="778"/>
      <c r="Y30" s="3197"/>
      <c r="Z30" s="779" t="str">
        <f t="shared" si="15"/>
        <v>项目建筑规模</v>
      </c>
      <c r="AA30" s="1813" t="e">
        <f t="shared" si="3"/>
        <v>#N/A</v>
      </c>
      <c r="AB30" s="1813" t="e">
        <f t="shared" si="4"/>
        <v>#N/A</v>
      </c>
      <c r="AC30" s="1813"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97"/>
      <c r="Q31" s="1812" t="str">
        <f t="shared" si="11"/>
        <v>建筑结构</v>
      </c>
      <c r="R31" s="773" t="s">
        <v>17</v>
      </c>
      <c r="S31" s="774">
        <f t="shared" si="12"/>
        <v>100</v>
      </c>
      <c r="T31" s="773" t="s">
        <v>17</v>
      </c>
      <c r="U31" s="774">
        <f t="shared" si="13"/>
        <v>100</v>
      </c>
      <c r="V31" s="773" t="s">
        <v>17</v>
      </c>
      <c r="W31" s="774">
        <f t="shared" si="14"/>
        <v>100</v>
      </c>
      <c r="X31" s="1815"/>
      <c r="Y31" s="3197"/>
      <c r="Z31" s="1816" t="str">
        <f t="shared" si="15"/>
        <v>建筑结构</v>
      </c>
      <c r="AA31" s="1813">
        <f t="shared" si="3"/>
        <v>1</v>
      </c>
      <c r="AB31" s="1813">
        <f t="shared" si="4"/>
        <v>1</v>
      </c>
      <c r="AC31" s="1813">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97"/>
      <c r="Q32" s="1812" t="str">
        <f t="shared" si="11"/>
        <v>公共部分装修</v>
      </c>
      <c r="R32" s="773" t="s">
        <v>17</v>
      </c>
      <c r="S32" s="774">
        <f t="shared" si="12"/>
        <v>100</v>
      </c>
      <c r="T32" s="773" t="s">
        <v>17</v>
      </c>
      <c r="U32" s="774">
        <f t="shared" si="13"/>
        <v>100</v>
      </c>
      <c r="V32" s="773" t="s">
        <v>17</v>
      </c>
      <c r="W32" s="774">
        <f t="shared" si="14"/>
        <v>100</v>
      </c>
      <c r="X32" s="1815"/>
      <c r="Y32" s="3197"/>
      <c r="Z32" s="1816" t="str">
        <f t="shared" si="15"/>
        <v>公共部分装修</v>
      </c>
      <c r="AA32" s="1813">
        <f t="shared" si="3"/>
        <v>1</v>
      </c>
      <c r="AB32" s="1813">
        <f t="shared" si="4"/>
        <v>1</v>
      </c>
      <c r="AC32" s="1813">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97"/>
      <c r="Q33" s="1812" t="str">
        <f t="shared" si="11"/>
        <v>成新度</v>
      </c>
      <c r="R33" s="773" t="s">
        <v>17</v>
      </c>
      <c r="S33" s="774" t="e">
        <f t="shared" si="12"/>
        <v>#N/A</v>
      </c>
      <c r="T33" s="773" t="s">
        <v>17</v>
      </c>
      <c r="U33" s="774" t="e">
        <f t="shared" si="13"/>
        <v>#N/A</v>
      </c>
      <c r="V33" s="773" t="s">
        <v>17</v>
      </c>
      <c r="W33" s="774" t="e">
        <f t="shared" si="14"/>
        <v>#N/A</v>
      </c>
      <c r="X33" s="1815"/>
      <c r="Y33" s="3197"/>
      <c r="Z33" s="1816" t="str">
        <f t="shared" si="15"/>
        <v>成新度</v>
      </c>
      <c r="AA33" s="1813" t="e">
        <f t="shared" si="3"/>
        <v>#N/A</v>
      </c>
      <c r="AB33" s="1813" t="e">
        <f t="shared" si="4"/>
        <v>#N/A</v>
      </c>
      <c r="AC33" s="1813"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97"/>
      <c r="Q34" s="1797" t="str">
        <f t="shared" si="11"/>
        <v>物业管理</v>
      </c>
      <c r="R34" s="769" t="s">
        <v>17</v>
      </c>
      <c r="S34" s="770">
        <f t="shared" si="12"/>
        <v>100</v>
      </c>
      <c r="T34" s="769" t="s">
        <v>17</v>
      </c>
      <c r="U34" s="770">
        <f t="shared" si="13"/>
        <v>100</v>
      </c>
      <c r="V34" s="769" t="s">
        <v>17</v>
      </c>
      <c r="W34" s="770">
        <f t="shared" si="14"/>
        <v>100</v>
      </c>
      <c r="X34" s="771"/>
      <c r="Y34" s="3197"/>
      <c r="Z34" s="55"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97" t="s">
        <v>2559</v>
      </c>
      <c r="Q35" s="1812" t="str">
        <f t="shared" si="11"/>
        <v>市政基础设施</v>
      </c>
      <c r="R35" s="773" t="s">
        <v>17</v>
      </c>
      <c r="S35" s="774">
        <f t="shared" si="12"/>
        <v>100</v>
      </c>
      <c r="T35" s="773" t="s">
        <v>17</v>
      </c>
      <c r="U35" s="774">
        <f t="shared" si="13"/>
        <v>100</v>
      </c>
      <c r="V35" s="773" t="s">
        <v>17</v>
      </c>
      <c r="W35" s="774">
        <f t="shared" si="14"/>
        <v>100</v>
      </c>
      <c r="X35" s="1815"/>
      <c r="Y35" s="3197" t="s">
        <v>2559</v>
      </c>
      <c r="Z35" s="1816" t="str">
        <f t="shared" si="15"/>
        <v>市政基础设施</v>
      </c>
      <c r="AA35" s="1813">
        <f t="shared" si="3"/>
        <v>1</v>
      </c>
      <c r="AB35" s="1813">
        <f t="shared" si="4"/>
        <v>1</v>
      </c>
      <c r="AC35" s="1813">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97"/>
      <c r="Q36" s="1812" t="str">
        <f t="shared" si="11"/>
        <v>内部装修</v>
      </c>
      <c r="R36" s="773" t="s">
        <v>17</v>
      </c>
      <c r="S36" s="774">
        <f t="shared" si="12"/>
        <v>100</v>
      </c>
      <c r="T36" s="773" t="s">
        <v>17</v>
      </c>
      <c r="U36" s="774">
        <f t="shared" si="13"/>
        <v>100</v>
      </c>
      <c r="V36" s="773" t="s">
        <v>17</v>
      </c>
      <c r="W36" s="774">
        <f t="shared" si="14"/>
        <v>100</v>
      </c>
      <c r="X36" s="1815"/>
      <c r="Y36" s="3197"/>
      <c r="Z36" s="1816" t="str">
        <f t="shared" si="15"/>
        <v>内部装修</v>
      </c>
      <c r="AA36" s="1813">
        <f t="shared" si="3"/>
        <v>1</v>
      </c>
      <c r="AB36" s="1813">
        <f t="shared" si="4"/>
        <v>1</v>
      </c>
      <c r="AC36" s="1813">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97"/>
      <c r="Q37" s="1812" t="str">
        <f t="shared" si="11"/>
        <v>内部装修状况</v>
      </c>
      <c r="R37" s="773" t="s">
        <v>17</v>
      </c>
      <c r="S37" s="774">
        <f t="shared" si="12"/>
        <v>100</v>
      </c>
      <c r="T37" s="773" t="s">
        <v>17</v>
      </c>
      <c r="U37" s="774">
        <f t="shared" si="13"/>
        <v>100</v>
      </c>
      <c r="V37" s="773" t="s">
        <v>17</v>
      </c>
      <c r="W37" s="774">
        <f t="shared" si="14"/>
        <v>100</v>
      </c>
      <c r="X37" s="1815"/>
      <c r="Y37" s="3197"/>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97"/>
      <c r="Q38" s="775">
        <f t="shared" si="11"/>
        <v>111</v>
      </c>
      <c r="R38" s="776" t="s">
        <v>17</v>
      </c>
      <c r="S38" s="777">
        <f t="shared" si="12"/>
        <v>100</v>
      </c>
      <c r="T38" s="776" t="s">
        <v>17</v>
      </c>
      <c r="U38" s="777">
        <f t="shared" si="13"/>
        <v>100</v>
      </c>
      <c r="V38" s="776" t="s">
        <v>17</v>
      </c>
      <c r="W38" s="777">
        <f t="shared" si="14"/>
        <v>100</v>
      </c>
      <c r="X38" s="778"/>
      <c r="Y38" s="3197"/>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97"/>
      <c r="Q39" s="1812">
        <f t="shared" si="11"/>
        <v>111</v>
      </c>
      <c r="R39" s="773" t="s">
        <v>17</v>
      </c>
      <c r="S39" s="774">
        <f t="shared" si="12"/>
        <v>100</v>
      </c>
      <c r="T39" s="773" t="s">
        <v>17</v>
      </c>
      <c r="U39" s="774">
        <f t="shared" si="13"/>
        <v>100</v>
      </c>
      <c r="V39" s="773" t="s">
        <v>17</v>
      </c>
      <c r="W39" s="774">
        <f t="shared" si="14"/>
        <v>100</v>
      </c>
      <c r="X39" s="1815"/>
      <c r="Y39" s="3197"/>
      <c r="Z39" s="1816">
        <f t="shared" si="15"/>
        <v>111</v>
      </c>
      <c r="AA39" s="1813">
        <f t="shared" si="3"/>
        <v>1</v>
      </c>
      <c r="AB39" s="1813">
        <f t="shared" si="4"/>
        <v>1</v>
      </c>
      <c r="AC39" s="1813">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198"/>
      <c r="Q40" s="1812">
        <f t="shared" si="11"/>
        <v>111</v>
      </c>
      <c r="R40" s="773" t="s">
        <v>17</v>
      </c>
      <c r="S40" s="774">
        <f t="shared" si="12"/>
        <v>100</v>
      </c>
      <c r="T40" s="773" t="s">
        <v>17</v>
      </c>
      <c r="U40" s="774">
        <f t="shared" si="13"/>
        <v>100</v>
      </c>
      <c r="V40" s="773" t="s">
        <v>17</v>
      </c>
      <c r="W40" s="774">
        <f t="shared" si="14"/>
        <v>100</v>
      </c>
      <c r="X40" s="1815"/>
      <c r="Y40" s="3198"/>
      <c r="Z40" s="1816">
        <f t="shared" si="15"/>
        <v>111</v>
      </c>
      <c r="AA40" s="1813">
        <f t="shared" si="3"/>
        <v>1</v>
      </c>
      <c r="AB40" s="1813">
        <f t="shared" si="4"/>
        <v>1</v>
      </c>
      <c r="AC40" s="1813">
        <f t="shared" si="5"/>
        <v>1</v>
      </c>
    </row>
    <row r="41" spans="1:29" ht="15">
      <c r="A41" s="478" t="s">
        <v>2571</v>
      </c>
      <c r="B41" s="479"/>
      <c r="C41" s="1409" t="s">
        <v>1</v>
      </c>
      <c r="D41" s="1410"/>
      <c r="E41" s="1411"/>
      <c r="F41" s="1412"/>
      <c r="G41" s="1413"/>
      <c r="H41" s="1414"/>
      <c r="I41" s="1411"/>
      <c r="J41" s="1414"/>
      <c r="K41" s="782"/>
      <c r="L41" s="1145"/>
      <c r="M41" s="1146"/>
      <c r="N41" s="1133"/>
      <c r="O41" s="1146"/>
      <c r="P41" s="3199" t="str">
        <f>A41</f>
        <v>成交单价（元/平方米）</v>
      </c>
      <c r="Q41" s="3199"/>
      <c r="R41" s="3200">
        <f>E41</f>
        <v>0</v>
      </c>
      <c r="S41" s="3200"/>
      <c r="T41" s="3200">
        <f>G41</f>
        <v>0</v>
      </c>
      <c r="U41" s="3200"/>
      <c r="V41" s="3200">
        <f>I41</f>
        <v>0</v>
      </c>
      <c r="W41" s="3200"/>
      <c r="X41" s="758"/>
      <c r="Y41" s="780"/>
      <c r="Z41" s="758"/>
      <c r="AA41" s="758"/>
      <c r="AB41" s="758"/>
      <c r="AC41" s="758"/>
    </row>
    <row r="42" spans="1:29" ht="15.75" thickBot="1">
      <c r="A42" s="485" t="s">
        <v>2663</v>
      </c>
      <c r="B42" s="486"/>
      <c r="C42" s="1415" t="e">
        <f>R43</f>
        <v>#DIV/0!</v>
      </c>
      <c r="D42" s="1416"/>
      <c r="E42" s="1417" t="e">
        <f>R42</f>
        <v>#DIV/0!</v>
      </c>
      <c r="F42" s="1417"/>
      <c r="G42" s="1415" t="e">
        <f>T42</f>
        <v>#DIV/0!</v>
      </c>
      <c r="H42" s="1416"/>
      <c r="I42" s="1417" t="e">
        <f>V42</f>
        <v>#DIV/0!</v>
      </c>
      <c r="J42" s="1416"/>
      <c r="K42" s="783"/>
      <c r="L42" s="1145"/>
      <c r="M42" s="1146"/>
      <c r="N42" s="1133"/>
      <c r="O42" s="1146"/>
      <c r="P42" s="3199" t="str">
        <f>A42</f>
        <v>比较价值（元/平方米）</v>
      </c>
      <c r="Q42" s="3199"/>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758"/>
      <c r="Y42" s="758"/>
      <c r="Z42" s="758"/>
      <c r="AA42" s="758"/>
      <c r="AB42" s="758"/>
      <c r="AC42" s="758"/>
    </row>
    <row r="43" spans="1:29" ht="15.75" thickBot="1">
      <c r="A43" s="491" t="s">
        <v>2664</v>
      </c>
      <c r="B43" s="492"/>
      <c r="C43" s="1419" t="e">
        <f>R43</f>
        <v>#DIV/0!</v>
      </c>
      <c r="D43" s="1419"/>
      <c r="E43" s="1419"/>
      <c r="F43" s="1419"/>
      <c r="G43" s="1419"/>
      <c r="H43" s="1419"/>
      <c r="I43" s="1419"/>
      <c r="J43" s="1419"/>
      <c r="K43" s="784"/>
      <c r="L43" s="1145"/>
      <c r="M43" s="1146"/>
      <c r="N43" s="1146"/>
      <c r="O43" s="1146"/>
      <c r="P43" s="3201" t="str">
        <f>A43</f>
        <v>估价对象XX用房的比较价值（楼面单价，元/平方米）</v>
      </c>
      <c r="Q43" s="3202"/>
      <c r="R43" s="3203" t="e">
        <f>IF(F1="售价",ROUND(AVERAGE(R42:V42),0),ROUND(AVERAGE(R42:V42),1))</f>
        <v>#DIV/0!</v>
      </c>
      <c r="S43" s="3203"/>
      <c r="T43" s="3203"/>
      <c r="U43" s="3203"/>
      <c r="V43" s="3203"/>
      <c r="W43" s="320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2668</v>
      </c>
      <c r="B51" s="758"/>
      <c r="C51" s="763"/>
      <c r="D51" s="763"/>
      <c r="E51" s="763"/>
      <c r="F51" s="764"/>
      <c r="G51" s="764"/>
      <c r="H51" s="763"/>
      <c r="I51" s="763"/>
      <c r="J51" s="763"/>
      <c r="K51" s="1162"/>
      <c r="L51" s="1163"/>
      <c r="M51" s="1161"/>
      <c r="N51" s="1161"/>
      <c r="O51" s="1161"/>
      <c r="P51" s="502"/>
      <c r="Q51" s="503"/>
    </row>
    <row r="52" spans="1:17" s="507" customFormat="1" ht="15">
      <c r="A52" s="504" t="s">
        <v>2542</v>
      </c>
      <c r="B52" s="505"/>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2579</v>
      </c>
      <c r="B54" s="515"/>
      <c r="C54" s="516"/>
      <c r="D54" s="517"/>
      <c r="E54" s="517"/>
      <c r="F54" s="517"/>
      <c r="G54" s="517"/>
      <c r="H54" s="517"/>
      <c r="I54" s="517"/>
      <c r="J54" s="517"/>
      <c r="K54" s="517"/>
      <c r="L54" s="517"/>
      <c r="M54" s="518"/>
      <c r="N54" s="517"/>
      <c r="O54" s="519"/>
      <c r="P54" s="503"/>
      <c r="Q54" s="503"/>
    </row>
    <row r="55" spans="1:17" s="116" customFormat="1" ht="15">
      <c r="A55" s="520" t="s">
        <v>2544</v>
      </c>
      <c r="B55" s="509"/>
      <c r="C55" s="521" t="s">
        <v>2646</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2582</v>
      </c>
      <c r="B57" s="527" t="s">
        <v>2548</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2683</v>
      </c>
      <c r="C76" s="659" t="s">
        <v>2669</v>
      </c>
      <c r="D76" s="659" t="s">
        <v>2670</v>
      </c>
      <c r="E76" s="659" t="s">
        <v>2671</v>
      </c>
      <c r="F76" s="659" t="s">
        <v>2672</v>
      </c>
      <c r="G76" s="659" t="s">
        <v>2673</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7"/>
      <c r="B87" s="568"/>
      <c r="C87" s="569"/>
      <c r="D87" s="569"/>
      <c r="E87" s="569"/>
      <c r="F87" s="569"/>
      <c r="G87" s="590"/>
      <c r="H87" s="590"/>
      <c r="I87" s="590"/>
      <c r="J87" s="590"/>
      <c r="K87" s="590"/>
      <c r="L87" s="590"/>
      <c r="M87" s="591"/>
      <c r="N87" s="1155"/>
      <c r="O87" s="1155"/>
      <c r="P87" s="45"/>
      <c r="Q87" s="503"/>
    </row>
    <row r="88" spans="1:17">
      <c r="A88" s="526" t="s">
        <v>2557</v>
      </c>
      <c r="B88" s="527" t="s">
        <v>2606</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2608</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2610</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1987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2611</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2612</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2614</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7"/>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上海三盛房地产（集团）有限责任公司：</v>
      </c>
    </row>
    <row r="4" spans="1:1" ht="36">
      <c r="A4" s="1950" t="str">
        <f>"受贵公司委托，我公司对"&amp;项目基本情况!S1&amp;"进行了预评估。"</f>
        <v>受贵公司委托，我公司对上海市浦东新区惠南镇惠南颐景园出让国有建设用地使用权及在建建筑物房地产抵押价值进行了预评估。</v>
      </c>
    </row>
    <row r="5" spans="1:1" ht="18.75">
      <c r="A5" s="1951" t="s">
        <v>1608</v>
      </c>
    </row>
    <row r="6" spans="1:1" ht="18.75">
      <c r="A6" s="1952" t="s">
        <v>1609</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浦东新区惠南镇惠南颐景园出让国有建设用地使用权及在建建筑物房地产，为上海三花颐景置业有限公司所有。根据《不动产权证书》[沪（2017）浦字不动产权第035776号，沪（2018）浦字不动产权第012244、054534号]，估价对象（分摊）出让国有建设用地使用权面积为64465平方米，建筑面积为31157平方米。</v>
      </c>
    </row>
    <row r="8" spans="1:1" ht="57.75">
      <c r="A8" s="1953" t="s">
        <v>1610</v>
      </c>
    </row>
    <row r="9" spans="1:1" ht="18.75">
      <c r="A9" s="1952" t="s">
        <v>1611</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浦东新区惠南镇惠南颐景园出让国有建设用地使用权及在建建筑物房地产,属上海三花颐景置业有限公司开发建设的，该项目尚在开发建设中。根据《不动产权证书》[沪（2017）浦字不动产权第035776号，沪（2018）浦字不动产权第012244、054534号]，估价对象（分摊）出让国有建设用地使用权面积为64465平方米，规划建筑面积为31157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2018年11月1日（评估专业人员实地查勘之日）</v>
      </c>
    </row>
    <row r="16" spans="1:1" ht="18.75">
      <c r="A16" s="1955" t="s">
        <v>1615</v>
      </c>
    </row>
    <row r="17" spans="1:1" ht="75">
      <c r="A17" s="1950" t="s">
        <v>1616</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日，估价对象规划用途为商业，土地取得方式为出让，出让国有建设用地使用权剩余土地使用年限为商业35.01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商业35.01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本次评估采用的主估价方法为比较法和收益法。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2701</v>
      </c>
      <c r="B1" s="1621"/>
      <c r="C1" s="1622" t="s">
        <v>2524</v>
      </c>
      <c r="D1" s="1623"/>
      <c r="E1" s="1624"/>
      <c r="F1" s="2585"/>
      <c r="G1" s="1625" t="s">
        <v>2637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2321</v>
      </c>
      <c r="B2" s="1420" t="e">
        <f ca="1">IF(C2="——",IF(B37="元/平方米",ROUND(C39*D3/10000,0),ROUND(F3*C39/10000,0)),IF(B37="元/平方米",ROUND(C39*D3/10000,0),ROUND(F3*C39/10000,0))-D2)</f>
        <v>#DIV/0!</v>
      </c>
      <c r="C2" s="2587"/>
      <c r="D2" s="1126" t="e">
        <f ca="1">SUMIF(INDIRECT("'"&amp;F2&amp;"'"&amp;"!A:A"),"承租人权益价值",INDIRECT("'"&amp;F2&amp;"'"&amp;"!c:c"))</f>
        <v>#REF!</v>
      </c>
      <c r="E2" s="2588" t="s">
        <v>2322</v>
      </c>
      <c r="F2" s="258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2639</v>
      </c>
      <c r="B4" s="401"/>
      <c r="C4" s="3177" t="s">
        <v>2640</v>
      </c>
      <c r="D4" s="3178"/>
      <c r="E4" s="3179" t="s">
        <v>2641</v>
      </c>
      <c r="F4" s="3180"/>
      <c r="G4" s="3177" t="s">
        <v>2642</v>
      </c>
      <c r="H4" s="3178"/>
      <c r="I4" s="3177" t="s">
        <v>2643</v>
      </c>
      <c r="J4" s="3178"/>
      <c r="K4" s="609" t="s">
        <v>2644</v>
      </c>
      <c r="L4" s="1132"/>
      <c r="M4" s="1133"/>
      <c r="N4" s="1133"/>
      <c r="O4" s="1133"/>
      <c r="P4" s="3181" t="s">
        <v>2645</v>
      </c>
      <c r="Q4" s="3182"/>
      <c r="R4" s="3164" t="s">
        <v>2641</v>
      </c>
      <c r="S4" s="3165"/>
      <c r="T4" s="3164" t="s">
        <v>2642</v>
      </c>
      <c r="U4" s="3165"/>
      <c r="V4" s="3161" t="s">
        <v>2643</v>
      </c>
      <c r="W4" s="3161"/>
      <c r="X4" s="1815"/>
      <c r="Y4" s="3164" t="s">
        <v>2645</v>
      </c>
      <c r="Z4" s="3165"/>
      <c r="AA4" s="3158" t="s">
        <v>2641</v>
      </c>
      <c r="AB4" s="3159" t="s">
        <v>2642</v>
      </c>
      <c r="AC4" s="3158" t="s">
        <v>2643</v>
      </c>
    </row>
    <row r="5" spans="1:29" ht="15">
      <c r="A5" s="403"/>
      <c r="B5" s="404"/>
      <c r="C5" s="3170" t="s">
        <v>2536</v>
      </c>
      <c r="D5" s="3171"/>
      <c r="E5" s="3168" t="s">
        <v>2537</v>
      </c>
      <c r="F5" s="3169"/>
      <c r="G5" s="3170" t="s">
        <v>2538</v>
      </c>
      <c r="H5" s="3171"/>
      <c r="I5" s="3170" t="s">
        <v>2539</v>
      </c>
      <c r="J5" s="3171"/>
      <c r="K5" s="609"/>
      <c r="L5" s="1132"/>
      <c r="M5" s="1133"/>
      <c r="N5" s="1133"/>
      <c r="O5" s="1133"/>
      <c r="P5" s="3183"/>
      <c r="Q5" s="3184"/>
      <c r="R5" s="3166"/>
      <c r="S5" s="3167"/>
      <c r="T5" s="3166"/>
      <c r="U5" s="3167"/>
      <c r="V5" s="3161"/>
      <c r="W5" s="3161"/>
      <c r="X5" s="1815"/>
      <c r="Y5" s="3166"/>
      <c r="Z5" s="3167"/>
      <c r="AA5" s="3159"/>
      <c r="AB5" s="3159"/>
      <c r="AC5" s="3159"/>
    </row>
    <row r="6" spans="1:29" ht="15.75" thickBot="1">
      <c r="A6" s="405"/>
      <c r="B6" s="406"/>
      <c r="C6" s="3172" t="s">
        <v>2540</v>
      </c>
      <c r="D6" s="3173"/>
      <c r="E6" s="3174" t="s">
        <v>2540</v>
      </c>
      <c r="F6" s="3175"/>
      <c r="G6" s="3172" t="s">
        <v>2540</v>
      </c>
      <c r="H6" s="3173"/>
      <c r="I6" s="3172" t="s">
        <v>2540</v>
      </c>
      <c r="J6" s="3173"/>
      <c r="K6" s="609" t="s">
        <v>2541</v>
      </c>
      <c r="L6" s="1132"/>
      <c r="M6" s="1133"/>
      <c r="N6" s="1133"/>
      <c r="O6" s="1133"/>
      <c r="P6" s="3185"/>
      <c r="Q6" s="3186"/>
      <c r="R6" s="3166"/>
      <c r="S6" s="3167"/>
      <c r="T6" s="3187"/>
      <c r="U6" s="3188"/>
      <c r="V6" s="3161"/>
      <c r="W6" s="3161"/>
      <c r="X6" s="1815"/>
      <c r="Y6" s="3187"/>
      <c r="Z6" s="3188"/>
      <c r="AA6" s="3160"/>
      <c r="AB6" s="3160"/>
      <c r="AC6" s="3160"/>
    </row>
    <row r="7" spans="1:29" s="116" customFormat="1" ht="15.75" thickBot="1">
      <c r="A7" s="407" t="s">
        <v>2542</v>
      </c>
      <c r="B7" s="408"/>
      <c r="C7" s="409">
        <f>'数据-取费表'!B2</f>
        <v>43405</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62" t="s">
        <v>2543</v>
      </c>
      <c r="Q7" s="3189"/>
      <c r="R7" s="769" t="s">
        <v>17</v>
      </c>
      <c r="S7" s="770">
        <f t="shared" ref="S7:S14" si="0">F7</f>
        <v>0</v>
      </c>
      <c r="T7" s="769" t="s">
        <v>17</v>
      </c>
      <c r="U7" s="770">
        <f t="shared" ref="U7:U14" si="1">H7</f>
        <v>0</v>
      </c>
      <c r="V7" s="769" t="s">
        <v>17</v>
      </c>
      <c r="W7" s="770">
        <f t="shared" ref="W7:W14" si="2">J7</f>
        <v>0</v>
      </c>
      <c r="X7" s="771"/>
      <c r="Y7" s="3162" t="s">
        <v>2543</v>
      </c>
      <c r="Z7" s="3163"/>
      <c r="AA7" s="772" t="e">
        <f>D7/F7</f>
        <v>#DIV/0!</v>
      </c>
      <c r="AB7" s="772" t="e">
        <f>D7/H7</f>
        <v>#DIV/0!</v>
      </c>
      <c r="AC7" s="772" t="e">
        <f>D7/J7</f>
        <v>#DIV/0!</v>
      </c>
    </row>
    <row r="8" spans="1:29" s="116"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62" t="s">
        <v>2546</v>
      </c>
      <c r="Q8" s="3163"/>
      <c r="R8" s="769" t="s">
        <v>17</v>
      </c>
      <c r="S8" s="770">
        <f t="shared" si="0"/>
        <v>0</v>
      </c>
      <c r="T8" s="769" t="s">
        <v>17</v>
      </c>
      <c r="U8" s="770">
        <f t="shared" si="1"/>
        <v>0</v>
      </c>
      <c r="V8" s="769" t="s">
        <v>17</v>
      </c>
      <c r="W8" s="770">
        <f t="shared" si="2"/>
        <v>0</v>
      </c>
      <c r="X8" s="771"/>
      <c r="Y8" s="3162" t="s">
        <v>2546</v>
      </c>
      <c r="Z8" s="3163"/>
      <c r="AA8" s="772" t="e">
        <f t="shared" ref="AA8:AA36" si="3">D8/F8</f>
        <v>#DIV/0!</v>
      </c>
      <c r="AB8" s="772" t="e">
        <f t="shared" ref="AB8:AB36" si="4">D8/H8</f>
        <v>#DIV/0!</v>
      </c>
      <c r="AC8" s="772" t="e">
        <f t="shared" ref="AC8:AC36" si="5">D8/J8</f>
        <v>#DIV/0!</v>
      </c>
    </row>
    <row r="9" spans="1:29" s="116" customFormat="1">
      <c r="A9" s="67"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99" t="s">
        <v>2549</v>
      </c>
      <c r="Q9" s="1797" t="str">
        <f t="shared" ref="Q9:Q14" si="6">B9</f>
        <v>用途</v>
      </c>
      <c r="R9" s="769" t="s">
        <v>17</v>
      </c>
      <c r="S9" s="770">
        <f t="shared" si="0"/>
        <v>100</v>
      </c>
      <c r="T9" s="769" t="s">
        <v>17</v>
      </c>
      <c r="U9" s="770">
        <f t="shared" si="1"/>
        <v>100</v>
      </c>
      <c r="V9" s="769" t="s">
        <v>17</v>
      </c>
      <c r="W9" s="770">
        <f t="shared" si="2"/>
        <v>100</v>
      </c>
      <c r="X9" s="771"/>
      <c r="Y9" s="3035" t="s">
        <v>2550</v>
      </c>
      <c r="Z9" s="55" t="str">
        <f t="shared" ref="Z9:Z14" si="7">Q9</f>
        <v>用途</v>
      </c>
      <c r="AA9" s="772">
        <f t="shared" si="3"/>
        <v>1</v>
      </c>
      <c r="AB9" s="772">
        <f t="shared" si="4"/>
        <v>1</v>
      </c>
      <c r="AC9" s="772">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99"/>
      <c r="Q10" s="1797"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99"/>
      <c r="Q11" s="1797">
        <f t="shared" si="6"/>
        <v>111</v>
      </c>
      <c r="R11" s="769" t="s">
        <v>17</v>
      </c>
      <c r="S11" s="770">
        <f t="shared" si="0"/>
        <v>100</v>
      </c>
      <c r="T11" s="769" t="s">
        <v>17</v>
      </c>
      <c r="U11" s="770">
        <f t="shared" si="1"/>
        <v>100</v>
      </c>
      <c r="V11" s="769" t="s">
        <v>17</v>
      </c>
      <c r="W11" s="770">
        <f t="shared" si="2"/>
        <v>100</v>
      </c>
      <c r="X11" s="771"/>
      <c r="Y11" s="3035"/>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99"/>
      <c r="Q12" s="1797">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99"/>
      <c r="Q13" s="1797">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85.5">
      <c r="A14" s="400" t="s">
        <v>2553</v>
      </c>
      <c r="B14" s="628" t="s">
        <v>2703</v>
      </c>
      <c r="C14" s="269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92" t="s">
        <v>2554</v>
      </c>
      <c r="Q14" s="1812" t="str">
        <f t="shared" si="6"/>
        <v>交通便捷度</v>
      </c>
      <c r="R14" s="773" t="s">
        <v>17</v>
      </c>
      <c r="S14" s="774">
        <f t="shared" si="0"/>
        <v>100</v>
      </c>
      <c r="T14" s="773" t="s">
        <v>17</v>
      </c>
      <c r="U14" s="774">
        <f t="shared" si="1"/>
        <v>100</v>
      </c>
      <c r="V14" s="773" t="s">
        <v>17</v>
      </c>
      <c r="W14" s="774">
        <f t="shared" si="2"/>
        <v>100</v>
      </c>
      <c r="X14" s="1815"/>
      <c r="Y14" s="3192" t="s">
        <v>2554</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93"/>
      <c r="Q15" s="1812"/>
      <c r="R15" s="773"/>
      <c r="S15" s="774"/>
      <c r="T15" s="773"/>
      <c r="U15" s="774"/>
      <c r="V15" s="773"/>
      <c r="W15" s="774"/>
      <c r="X15" s="1815"/>
      <c r="Y15" s="3193"/>
      <c r="Z15" s="1816"/>
      <c r="AA15" s="1813">
        <v>1</v>
      </c>
      <c r="AB15" s="1813">
        <v>1</v>
      </c>
      <c r="AC15" s="1813">
        <v>1</v>
      </c>
    </row>
    <row r="16" spans="1:29" ht="42.75">
      <c r="A16" s="403"/>
      <c r="B16" s="630" t="s">
        <v>2682</v>
      </c>
      <c r="C16" s="260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93"/>
      <c r="Q16" s="1812" t="str">
        <f>B16</f>
        <v>公共配套设施</v>
      </c>
      <c r="R16" s="773" t="s">
        <v>17</v>
      </c>
      <c r="S16" s="774">
        <f>F16</f>
        <v>100</v>
      </c>
      <c r="T16" s="773" t="s">
        <v>17</v>
      </c>
      <c r="U16" s="774">
        <f>H16</f>
        <v>100</v>
      </c>
      <c r="V16" s="773" t="s">
        <v>17</v>
      </c>
      <c r="W16" s="774">
        <f>J16</f>
        <v>100</v>
      </c>
      <c r="X16" s="1815"/>
      <c r="Y16" s="3193"/>
      <c r="Z16" s="1816" t="str">
        <f>Q16</f>
        <v>公共配套设施</v>
      </c>
      <c r="AA16" s="1813">
        <f t="shared" si="3"/>
        <v>1</v>
      </c>
      <c r="AB16" s="1813">
        <f t="shared" si="4"/>
        <v>1</v>
      </c>
      <c r="AC16" s="1813">
        <f t="shared" si="5"/>
        <v>1</v>
      </c>
    </row>
    <row r="17" spans="1:29" ht="15">
      <c r="A17" s="403"/>
      <c r="B17" s="631"/>
      <c r="C17" s="2609"/>
      <c r="D17" s="447"/>
      <c r="E17" s="446"/>
      <c r="F17" s="448"/>
      <c r="G17" s="446"/>
      <c r="H17" s="447"/>
      <c r="I17" s="446"/>
      <c r="J17" s="447"/>
      <c r="K17" s="614"/>
      <c r="L17" s="1142"/>
      <c r="M17" s="1133"/>
      <c r="N17" s="1133"/>
      <c r="O17" s="1133"/>
      <c r="P17" s="3193"/>
      <c r="Q17" s="1812"/>
      <c r="R17" s="773"/>
      <c r="S17" s="774"/>
      <c r="T17" s="773"/>
      <c r="U17" s="774"/>
      <c r="V17" s="773"/>
      <c r="W17" s="774"/>
      <c r="X17" s="1815"/>
      <c r="Y17" s="3193"/>
      <c r="Z17" s="1816"/>
      <c r="AA17" s="1813">
        <v>1</v>
      </c>
      <c r="AB17" s="1813">
        <v>1</v>
      </c>
      <c r="AC17" s="1813">
        <v>1</v>
      </c>
    </row>
    <row r="18" spans="1:29" ht="28.5">
      <c r="A18" s="403"/>
      <c r="B18" s="632" t="s">
        <v>2683</v>
      </c>
      <c r="C18" s="260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93"/>
      <c r="Q18" s="1812" t="str">
        <f>B18</f>
        <v>基础设施水平</v>
      </c>
      <c r="R18" s="773" t="s">
        <v>17</v>
      </c>
      <c r="S18" s="774">
        <f>F18</f>
        <v>100</v>
      </c>
      <c r="T18" s="773" t="s">
        <v>17</v>
      </c>
      <c r="U18" s="774">
        <f>H18</f>
        <v>100</v>
      </c>
      <c r="V18" s="773" t="s">
        <v>17</v>
      </c>
      <c r="W18" s="774">
        <f>J18</f>
        <v>100</v>
      </c>
      <c r="X18" s="1815"/>
      <c r="Y18" s="3193"/>
      <c r="Z18" s="1816" t="str">
        <f>Q18</f>
        <v>基础设施水平</v>
      </c>
      <c r="AA18" s="1813">
        <f t="shared" ref="AA18" si="8">D18/F18</f>
        <v>1</v>
      </c>
      <c r="AB18" s="1813">
        <f t="shared" ref="AB18" si="9">D18/H18</f>
        <v>1</v>
      </c>
      <c r="AC18" s="1813">
        <f t="shared" ref="AC18" si="10">D18/J18</f>
        <v>1</v>
      </c>
    </row>
    <row r="19" spans="1:29" ht="15">
      <c r="A19" s="403"/>
      <c r="B19" s="632"/>
      <c r="C19" s="2609"/>
      <c r="D19" s="449"/>
      <c r="E19" s="2609"/>
      <c r="F19" s="452"/>
      <c r="G19" s="2609"/>
      <c r="H19" s="447"/>
      <c r="I19" s="446"/>
      <c r="J19" s="447"/>
      <c r="K19" s="1385"/>
      <c r="L19" s="1142"/>
      <c r="M19" s="1133"/>
      <c r="N19" s="1133"/>
      <c r="O19" s="1133"/>
      <c r="P19" s="3193"/>
      <c r="Q19" s="1812"/>
      <c r="R19" s="773"/>
      <c r="S19" s="774"/>
      <c r="T19" s="773"/>
      <c r="U19" s="774"/>
      <c r="V19" s="773"/>
      <c r="W19" s="774"/>
      <c r="X19" s="1815"/>
      <c r="Y19" s="3193"/>
      <c r="Z19" s="1816"/>
      <c r="AA19" s="1813">
        <v>1</v>
      </c>
      <c r="AB19" s="1813">
        <v>1</v>
      </c>
      <c r="AC19" s="1813">
        <v>1</v>
      </c>
    </row>
    <row r="20" spans="1:29" ht="57">
      <c r="A20" s="403"/>
      <c r="B20" s="630" t="s">
        <v>2704</v>
      </c>
      <c r="C20" s="260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93"/>
      <c r="Q20" s="1812" t="str">
        <f>B20</f>
        <v>自然及人文环境</v>
      </c>
      <c r="R20" s="773" t="s">
        <v>17</v>
      </c>
      <c r="S20" s="774">
        <f>F20</f>
        <v>100</v>
      </c>
      <c r="T20" s="773" t="s">
        <v>17</v>
      </c>
      <c r="U20" s="774">
        <f>H20</f>
        <v>100</v>
      </c>
      <c r="V20" s="773" t="s">
        <v>17</v>
      </c>
      <c r="W20" s="774">
        <f>J20</f>
        <v>100</v>
      </c>
      <c r="X20" s="1815"/>
      <c r="Y20" s="3193"/>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93"/>
      <c r="Q21" s="1812"/>
      <c r="R21" s="773"/>
      <c r="S21" s="774"/>
      <c r="T21" s="773"/>
      <c r="U21" s="774"/>
      <c r="V21" s="773"/>
      <c r="W21" s="774"/>
      <c r="X21" s="1815"/>
      <c r="Y21" s="3193"/>
      <c r="Z21" s="1816"/>
      <c r="AA21" s="1813">
        <v>1</v>
      </c>
      <c r="AB21" s="1813">
        <v>1</v>
      </c>
      <c r="AC21" s="1813">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93"/>
      <c r="Q22" s="1812" t="str">
        <f>B22</f>
        <v>楼层</v>
      </c>
      <c r="R22" s="773" t="s">
        <v>17</v>
      </c>
      <c r="S22" s="774">
        <f>F22</f>
        <v>100</v>
      </c>
      <c r="T22" s="773" t="s">
        <v>17</v>
      </c>
      <c r="U22" s="774">
        <f>H22</f>
        <v>100</v>
      </c>
      <c r="V22" s="773" t="s">
        <v>17</v>
      </c>
      <c r="W22" s="774">
        <f>J22</f>
        <v>100</v>
      </c>
      <c r="X22" s="1815"/>
      <c r="Y22" s="3193"/>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93"/>
      <c r="Q23" s="1812">
        <f>B23</f>
        <v>111</v>
      </c>
      <c r="R23" s="773" t="s">
        <v>17</v>
      </c>
      <c r="S23" s="774">
        <f>F23</f>
        <v>100</v>
      </c>
      <c r="T23" s="773" t="s">
        <v>17</v>
      </c>
      <c r="U23" s="774">
        <f>H23</f>
        <v>100</v>
      </c>
      <c r="V23" s="773" t="s">
        <v>17</v>
      </c>
      <c r="W23" s="774">
        <f>J23</f>
        <v>100</v>
      </c>
      <c r="X23" s="1815"/>
      <c r="Y23" s="3193"/>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93"/>
      <c r="Q24" s="1812">
        <f t="shared" ref="Q24:Q36" si="11">B24</f>
        <v>111</v>
      </c>
      <c r="R24" s="773" t="s">
        <v>17</v>
      </c>
      <c r="S24" s="774">
        <f>F24</f>
        <v>100</v>
      </c>
      <c r="T24" s="773" t="s">
        <v>17</v>
      </c>
      <c r="U24" s="774">
        <f>H24</f>
        <v>100</v>
      </c>
      <c r="V24" s="773" t="s">
        <v>17</v>
      </c>
      <c r="W24" s="774">
        <f>J24</f>
        <v>100</v>
      </c>
      <c r="X24" s="1815"/>
      <c r="Y24" s="3193"/>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93"/>
      <c r="Q25" s="1797">
        <f t="shared" si="11"/>
        <v>111</v>
      </c>
      <c r="R25" s="769" t="s">
        <v>17</v>
      </c>
      <c r="S25" s="770">
        <f>F25</f>
        <v>100</v>
      </c>
      <c r="T25" s="769" t="s">
        <v>17</v>
      </c>
      <c r="U25" s="770">
        <f>H25</f>
        <v>100</v>
      </c>
      <c r="V25" s="769" t="s">
        <v>17</v>
      </c>
      <c r="W25" s="770">
        <f>J25</f>
        <v>100</v>
      </c>
      <c r="X25" s="771"/>
      <c r="Y25" s="3193"/>
      <c r="Z25" s="55">
        <f>Q25</f>
        <v>111</v>
      </c>
      <c r="AA25" s="1813">
        <f>D25/F25</f>
        <v>1</v>
      </c>
      <c r="AB25" s="1813">
        <f>D25/H25</f>
        <v>1</v>
      </c>
      <c r="AC25" s="1813">
        <f>D25/J25</f>
        <v>1</v>
      </c>
    </row>
    <row r="26" spans="1:29" ht="28.5">
      <c r="A26" s="651" t="s">
        <v>2557</v>
      </c>
      <c r="B26" s="69" t="s">
        <v>2706</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46" t="s">
        <v>2559</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97" t="s">
        <v>2559</v>
      </c>
      <c r="Z26" s="1816" t="str">
        <f t="shared" ref="Z26:Z36" si="15">Q26</f>
        <v>配套类型</v>
      </c>
      <c r="AA26" s="1813">
        <f t="shared" si="3"/>
        <v>1</v>
      </c>
      <c r="AB26" s="1813">
        <f t="shared" si="4"/>
        <v>1</v>
      </c>
      <c r="AC26" s="1813">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97"/>
      <c r="Q27" s="775" t="str">
        <f t="shared" si="11"/>
        <v>项目停车位配比</v>
      </c>
      <c r="R27" s="776" t="s">
        <v>17</v>
      </c>
      <c r="S27" s="777">
        <f t="shared" si="12"/>
        <v>100</v>
      </c>
      <c r="T27" s="776" t="s">
        <v>17</v>
      </c>
      <c r="U27" s="777">
        <f t="shared" si="13"/>
        <v>100</v>
      </c>
      <c r="V27" s="776" t="s">
        <v>17</v>
      </c>
      <c r="W27" s="777">
        <f t="shared" si="14"/>
        <v>100</v>
      </c>
      <c r="X27" s="778"/>
      <c r="Y27" s="3197"/>
      <c r="Z27" s="779" t="str">
        <f t="shared" si="15"/>
        <v>项目停车位配比</v>
      </c>
      <c r="AA27" s="1813">
        <f t="shared" si="3"/>
        <v>1</v>
      </c>
      <c r="AB27" s="1813">
        <f t="shared" si="4"/>
        <v>1</v>
      </c>
      <c r="AC27" s="1813">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97"/>
      <c r="Q28" s="1812" t="str">
        <f t="shared" si="11"/>
        <v>公共部分装修</v>
      </c>
      <c r="R28" s="773" t="s">
        <v>17</v>
      </c>
      <c r="S28" s="774">
        <f t="shared" si="12"/>
        <v>100</v>
      </c>
      <c r="T28" s="773" t="s">
        <v>17</v>
      </c>
      <c r="U28" s="774">
        <f t="shared" si="13"/>
        <v>100</v>
      </c>
      <c r="V28" s="773" t="s">
        <v>17</v>
      </c>
      <c r="W28" s="774">
        <f t="shared" si="14"/>
        <v>100</v>
      </c>
      <c r="X28" s="1815"/>
      <c r="Y28" s="3197"/>
      <c r="Z28" s="1816" t="str">
        <f t="shared" si="15"/>
        <v>公共部分装修</v>
      </c>
      <c r="AA28" s="1813">
        <f t="shared" si="3"/>
        <v>1</v>
      </c>
      <c r="AB28" s="1813">
        <f t="shared" si="4"/>
        <v>1</v>
      </c>
      <c r="AC28" s="1813">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97"/>
      <c r="Q29" s="1812" t="str">
        <f t="shared" si="11"/>
        <v>成新率</v>
      </c>
      <c r="R29" s="773" t="s">
        <v>17</v>
      </c>
      <c r="S29" s="774" t="e">
        <f t="shared" si="12"/>
        <v>#N/A</v>
      </c>
      <c r="T29" s="773" t="s">
        <v>17</v>
      </c>
      <c r="U29" s="774" t="e">
        <f t="shared" si="13"/>
        <v>#N/A</v>
      </c>
      <c r="V29" s="773" t="s">
        <v>17</v>
      </c>
      <c r="W29" s="774" t="e">
        <f t="shared" si="14"/>
        <v>#N/A</v>
      </c>
      <c r="X29" s="1815"/>
      <c r="Y29" s="3197"/>
      <c r="Z29" s="1816" t="str">
        <f t="shared" si="15"/>
        <v>成新率</v>
      </c>
      <c r="AA29" s="1813" t="e">
        <f t="shared" si="3"/>
        <v>#N/A</v>
      </c>
      <c r="AB29" s="1813" t="e">
        <f t="shared" si="4"/>
        <v>#N/A</v>
      </c>
      <c r="AC29" s="1813"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97"/>
      <c r="Q30" s="1812" t="str">
        <f t="shared" si="11"/>
        <v>物业等级</v>
      </c>
      <c r="R30" s="773" t="s">
        <v>17</v>
      </c>
      <c r="S30" s="774">
        <f t="shared" si="12"/>
        <v>100</v>
      </c>
      <c r="T30" s="773" t="s">
        <v>17</v>
      </c>
      <c r="U30" s="774">
        <f t="shared" si="13"/>
        <v>100</v>
      </c>
      <c r="V30" s="773" t="s">
        <v>17</v>
      </c>
      <c r="W30" s="774">
        <f t="shared" si="14"/>
        <v>100</v>
      </c>
      <c r="X30" s="1815"/>
      <c r="Y30" s="3197"/>
      <c r="Z30" s="1816" t="str">
        <f t="shared" si="15"/>
        <v>物业等级</v>
      </c>
      <c r="AA30" s="1813">
        <f t="shared" si="3"/>
        <v>1</v>
      </c>
      <c r="AB30" s="1813">
        <f t="shared" si="4"/>
        <v>1</v>
      </c>
      <c r="AC30" s="1813">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97"/>
      <c r="Q31" s="1797" t="str">
        <f t="shared" si="11"/>
        <v>停车位面积</v>
      </c>
      <c r="R31" s="769" t="s">
        <v>17</v>
      </c>
      <c r="S31" s="770" t="e">
        <f t="shared" si="12"/>
        <v>#N/A</v>
      </c>
      <c r="T31" s="769" t="s">
        <v>17</v>
      </c>
      <c r="U31" s="770" t="e">
        <f t="shared" si="13"/>
        <v>#N/A</v>
      </c>
      <c r="V31" s="769" t="s">
        <v>17</v>
      </c>
      <c r="W31" s="770" t="e">
        <f t="shared" si="14"/>
        <v>#N/A</v>
      </c>
      <c r="X31" s="771"/>
      <c r="Y31" s="3197"/>
      <c r="Z31" s="55"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97" t="s">
        <v>2559</v>
      </c>
      <c r="Q32" s="1812" t="str">
        <f t="shared" si="11"/>
        <v>车位类型</v>
      </c>
      <c r="R32" s="773" t="s">
        <v>17</v>
      </c>
      <c r="S32" s="774">
        <f t="shared" si="12"/>
        <v>100</v>
      </c>
      <c r="T32" s="773" t="s">
        <v>17</v>
      </c>
      <c r="U32" s="774">
        <f t="shared" si="13"/>
        <v>100</v>
      </c>
      <c r="V32" s="773" t="s">
        <v>17</v>
      </c>
      <c r="W32" s="774">
        <f t="shared" si="14"/>
        <v>100</v>
      </c>
      <c r="X32" s="1815"/>
      <c r="Y32" s="3197" t="s">
        <v>2559</v>
      </c>
      <c r="Z32" s="1816" t="str">
        <f t="shared" si="15"/>
        <v>车位类型</v>
      </c>
      <c r="AA32" s="1813">
        <f t="shared" si="3"/>
        <v>1</v>
      </c>
      <c r="AB32" s="1813">
        <f t="shared" si="4"/>
        <v>1</v>
      </c>
      <c r="AC32" s="1813">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97"/>
      <c r="Q33" s="1812" t="str">
        <f t="shared" si="11"/>
        <v>是否直接入户</v>
      </c>
      <c r="R33" s="773" t="s">
        <v>17</v>
      </c>
      <c r="S33" s="774">
        <f t="shared" si="12"/>
        <v>100</v>
      </c>
      <c r="T33" s="773" t="s">
        <v>17</v>
      </c>
      <c r="U33" s="774">
        <f t="shared" si="13"/>
        <v>100</v>
      </c>
      <c r="V33" s="773" t="s">
        <v>17</v>
      </c>
      <c r="W33" s="774">
        <f t="shared" si="14"/>
        <v>100</v>
      </c>
      <c r="X33" s="1815"/>
      <c r="Y33" s="3197"/>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97"/>
      <c r="Q34" s="1812">
        <f t="shared" si="11"/>
        <v>111</v>
      </c>
      <c r="R34" s="773" t="s">
        <v>17</v>
      </c>
      <c r="S34" s="774">
        <f t="shared" si="12"/>
        <v>100</v>
      </c>
      <c r="T34" s="773" t="s">
        <v>17</v>
      </c>
      <c r="U34" s="774">
        <f t="shared" si="13"/>
        <v>100</v>
      </c>
      <c r="V34" s="773" t="s">
        <v>17</v>
      </c>
      <c r="W34" s="774">
        <f t="shared" si="14"/>
        <v>100</v>
      </c>
      <c r="X34" s="1815"/>
      <c r="Y34" s="3197"/>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97"/>
      <c r="Q35" s="775">
        <f t="shared" si="11"/>
        <v>111</v>
      </c>
      <c r="R35" s="776" t="s">
        <v>17</v>
      </c>
      <c r="S35" s="777">
        <f t="shared" si="12"/>
        <v>100</v>
      </c>
      <c r="T35" s="776" t="s">
        <v>17</v>
      </c>
      <c r="U35" s="777">
        <f t="shared" si="13"/>
        <v>100</v>
      </c>
      <c r="V35" s="776" t="s">
        <v>17</v>
      </c>
      <c r="W35" s="777">
        <f t="shared" si="14"/>
        <v>100</v>
      </c>
      <c r="X35" s="778"/>
      <c r="Y35" s="3197"/>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97"/>
      <c r="Q36" s="1812">
        <f t="shared" si="11"/>
        <v>111</v>
      </c>
      <c r="R36" s="773" t="s">
        <v>17</v>
      </c>
      <c r="S36" s="774">
        <f t="shared" si="12"/>
        <v>100</v>
      </c>
      <c r="T36" s="773" t="s">
        <v>17</v>
      </c>
      <c r="U36" s="774">
        <f t="shared" si="13"/>
        <v>100</v>
      </c>
      <c r="V36" s="773" t="s">
        <v>17</v>
      </c>
      <c r="W36" s="774">
        <f t="shared" si="14"/>
        <v>100</v>
      </c>
      <c r="X36" s="1815"/>
      <c r="Y36" s="3197"/>
      <c r="Z36" s="1816">
        <f t="shared" si="15"/>
        <v>111</v>
      </c>
      <c r="AA36" s="1813">
        <f t="shared" si="3"/>
        <v>1</v>
      </c>
      <c r="AB36" s="1813">
        <f t="shared" si="4"/>
        <v>1</v>
      </c>
      <c r="AC36" s="1813">
        <f t="shared" si="5"/>
        <v>1</v>
      </c>
    </row>
    <row r="37" spans="1:29" ht="15">
      <c r="A37" s="478" t="s">
        <v>2714</v>
      </c>
      <c r="B37" s="2696" t="s">
        <v>2715</v>
      </c>
      <c r="C37" s="1409" t="s">
        <v>1</v>
      </c>
      <c r="D37" s="1410"/>
      <c r="E37" s="1411"/>
      <c r="F37" s="1412"/>
      <c r="G37" s="1413"/>
      <c r="H37" s="1414"/>
      <c r="I37" s="1411"/>
      <c r="J37" s="1414"/>
      <c r="K37" s="618"/>
      <c r="L37" s="1145"/>
      <c r="M37" s="1146"/>
      <c r="N37" s="1133"/>
      <c r="O37" s="1146"/>
      <c r="P37" s="3199" t="str">
        <f>A37</f>
        <v>成交单价</v>
      </c>
      <c r="Q37" s="3199"/>
      <c r="R37" s="3200">
        <f>E37</f>
        <v>0</v>
      </c>
      <c r="S37" s="3200"/>
      <c r="T37" s="3200">
        <f>G37</f>
        <v>0</v>
      </c>
      <c r="U37" s="3200"/>
      <c r="V37" s="3200">
        <f>I37</f>
        <v>0</v>
      </c>
      <c r="W37" s="3200"/>
      <c r="X37" s="758"/>
      <c r="Y37" s="780"/>
      <c r="Z37" s="758"/>
      <c r="AA37" s="758"/>
      <c r="AB37" s="758"/>
      <c r="AC37" s="758"/>
    </row>
    <row r="38" spans="1:29" ht="15.75" thickBot="1">
      <c r="A38" s="485" t="s">
        <v>2716</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99" t="str">
        <f>A38</f>
        <v>比较价值（元/平方米）</v>
      </c>
      <c r="Q38" s="3199"/>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758"/>
      <c r="Y38" s="758"/>
      <c r="Z38" s="758"/>
      <c r="AA38" s="758"/>
      <c r="AB38" s="758"/>
      <c r="AC38" s="758"/>
    </row>
    <row r="39" spans="1:29" ht="15.75" thickBot="1">
      <c r="A39" s="491" t="s">
        <v>2717</v>
      </c>
      <c r="B39" s="492"/>
      <c r="C39" s="1419" t="e">
        <f>R39</f>
        <v>#DIV/0!</v>
      </c>
      <c r="D39" s="1419"/>
      <c r="E39" s="1419"/>
      <c r="F39" s="1419"/>
      <c r="G39" s="1419"/>
      <c r="H39" s="1419"/>
      <c r="I39" s="1419"/>
      <c r="J39" s="1419"/>
      <c r="K39" s="620"/>
      <c r="L39" s="1145"/>
      <c r="M39" s="1146"/>
      <c r="N39" s="1146"/>
      <c r="O39" s="1146"/>
      <c r="P39" s="3201" t="str">
        <f>A39</f>
        <v>估价对象XX用房的比较价值（楼面单价，元/平方米）</v>
      </c>
      <c r="Q39" s="3202"/>
      <c r="R39" s="3203" t="e">
        <f>IF(F1="售价",ROUND(AVERAGE(R38:V38),0),ROUND(AVERAGE(R38:V38),1))</f>
        <v>#DIV/0!</v>
      </c>
      <c r="S39" s="3203"/>
      <c r="T39" s="3203"/>
      <c r="U39" s="3203"/>
      <c r="V39" s="3203"/>
      <c r="W39" s="320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2722</v>
      </c>
      <c r="B48" s="505"/>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2579</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2544</v>
      </c>
      <c r="B51" s="509"/>
      <c r="C51" s="521" t="s">
        <v>2646</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2582</v>
      </c>
      <c r="B53" s="527" t="s">
        <v>2548</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2597</v>
      </c>
      <c r="C65" s="577" t="s">
        <v>2591</v>
      </c>
      <c r="D65" s="577" t="s">
        <v>2592</v>
      </c>
      <c r="E65" s="577" t="s">
        <v>2593</v>
      </c>
      <c r="F65" s="577" t="s">
        <v>2594</v>
      </c>
      <c r="G65" s="577" t="s">
        <v>2595</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2683</v>
      </c>
      <c r="C67" s="659" t="s">
        <v>2669</v>
      </c>
      <c r="D67" s="659" t="s">
        <v>2670</v>
      </c>
      <c r="E67" s="659" t="s">
        <v>2671</v>
      </c>
      <c r="F67" s="659" t="s">
        <v>2672</v>
      </c>
      <c r="G67" s="659" t="s">
        <v>2673</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2603</v>
      </c>
      <c r="C69" s="577" t="s">
        <v>2591</v>
      </c>
      <c r="D69" s="577" t="s">
        <v>2592</v>
      </c>
      <c r="E69" s="577" t="s">
        <v>2593</v>
      </c>
      <c r="F69" s="577" t="s">
        <v>2594</v>
      </c>
      <c r="G69" s="577" t="s">
        <v>2595</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2723</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2557</v>
      </c>
      <c r="B79" s="527" t="s">
        <v>2724</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2725</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2610</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2727</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2729</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2730</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2701</v>
      </c>
      <c r="B1" s="1621"/>
      <c r="C1" s="1622" t="s">
        <v>2524</v>
      </c>
      <c r="D1" s="1623"/>
      <c r="E1" s="1632"/>
      <c r="F1" s="2585"/>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2321</v>
      </c>
      <c r="B2" s="1420" t="e">
        <f ca="1">IF(C2="——",ROUND(C37*D3/10000,0),ROUND(C37*D3/10000,0)-D2)</f>
        <v>#DIV/0!</v>
      </c>
      <c r="C2" s="2587"/>
      <c r="D2" s="1126" t="e">
        <f ca="1">SUMIF(INDIRECT("'"&amp;F2&amp;"'"&amp;"!A:A"),"承租人权益价值",INDIRECT("'"&amp;F2&amp;"'"&amp;"!c:c"))</f>
        <v>#REF!</v>
      </c>
      <c r="E2" s="2588" t="s">
        <v>2322</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2639</v>
      </c>
      <c r="B4" s="401"/>
      <c r="C4" s="3177" t="s">
        <v>2640</v>
      </c>
      <c r="D4" s="3178"/>
      <c r="E4" s="3179" t="s">
        <v>2641</v>
      </c>
      <c r="F4" s="3180"/>
      <c r="G4" s="3177" t="s">
        <v>2642</v>
      </c>
      <c r="H4" s="3178"/>
      <c r="I4" s="3177" t="s">
        <v>2643</v>
      </c>
      <c r="J4" s="3178"/>
      <c r="K4" s="609" t="s">
        <v>2644</v>
      </c>
      <c r="L4" s="1132"/>
      <c r="M4" s="1133"/>
      <c r="N4" s="1133"/>
      <c r="O4" s="1133"/>
      <c r="P4" s="3181" t="s">
        <v>2645</v>
      </c>
      <c r="Q4" s="3182"/>
      <c r="R4" s="3164" t="s">
        <v>2641</v>
      </c>
      <c r="S4" s="3165"/>
      <c r="T4" s="3164" t="s">
        <v>2642</v>
      </c>
      <c r="U4" s="3165"/>
      <c r="V4" s="3161" t="s">
        <v>2643</v>
      </c>
      <c r="W4" s="3161"/>
      <c r="X4" s="1815"/>
      <c r="Y4" s="3164" t="s">
        <v>2645</v>
      </c>
      <c r="Z4" s="3165"/>
      <c r="AA4" s="3158" t="s">
        <v>2641</v>
      </c>
      <c r="AB4" s="3159" t="s">
        <v>2642</v>
      </c>
      <c r="AC4" s="3158" t="s">
        <v>2643</v>
      </c>
    </row>
    <row r="5" spans="1:29" ht="15">
      <c r="A5" s="403"/>
      <c r="B5" s="404"/>
      <c r="C5" s="3170" t="s">
        <v>2536</v>
      </c>
      <c r="D5" s="3171"/>
      <c r="E5" s="3168" t="s">
        <v>2537</v>
      </c>
      <c r="F5" s="3169"/>
      <c r="G5" s="3170" t="s">
        <v>2538</v>
      </c>
      <c r="H5" s="3171"/>
      <c r="I5" s="3170" t="s">
        <v>2539</v>
      </c>
      <c r="J5" s="3171"/>
      <c r="K5" s="609"/>
      <c r="L5" s="1132"/>
      <c r="M5" s="1133"/>
      <c r="N5" s="1133"/>
      <c r="O5" s="1133"/>
      <c r="P5" s="3183"/>
      <c r="Q5" s="3184"/>
      <c r="R5" s="3166"/>
      <c r="S5" s="3167"/>
      <c r="T5" s="3166"/>
      <c r="U5" s="3167"/>
      <c r="V5" s="3161"/>
      <c r="W5" s="3161"/>
      <c r="X5" s="1815"/>
      <c r="Y5" s="3166"/>
      <c r="Z5" s="3167"/>
      <c r="AA5" s="3159"/>
      <c r="AB5" s="3159"/>
      <c r="AC5" s="3159"/>
    </row>
    <row r="6" spans="1:29" ht="15.75" thickBot="1">
      <c r="A6" s="405"/>
      <c r="B6" s="406"/>
      <c r="C6" s="3172" t="s">
        <v>2540</v>
      </c>
      <c r="D6" s="3173"/>
      <c r="E6" s="3174" t="s">
        <v>2540</v>
      </c>
      <c r="F6" s="3175"/>
      <c r="G6" s="3172" t="s">
        <v>2540</v>
      </c>
      <c r="H6" s="3173"/>
      <c r="I6" s="3172" t="s">
        <v>2540</v>
      </c>
      <c r="J6" s="3173"/>
      <c r="K6" s="609" t="s">
        <v>2541</v>
      </c>
      <c r="L6" s="1132"/>
      <c r="M6" s="1133"/>
      <c r="N6" s="1133"/>
      <c r="O6" s="1133"/>
      <c r="P6" s="3185"/>
      <c r="Q6" s="3186"/>
      <c r="R6" s="3166"/>
      <c r="S6" s="3167"/>
      <c r="T6" s="3187"/>
      <c r="U6" s="3188"/>
      <c r="V6" s="3161"/>
      <c r="W6" s="3161"/>
      <c r="X6" s="1815"/>
      <c r="Y6" s="3187"/>
      <c r="Z6" s="3188"/>
      <c r="AA6" s="3160"/>
      <c r="AB6" s="3160"/>
      <c r="AC6" s="3160"/>
    </row>
    <row r="7" spans="1:29" s="116" customFormat="1" ht="15.75" thickBot="1">
      <c r="A7" s="407" t="s">
        <v>2542</v>
      </c>
      <c r="B7" s="408"/>
      <c r="C7" s="409">
        <f>'数据-取费表'!B2</f>
        <v>43405</v>
      </c>
      <c r="D7" s="410">
        <v>100</v>
      </c>
      <c r="E7" s="411"/>
      <c r="F7" s="412">
        <f>SUMIF(46:46,YEAR(E7)&amp;"-"&amp;MONTH(E7),47:47)</f>
        <v>0</v>
      </c>
      <c r="G7" s="2697"/>
      <c r="H7" s="410">
        <f>SUMIF(46:46,YEAR(G7)&amp;"-"&amp;MONTH(G7),47:47)</f>
        <v>0</v>
      </c>
      <c r="I7" s="411"/>
      <c r="J7" s="410">
        <f>SUMIF(46:46,YEAR(I7)&amp;"-"&amp;MONTH(I7),47:47)</f>
        <v>0</v>
      </c>
      <c r="K7" s="610"/>
      <c r="L7" s="1134"/>
      <c r="M7" s="1135"/>
      <c r="N7" s="1135"/>
      <c r="O7" s="1135"/>
      <c r="P7" s="3162" t="s">
        <v>2543</v>
      </c>
      <c r="Q7" s="3189"/>
      <c r="R7" s="769" t="s">
        <v>17</v>
      </c>
      <c r="S7" s="770">
        <f t="shared" ref="S7:S14" si="0">F7</f>
        <v>0</v>
      </c>
      <c r="T7" s="769" t="s">
        <v>17</v>
      </c>
      <c r="U7" s="770">
        <f t="shared" ref="U7:U14" si="1">H7</f>
        <v>0</v>
      </c>
      <c r="V7" s="769" t="s">
        <v>17</v>
      </c>
      <c r="W7" s="770">
        <f t="shared" ref="W7:W14" si="2">J7</f>
        <v>0</v>
      </c>
      <c r="X7" s="771"/>
      <c r="Y7" s="3162" t="s">
        <v>2543</v>
      </c>
      <c r="Z7" s="3163"/>
      <c r="AA7" s="772" t="e">
        <f>D7/F7</f>
        <v>#DIV/0!</v>
      </c>
      <c r="AB7" s="772" t="e">
        <f>D7/H7</f>
        <v>#DIV/0!</v>
      </c>
      <c r="AC7" s="772" t="e">
        <f>D7/J7</f>
        <v>#DIV/0!</v>
      </c>
    </row>
    <row r="8" spans="1:29" s="116"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62" t="s">
        <v>2546</v>
      </c>
      <c r="Q8" s="3163"/>
      <c r="R8" s="769" t="s">
        <v>17</v>
      </c>
      <c r="S8" s="770">
        <f t="shared" si="0"/>
        <v>0</v>
      </c>
      <c r="T8" s="769" t="s">
        <v>17</v>
      </c>
      <c r="U8" s="770">
        <f t="shared" si="1"/>
        <v>0</v>
      </c>
      <c r="V8" s="769" t="s">
        <v>17</v>
      </c>
      <c r="W8" s="770">
        <f t="shared" si="2"/>
        <v>0</v>
      </c>
      <c r="X8" s="771"/>
      <c r="Y8" s="3162" t="s">
        <v>2546</v>
      </c>
      <c r="Z8" s="3163"/>
      <c r="AA8" s="772" t="e">
        <f t="shared" ref="AA8:AA34" si="3">D8/F8</f>
        <v>#DIV/0!</v>
      </c>
      <c r="AB8" s="772" t="e">
        <f t="shared" ref="AB8:AB34" si="4">D8/H8</f>
        <v>#DIV/0!</v>
      </c>
      <c r="AC8" s="772" t="e">
        <f t="shared" ref="AC8:AC34" si="5">D8/J8</f>
        <v>#DIV/0!</v>
      </c>
    </row>
    <row r="9" spans="1:29" s="116" customFormat="1">
      <c r="A9" s="414" t="s">
        <v>2547</v>
      </c>
      <c r="B9" s="70" t="s">
        <v>2548</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99" t="s">
        <v>2549</v>
      </c>
      <c r="Q9" s="1797" t="str">
        <f t="shared" ref="Q9:Q14" si="6">B9</f>
        <v>用途</v>
      </c>
      <c r="R9" s="769" t="s">
        <v>17</v>
      </c>
      <c r="S9" s="770">
        <f t="shared" si="0"/>
        <v>100</v>
      </c>
      <c r="T9" s="769" t="s">
        <v>17</v>
      </c>
      <c r="U9" s="770">
        <f t="shared" si="1"/>
        <v>100</v>
      </c>
      <c r="V9" s="769" t="s">
        <v>17</v>
      </c>
      <c r="W9" s="770">
        <f t="shared" si="2"/>
        <v>100</v>
      </c>
      <c r="X9" s="771"/>
      <c r="Y9" s="3035" t="s">
        <v>2550</v>
      </c>
      <c r="Z9" s="55" t="str">
        <f t="shared" ref="Z9:Z14" si="7">Q9</f>
        <v>用途</v>
      </c>
      <c r="AA9" s="772">
        <f t="shared" si="3"/>
        <v>1</v>
      </c>
      <c r="AB9" s="772">
        <f t="shared" si="4"/>
        <v>1</v>
      </c>
      <c r="AC9" s="772">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99"/>
      <c r="Q10" s="1797"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99"/>
      <c r="Q11" s="1797">
        <f t="shared" si="6"/>
        <v>111</v>
      </c>
      <c r="R11" s="769" t="s">
        <v>17</v>
      </c>
      <c r="S11" s="770">
        <f t="shared" si="0"/>
        <v>100</v>
      </c>
      <c r="T11" s="769" t="s">
        <v>17</v>
      </c>
      <c r="U11" s="770">
        <f t="shared" si="1"/>
        <v>100</v>
      </c>
      <c r="V11" s="769" t="s">
        <v>17</v>
      </c>
      <c r="W11" s="770">
        <f t="shared" si="2"/>
        <v>100</v>
      </c>
      <c r="X11" s="771"/>
      <c r="Y11" s="3035"/>
      <c r="Z11" s="55">
        <f t="shared" si="7"/>
        <v>111</v>
      </c>
      <c r="AA11" s="772">
        <f t="shared" si="3"/>
        <v>1</v>
      </c>
      <c r="AB11" s="772">
        <f t="shared" si="4"/>
        <v>1</v>
      </c>
      <c r="AC11" s="772">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99"/>
      <c r="Q12" s="1797">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42"/>
      <c r="M13" s="1133"/>
      <c r="N13" s="1133"/>
      <c r="O13" s="1141"/>
      <c r="P13" s="3199"/>
      <c r="Q13" s="1797">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85.5">
      <c r="A14" s="439" t="s">
        <v>2553</v>
      </c>
      <c r="B14" s="68" t="s">
        <v>2703</v>
      </c>
      <c r="C14" s="269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92" t="s">
        <v>2554</v>
      </c>
      <c r="Q14" s="1812" t="str">
        <f t="shared" si="6"/>
        <v>交通便捷度</v>
      </c>
      <c r="R14" s="773" t="s">
        <v>17</v>
      </c>
      <c r="S14" s="774">
        <f t="shared" si="0"/>
        <v>100</v>
      </c>
      <c r="T14" s="773" t="s">
        <v>17</v>
      </c>
      <c r="U14" s="774">
        <f t="shared" si="1"/>
        <v>100</v>
      </c>
      <c r="V14" s="773" t="s">
        <v>17</v>
      </c>
      <c r="W14" s="774">
        <f t="shared" si="2"/>
        <v>100</v>
      </c>
      <c r="X14" s="1815"/>
      <c r="Y14" s="3192" t="s">
        <v>2554</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93"/>
      <c r="Q15" s="1812"/>
      <c r="R15" s="773"/>
      <c r="S15" s="774"/>
      <c r="T15" s="773"/>
      <c r="U15" s="774"/>
      <c r="V15" s="773"/>
      <c r="W15" s="774"/>
      <c r="X15" s="1815"/>
      <c r="Y15" s="3193"/>
      <c r="Z15" s="1816"/>
      <c r="AA15" s="1813">
        <v>1</v>
      </c>
      <c r="AB15" s="1813">
        <v>1</v>
      </c>
      <c r="AC15" s="1813">
        <v>1</v>
      </c>
    </row>
    <row r="16" spans="1:29" ht="42.75">
      <c r="A16" s="427"/>
      <c r="B16" s="450" t="s">
        <v>2682</v>
      </c>
      <c r="C16" s="260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93"/>
      <c r="Q16" s="1812" t="str">
        <f>B16</f>
        <v>公共配套设施</v>
      </c>
      <c r="R16" s="773" t="s">
        <v>17</v>
      </c>
      <c r="S16" s="774">
        <f>F16</f>
        <v>100</v>
      </c>
      <c r="T16" s="773" t="s">
        <v>17</v>
      </c>
      <c r="U16" s="774">
        <f>H16</f>
        <v>100</v>
      </c>
      <c r="V16" s="773" t="s">
        <v>17</v>
      </c>
      <c r="W16" s="774">
        <f>J16</f>
        <v>100</v>
      </c>
      <c r="X16" s="1815"/>
      <c r="Y16" s="3193"/>
      <c r="Z16" s="1816" t="str">
        <f>Q16</f>
        <v>公共配套设施</v>
      </c>
      <c r="AA16" s="1813">
        <f t="shared" si="3"/>
        <v>1</v>
      </c>
      <c r="AB16" s="1813">
        <f t="shared" si="4"/>
        <v>1</v>
      </c>
      <c r="AC16" s="1813">
        <f t="shared" si="5"/>
        <v>1</v>
      </c>
    </row>
    <row r="17" spans="1:29" ht="15">
      <c r="A17" s="427"/>
      <c r="B17" s="455"/>
      <c r="C17" s="2609"/>
      <c r="D17" s="447"/>
      <c r="E17" s="446"/>
      <c r="F17" s="448"/>
      <c r="G17" s="446"/>
      <c r="H17" s="447"/>
      <c r="I17" s="446"/>
      <c r="J17" s="447"/>
      <c r="K17" s="614"/>
      <c r="L17" s="1142"/>
      <c r="M17" s="1133"/>
      <c r="N17" s="1133"/>
      <c r="O17" s="1141"/>
      <c r="P17" s="3193"/>
      <c r="Q17" s="1812"/>
      <c r="R17" s="773"/>
      <c r="S17" s="774"/>
      <c r="T17" s="773"/>
      <c r="U17" s="774"/>
      <c r="V17" s="773"/>
      <c r="W17" s="774"/>
      <c r="X17" s="1815"/>
      <c r="Y17" s="3193"/>
      <c r="Z17" s="1816"/>
      <c r="AA17" s="1813">
        <v>1</v>
      </c>
      <c r="AB17" s="1813">
        <v>1</v>
      </c>
      <c r="AC17" s="1813">
        <v>1</v>
      </c>
    </row>
    <row r="18" spans="1:29" ht="28.5">
      <c r="A18" s="427"/>
      <c r="B18" s="1386" t="s">
        <v>2683</v>
      </c>
      <c r="C18" s="260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93"/>
      <c r="Q18" s="1812" t="str">
        <f>B18</f>
        <v>基础设施水平</v>
      </c>
      <c r="R18" s="773" t="s">
        <v>17</v>
      </c>
      <c r="S18" s="774">
        <f>F18</f>
        <v>100</v>
      </c>
      <c r="T18" s="773" t="s">
        <v>17</v>
      </c>
      <c r="U18" s="774">
        <f>H18</f>
        <v>100</v>
      </c>
      <c r="V18" s="773" t="s">
        <v>17</v>
      </c>
      <c r="W18" s="774">
        <f>J18</f>
        <v>100</v>
      </c>
      <c r="X18" s="1815"/>
      <c r="Y18" s="3193"/>
      <c r="Z18" s="1816" t="str">
        <f>Q18</f>
        <v>基础设施水平</v>
      </c>
      <c r="AA18" s="1813">
        <f t="shared" ref="AA18" si="8">D18/F18</f>
        <v>1</v>
      </c>
      <c r="AB18" s="1813">
        <f t="shared" ref="AB18" si="9">D18/H18</f>
        <v>1</v>
      </c>
      <c r="AC18" s="1813">
        <f t="shared" ref="AC18" si="10">D18/J18</f>
        <v>1</v>
      </c>
    </row>
    <row r="19" spans="1:29" ht="15">
      <c r="A19" s="427"/>
      <c r="B19" s="1386"/>
      <c r="C19" s="2609"/>
      <c r="D19" s="449"/>
      <c r="E19" s="2609"/>
      <c r="F19" s="452"/>
      <c r="G19" s="2609"/>
      <c r="H19" s="447"/>
      <c r="I19" s="446"/>
      <c r="J19" s="447"/>
      <c r="K19" s="1385"/>
      <c r="L19" s="1142"/>
      <c r="M19" s="1133"/>
      <c r="N19" s="1133"/>
      <c r="O19" s="1141"/>
      <c r="P19" s="3193"/>
      <c r="Q19" s="1812"/>
      <c r="R19" s="773"/>
      <c r="S19" s="774"/>
      <c r="T19" s="773"/>
      <c r="U19" s="774"/>
      <c r="V19" s="773"/>
      <c r="W19" s="774"/>
      <c r="X19" s="1815"/>
      <c r="Y19" s="3193"/>
      <c r="Z19" s="1816"/>
      <c r="AA19" s="1813">
        <v>1</v>
      </c>
      <c r="AB19" s="1813">
        <v>1</v>
      </c>
      <c r="AC19" s="1813">
        <v>1</v>
      </c>
    </row>
    <row r="20" spans="1:29" ht="57">
      <c r="A20" s="427"/>
      <c r="B20" s="450" t="s">
        <v>2704</v>
      </c>
      <c r="C20" s="260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93"/>
      <c r="Q20" s="1812" t="str">
        <f>B20</f>
        <v>自然及人文环境</v>
      </c>
      <c r="R20" s="773" t="s">
        <v>17</v>
      </c>
      <c r="S20" s="774">
        <f>F20</f>
        <v>100</v>
      </c>
      <c r="T20" s="773" t="s">
        <v>17</v>
      </c>
      <c r="U20" s="774">
        <f>H20</f>
        <v>100</v>
      </c>
      <c r="V20" s="773" t="s">
        <v>17</v>
      </c>
      <c r="W20" s="774">
        <f>J20</f>
        <v>100</v>
      </c>
      <c r="X20" s="1815"/>
      <c r="Y20" s="3193"/>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93"/>
      <c r="Q21" s="1812"/>
      <c r="R21" s="773"/>
      <c r="S21" s="774"/>
      <c r="T21" s="773"/>
      <c r="U21" s="774"/>
      <c r="V21" s="773"/>
      <c r="W21" s="774"/>
      <c r="X21" s="1815"/>
      <c r="Y21" s="3193"/>
      <c r="Z21" s="1816"/>
      <c r="AA21" s="1813">
        <v>1</v>
      </c>
      <c r="AB21" s="1813">
        <v>1</v>
      </c>
      <c r="AC21" s="1813">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93"/>
      <c r="Q22" s="1812" t="str">
        <f>B22</f>
        <v>楼层</v>
      </c>
      <c r="R22" s="773" t="s">
        <v>17</v>
      </c>
      <c r="S22" s="774">
        <f>F22</f>
        <v>100</v>
      </c>
      <c r="T22" s="773" t="s">
        <v>17</v>
      </c>
      <c r="U22" s="774">
        <f>H22</f>
        <v>100</v>
      </c>
      <c r="V22" s="773" t="s">
        <v>17</v>
      </c>
      <c r="W22" s="774">
        <f>J22</f>
        <v>100</v>
      </c>
      <c r="X22" s="1815"/>
      <c r="Y22" s="3193"/>
      <c r="Z22" s="1816" t="str">
        <f>Q22</f>
        <v>楼层</v>
      </c>
      <c r="AA22" s="1813">
        <f t="shared" si="3"/>
        <v>1</v>
      </c>
      <c r="AB22" s="1813">
        <f t="shared" si="4"/>
        <v>1</v>
      </c>
      <c r="AC22" s="1813">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93"/>
      <c r="Q23" s="1812">
        <f>B23</f>
        <v>111</v>
      </c>
      <c r="R23" s="773" t="s">
        <v>17</v>
      </c>
      <c r="S23" s="774">
        <f>F23</f>
        <v>100</v>
      </c>
      <c r="T23" s="773" t="s">
        <v>17</v>
      </c>
      <c r="U23" s="774">
        <f>H23</f>
        <v>100</v>
      </c>
      <c r="V23" s="773" t="s">
        <v>17</v>
      </c>
      <c r="W23" s="774">
        <f>J23</f>
        <v>100</v>
      </c>
      <c r="X23" s="1815"/>
      <c r="Y23" s="3193"/>
      <c r="Z23" s="1816">
        <f>Q23</f>
        <v>111</v>
      </c>
      <c r="AA23" s="1813">
        <f t="shared" si="3"/>
        <v>1</v>
      </c>
      <c r="AB23" s="1813">
        <f t="shared" si="4"/>
        <v>1</v>
      </c>
      <c r="AC23" s="1813">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93"/>
      <c r="Q24" s="1812">
        <f t="shared" ref="Q24:Q34" si="11">B24</f>
        <v>111</v>
      </c>
      <c r="R24" s="773" t="s">
        <v>17</v>
      </c>
      <c r="S24" s="774">
        <f>F24</f>
        <v>100</v>
      </c>
      <c r="T24" s="773" t="s">
        <v>17</v>
      </c>
      <c r="U24" s="774">
        <f>H24</f>
        <v>100</v>
      </c>
      <c r="V24" s="773" t="s">
        <v>17</v>
      </c>
      <c r="W24" s="774">
        <f>J24</f>
        <v>100</v>
      </c>
      <c r="X24" s="1815"/>
      <c r="Y24" s="3193"/>
      <c r="Z24" s="1816">
        <f>Q24</f>
        <v>111</v>
      </c>
      <c r="AA24" s="1813">
        <f t="shared" si="3"/>
        <v>1</v>
      </c>
      <c r="AB24" s="1813">
        <f t="shared" si="4"/>
        <v>1</v>
      </c>
      <c r="AC24" s="1813">
        <f t="shared" si="5"/>
        <v>1</v>
      </c>
    </row>
    <row r="25" spans="1:29" s="116"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4"/>
      <c r="M25" s="1135"/>
      <c r="N25" s="1135"/>
      <c r="O25" s="1136"/>
      <c r="P25" s="3193"/>
      <c r="Q25" s="1797">
        <f t="shared" si="11"/>
        <v>111</v>
      </c>
      <c r="R25" s="769" t="s">
        <v>17</v>
      </c>
      <c r="S25" s="770">
        <f>F25</f>
        <v>100</v>
      </c>
      <c r="T25" s="769" t="s">
        <v>17</v>
      </c>
      <c r="U25" s="770">
        <f>H25</f>
        <v>100</v>
      </c>
      <c r="V25" s="769" t="s">
        <v>17</v>
      </c>
      <c r="W25" s="770">
        <f>J25</f>
        <v>100</v>
      </c>
      <c r="X25" s="771"/>
      <c r="Y25" s="3193"/>
      <c r="Z25" s="55">
        <f>Q25</f>
        <v>111</v>
      </c>
      <c r="AA25" s="1813">
        <f>D25/F25</f>
        <v>1</v>
      </c>
      <c r="AB25" s="1813">
        <f>D25/H25</f>
        <v>1</v>
      </c>
      <c r="AC25" s="1813">
        <f>D25/J25</f>
        <v>1</v>
      </c>
    </row>
    <row r="26" spans="1:29" ht="28.5">
      <c r="A26" s="465" t="s">
        <v>2557</v>
      </c>
      <c r="B26" s="70" t="s">
        <v>2708</v>
      </c>
      <c r="C26" s="2680"/>
      <c r="D26" s="466">
        <v>100</v>
      </c>
      <c r="E26" s="2680"/>
      <c r="F26" s="666">
        <f>SUMIF(77:77,E26,78:78)-SUMIF(77:77,C26,78:78)+100</f>
        <v>100</v>
      </c>
      <c r="G26" s="2680"/>
      <c r="H26" s="466">
        <f>SUMIF(77:77,G26,78:78)-SUMIF(77:77,C26,78:78)+100</f>
        <v>100</v>
      </c>
      <c r="I26" s="2680"/>
      <c r="J26" s="466">
        <f>SUMIF(77:77,I26,78:78)-SUMIF(77:77,C26,78:78)+100</f>
        <v>100</v>
      </c>
      <c r="K26" s="611"/>
      <c r="L26" s="1142"/>
      <c r="M26" s="1133"/>
      <c r="N26" s="1133"/>
      <c r="O26" s="1141"/>
      <c r="P26" s="3246" t="s">
        <v>2559</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97" t="s">
        <v>2559</v>
      </c>
      <c r="Z26" s="1816" t="str">
        <f t="shared" ref="Z26:Z34" si="15">Q26</f>
        <v>公共部分装修</v>
      </c>
      <c r="AA26" s="1813">
        <f t="shared" si="3"/>
        <v>1</v>
      </c>
      <c r="AB26" s="1813">
        <f t="shared" si="4"/>
        <v>1</v>
      </c>
      <c r="AC26" s="1813">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97"/>
      <c r="Q27" s="775" t="str">
        <f t="shared" si="11"/>
        <v>成新率</v>
      </c>
      <c r="R27" s="776" t="s">
        <v>17</v>
      </c>
      <c r="S27" s="777" t="e">
        <f t="shared" si="12"/>
        <v>#N/A</v>
      </c>
      <c r="T27" s="776" t="s">
        <v>17</v>
      </c>
      <c r="U27" s="777" t="e">
        <f t="shared" si="13"/>
        <v>#N/A</v>
      </c>
      <c r="V27" s="776" t="s">
        <v>17</v>
      </c>
      <c r="W27" s="777" t="e">
        <f t="shared" si="14"/>
        <v>#N/A</v>
      </c>
      <c r="X27" s="778"/>
      <c r="Y27" s="3197"/>
      <c r="Z27" s="779" t="str">
        <f t="shared" si="15"/>
        <v>成新率</v>
      </c>
      <c r="AA27" s="1813" t="e">
        <f t="shared" si="3"/>
        <v>#N/A</v>
      </c>
      <c r="AB27" s="1813" t="e">
        <f t="shared" si="4"/>
        <v>#N/A</v>
      </c>
      <c r="AC27" s="1813"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97"/>
      <c r="Q28" s="1812" t="str">
        <f t="shared" si="11"/>
        <v>物业等级</v>
      </c>
      <c r="R28" s="773" t="s">
        <v>17</v>
      </c>
      <c r="S28" s="774">
        <f t="shared" si="12"/>
        <v>100</v>
      </c>
      <c r="T28" s="773" t="s">
        <v>17</v>
      </c>
      <c r="U28" s="774">
        <f t="shared" si="13"/>
        <v>100</v>
      </c>
      <c r="V28" s="773" t="s">
        <v>17</v>
      </c>
      <c r="W28" s="774">
        <f t="shared" si="14"/>
        <v>100</v>
      </c>
      <c r="X28" s="1815"/>
      <c r="Y28" s="3197"/>
      <c r="Z28" s="1816" t="str">
        <f t="shared" si="15"/>
        <v>物业等级</v>
      </c>
      <c r="AA28" s="1813">
        <f t="shared" si="3"/>
        <v>1</v>
      </c>
      <c r="AB28" s="1813">
        <f t="shared" si="4"/>
        <v>1</v>
      </c>
      <c r="AC28" s="1813">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97"/>
      <c r="Q29" s="1812" t="str">
        <f t="shared" si="11"/>
        <v>有无电梯</v>
      </c>
      <c r="R29" s="773" t="s">
        <v>17</v>
      </c>
      <c r="S29" s="774">
        <f t="shared" si="12"/>
        <v>100</v>
      </c>
      <c r="T29" s="773" t="s">
        <v>17</v>
      </c>
      <c r="U29" s="774">
        <f t="shared" si="13"/>
        <v>100</v>
      </c>
      <c r="V29" s="773" t="s">
        <v>17</v>
      </c>
      <c r="W29" s="774">
        <f t="shared" si="14"/>
        <v>100</v>
      </c>
      <c r="X29" s="1815"/>
      <c r="Y29" s="3197"/>
      <c r="Z29" s="1816" t="str">
        <f t="shared" si="15"/>
        <v>有无电梯</v>
      </c>
      <c r="AA29" s="1813">
        <f t="shared" si="3"/>
        <v>1</v>
      </c>
      <c r="AB29" s="1813">
        <f t="shared" si="4"/>
        <v>1</v>
      </c>
      <c r="AC29" s="1813">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97"/>
      <c r="Q30" s="1812" t="str">
        <f t="shared" si="11"/>
        <v>建筑面积</v>
      </c>
      <c r="R30" s="773" t="s">
        <v>17</v>
      </c>
      <c r="S30" s="774" t="e">
        <f t="shared" si="12"/>
        <v>#N/A</v>
      </c>
      <c r="T30" s="773" t="s">
        <v>17</v>
      </c>
      <c r="U30" s="774" t="e">
        <f t="shared" si="13"/>
        <v>#N/A</v>
      </c>
      <c r="V30" s="773" t="s">
        <v>17</v>
      </c>
      <c r="W30" s="774" t="e">
        <f t="shared" si="14"/>
        <v>#N/A</v>
      </c>
      <c r="X30" s="1815"/>
      <c r="Y30" s="3197"/>
      <c r="Z30" s="1816" t="str">
        <f t="shared" si="15"/>
        <v>建筑面积</v>
      </c>
      <c r="AA30" s="1813" t="e">
        <f t="shared" si="3"/>
        <v>#N/A</v>
      </c>
      <c r="AB30" s="1813" t="e">
        <f t="shared" si="4"/>
        <v>#N/A</v>
      </c>
      <c r="AC30" s="1813"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97"/>
      <c r="Q31" s="1797" t="str">
        <f t="shared" si="11"/>
        <v>是否封闭</v>
      </c>
      <c r="R31" s="769" t="s">
        <v>17</v>
      </c>
      <c r="S31" s="770">
        <f t="shared" si="12"/>
        <v>100</v>
      </c>
      <c r="T31" s="769" t="s">
        <v>17</v>
      </c>
      <c r="U31" s="770">
        <f t="shared" si="13"/>
        <v>100</v>
      </c>
      <c r="V31" s="769" t="s">
        <v>17</v>
      </c>
      <c r="W31" s="770">
        <f t="shared" si="14"/>
        <v>100</v>
      </c>
      <c r="X31" s="771"/>
      <c r="Y31" s="3197"/>
      <c r="Z31" s="55"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97" t="s">
        <v>2559</v>
      </c>
      <c r="Q32" s="1812">
        <f t="shared" si="11"/>
        <v>111</v>
      </c>
      <c r="R32" s="773" t="s">
        <v>17</v>
      </c>
      <c r="S32" s="774">
        <f t="shared" si="12"/>
        <v>100</v>
      </c>
      <c r="T32" s="773" t="s">
        <v>17</v>
      </c>
      <c r="U32" s="774">
        <f t="shared" si="13"/>
        <v>100</v>
      </c>
      <c r="V32" s="773" t="s">
        <v>17</v>
      </c>
      <c r="W32" s="774">
        <f t="shared" si="14"/>
        <v>100</v>
      </c>
      <c r="X32" s="1815"/>
      <c r="Y32" s="3197" t="s">
        <v>2559</v>
      </c>
      <c r="Z32" s="1816">
        <f t="shared" si="15"/>
        <v>111</v>
      </c>
      <c r="AA32" s="1813">
        <f t="shared" si="3"/>
        <v>1</v>
      </c>
      <c r="AB32" s="1813">
        <f t="shared" si="4"/>
        <v>1</v>
      </c>
      <c r="AC32" s="1813">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97"/>
      <c r="Q33" s="1812">
        <f t="shared" si="11"/>
        <v>111</v>
      </c>
      <c r="R33" s="773" t="s">
        <v>17</v>
      </c>
      <c r="S33" s="774">
        <f t="shared" si="12"/>
        <v>100</v>
      </c>
      <c r="T33" s="773" t="s">
        <v>17</v>
      </c>
      <c r="U33" s="774">
        <f t="shared" si="13"/>
        <v>100</v>
      </c>
      <c r="V33" s="773" t="s">
        <v>17</v>
      </c>
      <c r="W33" s="774">
        <f t="shared" si="14"/>
        <v>100</v>
      </c>
      <c r="X33" s="1815"/>
      <c r="Y33" s="3197"/>
      <c r="Z33" s="1816">
        <f t="shared" si="15"/>
        <v>111</v>
      </c>
      <c r="AA33" s="1813">
        <f t="shared" si="3"/>
        <v>1</v>
      </c>
      <c r="AB33" s="1813">
        <f t="shared" si="4"/>
        <v>1</v>
      </c>
      <c r="AC33" s="1813">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42"/>
      <c r="M34" s="1133"/>
      <c r="N34" s="1133"/>
      <c r="O34" s="1141"/>
      <c r="P34" s="3197"/>
      <c r="Q34" s="1812">
        <f t="shared" si="11"/>
        <v>111</v>
      </c>
      <c r="R34" s="773" t="s">
        <v>17</v>
      </c>
      <c r="S34" s="774">
        <f t="shared" si="12"/>
        <v>100</v>
      </c>
      <c r="T34" s="773" t="s">
        <v>17</v>
      </c>
      <c r="U34" s="774">
        <f t="shared" si="13"/>
        <v>100</v>
      </c>
      <c r="V34" s="773" t="s">
        <v>17</v>
      </c>
      <c r="W34" s="774">
        <f t="shared" si="14"/>
        <v>100</v>
      </c>
      <c r="X34" s="1815"/>
      <c r="Y34" s="3197"/>
      <c r="Z34" s="1816">
        <f t="shared" si="15"/>
        <v>111</v>
      </c>
      <c r="AA34" s="1813">
        <f t="shared" si="3"/>
        <v>1</v>
      </c>
      <c r="AB34" s="1813">
        <f t="shared" si="4"/>
        <v>1</v>
      </c>
      <c r="AC34" s="1813">
        <f t="shared" si="5"/>
        <v>1</v>
      </c>
    </row>
    <row r="35" spans="1:29" ht="15">
      <c r="A35" s="478" t="s">
        <v>2571</v>
      </c>
      <c r="B35" s="479"/>
      <c r="C35" s="1409" t="s">
        <v>1</v>
      </c>
      <c r="D35" s="1410"/>
      <c r="E35" s="1411"/>
      <c r="F35" s="1412"/>
      <c r="G35" s="1413"/>
      <c r="H35" s="1414"/>
      <c r="I35" s="1411"/>
      <c r="J35" s="1414"/>
      <c r="K35" s="782"/>
      <c r="L35" s="1145"/>
      <c r="M35" s="1146"/>
      <c r="N35" s="1133"/>
      <c r="O35" s="1146"/>
      <c r="P35" s="3199" t="str">
        <f>A35</f>
        <v>成交单价（元/平方米）</v>
      </c>
      <c r="Q35" s="3199"/>
      <c r="R35" s="3200">
        <f>E35</f>
        <v>0</v>
      </c>
      <c r="S35" s="3200"/>
      <c r="T35" s="3200">
        <f>G35</f>
        <v>0</v>
      </c>
      <c r="U35" s="3200"/>
      <c r="V35" s="3200">
        <f>I35</f>
        <v>0</v>
      </c>
      <c r="W35" s="3200"/>
      <c r="X35" s="758"/>
      <c r="Y35" s="780"/>
      <c r="Z35" s="758"/>
      <c r="AA35" s="758"/>
      <c r="AB35" s="758"/>
      <c r="AC35" s="758"/>
    </row>
    <row r="36" spans="1:29" ht="15.75" thickBot="1">
      <c r="A36" s="485" t="s">
        <v>2663</v>
      </c>
      <c r="B36" s="486"/>
      <c r="C36" s="1415" t="e">
        <f>R37</f>
        <v>#DIV/0!</v>
      </c>
      <c r="D36" s="1416"/>
      <c r="E36" s="1417" t="e">
        <f>R36</f>
        <v>#DIV/0!</v>
      </c>
      <c r="F36" s="1417"/>
      <c r="G36" s="1415" t="e">
        <f>T36</f>
        <v>#DIV/0!</v>
      </c>
      <c r="H36" s="1416"/>
      <c r="I36" s="1417" t="e">
        <f>V36</f>
        <v>#DIV/0!</v>
      </c>
      <c r="J36" s="1416"/>
      <c r="K36" s="783"/>
      <c r="L36" s="1145"/>
      <c r="M36" s="1146"/>
      <c r="N36" s="1133"/>
      <c r="O36" s="1146"/>
      <c r="P36" s="3199" t="str">
        <f>A36</f>
        <v>比较价值（元/平方米）</v>
      </c>
      <c r="Q36" s="3199"/>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758"/>
      <c r="Y36" s="758"/>
      <c r="Z36" s="758"/>
      <c r="AA36" s="758"/>
      <c r="AB36" s="758"/>
      <c r="AC36" s="758"/>
    </row>
    <row r="37" spans="1:29" ht="15.75" thickBot="1">
      <c r="A37" s="491" t="s">
        <v>2664</v>
      </c>
      <c r="B37" s="492"/>
      <c r="C37" s="1419" t="e">
        <f>R37</f>
        <v>#DIV/0!</v>
      </c>
      <c r="D37" s="1419"/>
      <c r="E37" s="1419"/>
      <c r="F37" s="1419"/>
      <c r="G37" s="1419"/>
      <c r="H37" s="1419"/>
      <c r="I37" s="1419"/>
      <c r="J37" s="1419"/>
      <c r="K37" s="784"/>
      <c r="L37" s="1145"/>
      <c r="M37" s="1146"/>
      <c r="N37" s="1146"/>
      <c r="O37" s="1146"/>
      <c r="P37" s="3201" t="str">
        <f>A37</f>
        <v>估价对象XX用房的比较价值（楼面单价，元/平方米）</v>
      </c>
      <c r="Q37" s="3202"/>
      <c r="R37" s="3203" t="e">
        <f>IF(F1="售价",ROUND(AVERAGE(R36:V36),0),ROUND(AVERAGE(R36:V36),1))</f>
        <v>#DIV/0!</v>
      </c>
      <c r="S37" s="3203"/>
      <c r="T37" s="3203"/>
      <c r="U37" s="3203"/>
      <c r="V37" s="3203"/>
      <c r="W37" s="320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2579</v>
      </c>
      <c r="B48" s="515"/>
      <c r="C48" s="516"/>
      <c r="D48" s="517"/>
      <c r="E48" s="517"/>
      <c r="F48" s="517"/>
      <c r="G48" s="517"/>
      <c r="H48" s="517"/>
      <c r="I48" s="517"/>
      <c r="J48" s="517"/>
      <c r="K48" s="517"/>
      <c r="L48" s="517"/>
      <c r="M48" s="518"/>
      <c r="N48" s="517"/>
      <c r="O48" s="519"/>
      <c r="P48" s="503"/>
      <c r="Q48" s="503"/>
    </row>
    <row r="49" spans="1:17" s="116" customFormat="1" ht="15">
      <c r="A49" s="520" t="s">
        <v>2544</v>
      </c>
      <c r="B49" s="509"/>
      <c r="C49" s="521" t="s">
        <v>2646</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2582</v>
      </c>
      <c r="B51" s="527" t="s">
        <v>2548</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2683</v>
      </c>
      <c r="C65" s="659" t="s">
        <v>2669</v>
      </c>
      <c r="D65" s="659" t="s">
        <v>2670</v>
      </c>
      <c r="E65" s="659" t="s">
        <v>2671</v>
      </c>
      <c r="F65" s="659" t="s">
        <v>2672</v>
      </c>
      <c r="G65" s="659" t="s">
        <v>2673</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2723</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2557</v>
      </c>
      <c r="B77" s="527" t="s">
        <v>2610</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2727</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2735</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2737</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2323</v>
      </c>
      <c r="B3" s="608" t="e">
        <f>ROUND(IF(D3="",B2*10000/'数据-汇总表'!E3,B2*10000/D3),0)</f>
        <v>#DIV/0!</v>
      </c>
      <c r="C3" s="246" t="s">
        <v>2740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2639</v>
      </c>
      <c r="B4" s="401"/>
      <c r="C4" s="3177" t="s">
        <v>2640</v>
      </c>
      <c r="D4" s="3178"/>
      <c r="E4" s="3179" t="s">
        <v>2641</v>
      </c>
      <c r="F4" s="3180"/>
      <c r="G4" s="3177" t="s">
        <v>2642</v>
      </c>
      <c r="H4" s="3178"/>
      <c r="I4" s="3177" t="s">
        <v>2643</v>
      </c>
      <c r="J4" s="3178"/>
      <c r="K4" s="609" t="s">
        <v>2644</v>
      </c>
      <c r="L4" s="1132"/>
      <c r="M4" s="1133"/>
      <c r="N4" s="1133"/>
      <c r="O4" s="1133"/>
      <c r="P4" s="3181" t="s">
        <v>2645</v>
      </c>
      <c r="Q4" s="3182"/>
      <c r="R4" s="3164" t="s">
        <v>2641</v>
      </c>
      <c r="S4" s="3165"/>
      <c r="T4" s="3164" t="s">
        <v>2642</v>
      </c>
      <c r="U4" s="3165"/>
      <c r="V4" s="3161" t="s">
        <v>2643</v>
      </c>
      <c r="W4" s="3161"/>
      <c r="X4" s="1815"/>
      <c r="Y4" s="3164" t="s">
        <v>2645</v>
      </c>
      <c r="Z4" s="3165"/>
      <c r="AA4" s="3158" t="s">
        <v>2641</v>
      </c>
      <c r="AB4" s="3159" t="s">
        <v>2642</v>
      </c>
      <c r="AC4" s="3158" t="s">
        <v>2643</v>
      </c>
    </row>
    <row r="5" spans="1:30" ht="15">
      <c r="A5" s="403"/>
      <c r="B5" s="404"/>
      <c r="C5" s="3170" t="s">
        <v>2536</v>
      </c>
      <c r="D5" s="3171"/>
      <c r="E5" s="3168" t="s">
        <v>2537</v>
      </c>
      <c r="F5" s="3169"/>
      <c r="G5" s="3170" t="s">
        <v>2538</v>
      </c>
      <c r="H5" s="3171"/>
      <c r="I5" s="3170" t="s">
        <v>2539</v>
      </c>
      <c r="J5" s="3171"/>
      <c r="K5" s="609"/>
      <c r="L5" s="1132"/>
      <c r="M5" s="1133"/>
      <c r="N5" s="1133"/>
      <c r="O5" s="1133"/>
      <c r="P5" s="3183"/>
      <c r="Q5" s="3184"/>
      <c r="R5" s="3166"/>
      <c r="S5" s="3167"/>
      <c r="T5" s="3166"/>
      <c r="U5" s="3167"/>
      <c r="V5" s="3161"/>
      <c r="W5" s="3161"/>
      <c r="X5" s="1815"/>
      <c r="Y5" s="3166"/>
      <c r="Z5" s="3167"/>
      <c r="AA5" s="3159"/>
      <c r="AB5" s="3159"/>
      <c r="AC5" s="3159"/>
    </row>
    <row r="6" spans="1:30" ht="15.75" thickBot="1">
      <c r="A6" s="405"/>
      <c r="B6" s="406"/>
      <c r="C6" s="3172" t="s">
        <v>2540</v>
      </c>
      <c r="D6" s="3173"/>
      <c r="E6" s="3174" t="s">
        <v>2540</v>
      </c>
      <c r="F6" s="3175"/>
      <c r="G6" s="3172" t="s">
        <v>2540</v>
      </c>
      <c r="H6" s="3173"/>
      <c r="I6" s="3172" t="s">
        <v>2540</v>
      </c>
      <c r="J6" s="3173"/>
      <c r="K6" s="609" t="s">
        <v>2541</v>
      </c>
      <c r="L6" s="1132"/>
      <c r="M6" s="1133"/>
      <c r="N6" s="1133"/>
      <c r="O6" s="1133"/>
      <c r="P6" s="3185"/>
      <c r="Q6" s="3186"/>
      <c r="R6" s="3166"/>
      <c r="S6" s="3167"/>
      <c r="T6" s="3187"/>
      <c r="U6" s="3188"/>
      <c r="V6" s="3161"/>
      <c r="W6" s="3161"/>
      <c r="X6" s="1815"/>
      <c r="Y6" s="3187"/>
      <c r="Z6" s="3188"/>
      <c r="AA6" s="3160"/>
      <c r="AB6" s="3160"/>
      <c r="AC6" s="3160"/>
    </row>
    <row r="7" spans="1:30" s="116" customFormat="1" ht="15.75" thickBot="1">
      <c r="A7" s="407" t="s">
        <v>2542</v>
      </c>
      <c r="B7" s="408"/>
      <c r="C7" s="409">
        <f>'数据-取费表'!B2</f>
        <v>43405</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4"/>
      <c r="M7" s="1135"/>
      <c r="N7" s="1135"/>
      <c r="O7" s="1135"/>
      <c r="P7" s="3162" t="s">
        <v>2543</v>
      </c>
      <c r="Q7" s="3189"/>
      <c r="R7" s="769" t="s">
        <v>17</v>
      </c>
      <c r="S7" s="770">
        <f t="shared" ref="S7:S15" si="0">F7</f>
        <v>0</v>
      </c>
      <c r="T7" s="769" t="s">
        <v>17</v>
      </c>
      <c r="U7" s="770">
        <f t="shared" ref="U7:U15" si="1">H7</f>
        <v>0</v>
      </c>
      <c r="V7" s="769" t="s">
        <v>17</v>
      </c>
      <c r="W7" s="770">
        <f t="shared" ref="W7:W15" si="2">J7</f>
        <v>0</v>
      </c>
      <c r="X7" s="771"/>
      <c r="Y7" s="3162" t="s">
        <v>2543</v>
      </c>
      <c r="Z7" s="3163"/>
      <c r="AA7" s="772" t="e">
        <f>D7/F7</f>
        <v>#DIV/0!</v>
      </c>
      <c r="AB7" s="772" t="e">
        <f>D7/H7</f>
        <v>#DIV/0!</v>
      </c>
      <c r="AC7" s="772" t="e">
        <f>D7/J7</f>
        <v>#DIV/0!</v>
      </c>
    </row>
    <row r="8" spans="1:30" s="116" customFormat="1" ht="15.7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162" t="s">
        <v>2546</v>
      </c>
      <c r="Q8" s="3163"/>
      <c r="R8" s="769" t="s">
        <v>17</v>
      </c>
      <c r="S8" s="770">
        <f t="shared" si="0"/>
        <v>0</v>
      </c>
      <c r="T8" s="769" t="s">
        <v>17</v>
      </c>
      <c r="U8" s="770">
        <f t="shared" si="1"/>
        <v>0</v>
      </c>
      <c r="V8" s="769" t="s">
        <v>17</v>
      </c>
      <c r="W8" s="770">
        <f t="shared" si="2"/>
        <v>0</v>
      </c>
      <c r="X8" s="771"/>
      <c r="Y8" s="3162" t="s">
        <v>2546</v>
      </c>
      <c r="Z8" s="3163"/>
      <c r="AA8" s="772" t="e">
        <f t="shared" ref="AA8:AA45" si="3">D8/F8</f>
        <v>#DIV/0!</v>
      </c>
      <c r="AB8" s="772" t="e">
        <f t="shared" ref="AB8:AB45" si="4">D8/H8</f>
        <v>#DIV/0!</v>
      </c>
      <c r="AC8" s="772" t="e">
        <f t="shared" ref="AC8:AC45" si="5">D8/J8</f>
        <v>#DIV/0!</v>
      </c>
    </row>
    <row r="9" spans="1:30" s="116" customFormat="1">
      <c r="A9" s="414" t="s">
        <v>2547</v>
      </c>
      <c r="B9" s="70" t="s">
        <v>2548</v>
      </c>
      <c r="C9" s="2700"/>
      <c r="D9" s="134">
        <v>100</v>
      </c>
      <c r="E9" s="2700"/>
      <c r="F9" s="134">
        <f>SUMIF(75:75,E9,76:76)-SUMIF(75:75,C9,76:76)+100</f>
        <v>100</v>
      </c>
      <c r="G9" s="2700"/>
      <c r="H9" s="134">
        <f>SUMIF(75:75,G9,76:76)-SUMIF(75:75,C9,76:76)+100</f>
        <v>100</v>
      </c>
      <c r="I9" s="2700"/>
      <c r="J9" s="134">
        <f>SUMIF(75:75,I9,76:76)-SUMIF(75:75,C9,76:76)+100</f>
        <v>100</v>
      </c>
      <c r="K9" s="610"/>
      <c r="L9" s="1134"/>
      <c r="M9" s="1135"/>
      <c r="N9" s="1135"/>
      <c r="O9" s="1136"/>
      <c r="P9" s="3199" t="s">
        <v>2549</v>
      </c>
      <c r="Q9" s="1797" t="str">
        <f t="shared" ref="Q9:Q15" si="6">B9</f>
        <v>用途</v>
      </c>
      <c r="R9" s="769" t="s">
        <v>17</v>
      </c>
      <c r="S9" s="770">
        <f t="shared" si="0"/>
        <v>100</v>
      </c>
      <c r="T9" s="769" t="s">
        <v>17</v>
      </c>
      <c r="U9" s="770">
        <f t="shared" si="1"/>
        <v>100</v>
      </c>
      <c r="V9" s="769" t="s">
        <v>17</v>
      </c>
      <c r="W9" s="770">
        <f t="shared" si="2"/>
        <v>100</v>
      </c>
      <c r="X9" s="771"/>
      <c r="Y9" s="3035" t="s">
        <v>2550</v>
      </c>
      <c r="Z9" s="55" t="str">
        <f t="shared" ref="Z9:Z15" si="7">Q9</f>
        <v>用途</v>
      </c>
      <c r="AA9" s="772">
        <f t="shared" si="3"/>
        <v>1</v>
      </c>
      <c r="AB9" s="772">
        <f t="shared" si="4"/>
        <v>1</v>
      </c>
      <c r="AC9" s="772">
        <f t="shared" si="5"/>
        <v>1</v>
      </c>
    </row>
    <row r="10" spans="1:30" s="426" customFormat="1" ht="27">
      <c r="A10" s="420"/>
      <c r="B10" s="421" t="s">
        <v>2551</v>
      </c>
      <c r="C10" s="431"/>
      <c r="D10" s="135">
        <v>100</v>
      </c>
      <c r="E10" s="464"/>
      <c r="F10" s="135">
        <f>ROUND(100/'数据-取费表'!G16,0)</f>
        <v>105</v>
      </c>
      <c r="G10" s="462"/>
      <c r="H10" s="135">
        <f>ROUND(100/'数据-取费表'!G16,0)</f>
        <v>105</v>
      </c>
      <c r="I10" s="462"/>
      <c r="J10" s="135">
        <f>ROUND(100/'数据-取费表'!G16,0)</f>
        <v>105</v>
      </c>
      <c r="K10" s="671"/>
      <c r="L10" s="1137"/>
      <c r="M10" s="1138"/>
      <c r="N10" s="1138"/>
      <c r="O10" s="1139"/>
      <c r="P10" s="3199"/>
      <c r="Q10" s="1797" t="str">
        <f t="shared" si="6"/>
        <v>土地使用年限（年）</v>
      </c>
      <c r="R10" s="769" t="s">
        <v>17</v>
      </c>
      <c r="S10" s="770">
        <f t="shared" si="0"/>
        <v>105</v>
      </c>
      <c r="T10" s="769" t="s">
        <v>17</v>
      </c>
      <c r="U10" s="770">
        <f t="shared" si="1"/>
        <v>105</v>
      </c>
      <c r="V10" s="769" t="s">
        <v>17</v>
      </c>
      <c r="W10" s="770">
        <f t="shared" si="2"/>
        <v>105</v>
      </c>
      <c r="X10" s="771"/>
      <c r="Y10" s="3035"/>
      <c r="Z10" s="55" t="str">
        <f t="shared" si="7"/>
        <v>土地使用年限（年）</v>
      </c>
      <c r="AA10" s="772">
        <f t="shared" si="3"/>
        <v>0.95238095238095233</v>
      </c>
      <c r="AB10" s="772">
        <f t="shared" si="4"/>
        <v>0.95238095238095233</v>
      </c>
      <c r="AC10" s="772">
        <f t="shared" si="5"/>
        <v>0.95238095238095233</v>
      </c>
    </row>
    <row r="11" spans="1:30" ht="15">
      <c r="A11" s="427"/>
      <c r="B11" s="421" t="s">
        <v>2552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199"/>
      <c r="Q11" s="1797"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772" t="e">
        <f t="shared" si="5"/>
        <v>#N/A</v>
      </c>
    </row>
    <row r="12" spans="1:30" s="116" customFormat="1" ht="15">
      <c r="A12" s="430"/>
      <c r="B12" s="2601" t="s">
        <v>2741</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99"/>
      <c r="Q12" s="1797" t="str">
        <f t="shared" si="6"/>
        <v>配建</v>
      </c>
      <c r="R12" s="769" t="s">
        <v>17</v>
      </c>
      <c r="S12" s="770">
        <f t="shared" si="0"/>
        <v>100</v>
      </c>
      <c r="T12" s="769" t="s">
        <v>17</v>
      </c>
      <c r="U12" s="770">
        <f t="shared" si="1"/>
        <v>100</v>
      </c>
      <c r="V12" s="769" t="s">
        <v>17</v>
      </c>
      <c r="W12" s="770">
        <f t="shared" si="2"/>
        <v>100</v>
      </c>
      <c r="X12" s="771"/>
      <c r="Y12" s="3035"/>
      <c r="Z12" s="55" t="str">
        <f t="shared" si="7"/>
        <v>配建</v>
      </c>
      <c r="AA12" s="772">
        <f>D12/F12</f>
        <v>1</v>
      </c>
      <c r="AB12" s="772">
        <f>D12/H12</f>
        <v>1</v>
      </c>
      <c r="AC12" s="772">
        <f>D12/J12</f>
        <v>1</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99"/>
      <c r="Q13" s="1797">
        <f t="shared" si="6"/>
        <v>111</v>
      </c>
      <c r="R13" s="769" t="s">
        <v>17</v>
      </c>
      <c r="S13" s="770">
        <f t="shared" si="0"/>
        <v>100</v>
      </c>
      <c r="T13" s="769" t="s">
        <v>17</v>
      </c>
      <c r="U13" s="770">
        <f t="shared" si="1"/>
        <v>100</v>
      </c>
      <c r="V13" s="769" t="s">
        <v>17</v>
      </c>
      <c r="W13" s="770">
        <f t="shared" si="2"/>
        <v>100</v>
      </c>
      <c r="X13" s="771"/>
      <c r="Y13" s="3035"/>
      <c r="Z13" s="55">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99"/>
      <c r="Q14" s="1797">
        <f t="shared" si="6"/>
        <v>111</v>
      </c>
      <c r="R14" s="769" t="s">
        <v>17</v>
      </c>
      <c r="S14" s="770">
        <f t="shared" si="0"/>
        <v>100</v>
      </c>
      <c r="T14" s="769" t="s">
        <v>17</v>
      </c>
      <c r="U14" s="770">
        <f t="shared" si="1"/>
        <v>100</v>
      </c>
      <c r="V14" s="769" t="s">
        <v>17</v>
      </c>
      <c r="W14" s="770">
        <f t="shared" si="2"/>
        <v>100</v>
      </c>
      <c r="X14" s="771"/>
      <c r="Y14" s="3035"/>
      <c r="Z14" s="55">
        <f t="shared" si="7"/>
        <v>111</v>
      </c>
      <c r="AA14" s="772">
        <f>D14/F14</f>
        <v>1</v>
      </c>
      <c r="AB14" s="772">
        <f>D14/H14</f>
        <v>1</v>
      </c>
      <c r="AC14" s="772">
        <f>D14/J14</f>
        <v>1</v>
      </c>
    </row>
    <row r="15" spans="1:30" ht="99.75">
      <c r="A15" s="439" t="s">
        <v>2553</v>
      </c>
      <c r="B15" s="68" t="s">
        <v>2077</v>
      </c>
      <c r="C15" s="260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92" t="s">
        <v>2554</v>
      </c>
      <c r="Q15" s="1812" t="str">
        <f t="shared" si="6"/>
        <v>居住社区成熟度</v>
      </c>
      <c r="R15" s="773" t="s">
        <v>17</v>
      </c>
      <c r="S15" s="774">
        <f t="shared" si="0"/>
        <v>100</v>
      </c>
      <c r="T15" s="773" t="s">
        <v>17</v>
      </c>
      <c r="U15" s="774">
        <f t="shared" si="1"/>
        <v>100</v>
      </c>
      <c r="V15" s="773" t="s">
        <v>17</v>
      </c>
      <c r="W15" s="774">
        <f t="shared" si="2"/>
        <v>100</v>
      </c>
      <c r="X15" s="1815"/>
      <c r="Y15" s="3192" t="s">
        <v>2554</v>
      </c>
      <c r="Z15" s="1816" t="str">
        <f t="shared" si="7"/>
        <v>居住社区成熟度</v>
      </c>
      <c r="AA15" s="1813">
        <f t="shared" si="3"/>
        <v>1</v>
      </c>
      <c r="AB15" s="1813">
        <f t="shared" si="4"/>
        <v>1</v>
      </c>
      <c r="AC15" s="1813">
        <f t="shared" si="5"/>
        <v>1</v>
      </c>
    </row>
    <row r="16" spans="1:30" ht="15">
      <c r="A16" s="427"/>
      <c r="B16" s="445"/>
      <c r="C16" s="446"/>
      <c r="D16" s="447"/>
      <c r="E16" s="2606"/>
      <c r="F16" s="447"/>
      <c r="G16" s="2606"/>
      <c r="H16" s="449"/>
      <c r="I16" s="2605"/>
      <c r="J16" s="447"/>
      <c r="K16" s="671"/>
      <c r="L16" s="1142"/>
      <c r="M16" s="1133"/>
      <c r="N16" s="1133"/>
      <c r="O16" s="1141"/>
      <c r="P16" s="3193"/>
      <c r="Q16" s="1812"/>
      <c r="R16" s="773"/>
      <c r="S16" s="774"/>
      <c r="T16" s="773"/>
      <c r="U16" s="774"/>
      <c r="V16" s="773"/>
      <c r="W16" s="774"/>
      <c r="X16" s="1815"/>
      <c r="Y16" s="3193"/>
      <c r="Z16" s="1816"/>
      <c r="AA16" s="1813">
        <v>1</v>
      </c>
      <c r="AB16" s="1813">
        <v>1</v>
      </c>
      <c r="AC16" s="1813">
        <v>1</v>
      </c>
    </row>
    <row r="17" spans="1:29" ht="71.25">
      <c r="A17" s="427"/>
      <c r="B17" s="450" t="s">
        <v>2647</v>
      </c>
      <c r="C17" s="2665"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93"/>
      <c r="Q17" s="1812" t="str">
        <f>B17</f>
        <v>商业繁华度</v>
      </c>
      <c r="R17" s="773" t="s">
        <v>17</v>
      </c>
      <c r="S17" s="774">
        <f>F17</f>
        <v>100</v>
      </c>
      <c r="T17" s="773" t="s">
        <v>17</v>
      </c>
      <c r="U17" s="774">
        <f>H17</f>
        <v>100</v>
      </c>
      <c r="V17" s="773" t="s">
        <v>17</v>
      </c>
      <c r="W17" s="774">
        <f>J17</f>
        <v>100</v>
      </c>
      <c r="X17" s="1815"/>
      <c r="Y17" s="3193"/>
      <c r="Z17" s="1816" t="str">
        <f>Q17</f>
        <v>商业繁华度</v>
      </c>
      <c r="AA17" s="1813">
        <f t="shared" si="3"/>
        <v>1</v>
      </c>
      <c r="AB17" s="1813">
        <f t="shared" si="4"/>
        <v>1</v>
      </c>
      <c r="AC17" s="1813">
        <f t="shared" si="5"/>
        <v>1</v>
      </c>
    </row>
    <row r="18" spans="1:29" ht="15">
      <c r="A18" s="427"/>
      <c r="B18" s="455"/>
      <c r="C18" s="2609"/>
      <c r="D18" s="449"/>
      <c r="E18" s="2611"/>
      <c r="F18" s="449"/>
      <c r="G18" s="2611"/>
      <c r="H18" s="447"/>
      <c r="I18" s="2610"/>
      <c r="J18" s="447"/>
      <c r="K18" s="671"/>
      <c r="L18" s="1142"/>
      <c r="M18" s="1133"/>
      <c r="N18" s="1133"/>
      <c r="O18" s="1141"/>
      <c r="P18" s="3193"/>
      <c r="Q18" s="1812"/>
      <c r="R18" s="773"/>
      <c r="S18" s="774"/>
      <c r="T18" s="773"/>
      <c r="U18" s="774"/>
      <c r="V18" s="773"/>
      <c r="W18" s="774"/>
      <c r="X18" s="1815"/>
      <c r="Y18" s="3193"/>
      <c r="Z18" s="1816"/>
      <c r="AA18" s="1813">
        <v>1</v>
      </c>
      <c r="AB18" s="1813">
        <v>1</v>
      </c>
      <c r="AC18" s="1813">
        <v>1</v>
      </c>
    </row>
    <row r="19" spans="1:29" ht="71.25">
      <c r="A19" s="427"/>
      <c r="B19" s="450" t="s">
        <v>2681</v>
      </c>
      <c r="C19" s="266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93"/>
      <c r="Q19" s="1812" t="str">
        <f>B19</f>
        <v>办公集聚程度</v>
      </c>
      <c r="R19" s="773" t="s">
        <v>17</v>
      </c>
      <c r="S19" s="774">
        <f>F19</f>
        <v>100</v>
      </c>
      <c r="T19" s="773" t="s">
        <v>17</v>
      </c>
      <c r="U19" s="774">
        <f>H19</f>
        <v>100</v>
      </c>
      <c r="V19" s="773" t="s">
        <v>17</v>
      </c>
      <c r="W19" s="774">
        <f>J19</f>
        <v>100</v>
      </c>
      <c r="X19" s="1815"/>
      <c r="Y19" s="3193"/>
      <c r="Z19" s="1816" t="str">
        <f>Q19</f>
        <v>办公集聚程度</v>
      </c>
      <c r="AA19" s="1813">
        <f t="shared" si="3"/>
        <v>1</v>
      </c>
      <c r="AB19" s="1813">
        <f t="shared" si="4"/>
        <v>1</v>
      </c>
      <c r="AC19" s="1813">
        <f t="shared" si="5"/>
        <v>1</v>
      </c>
    </row>
    <row r="20" spans="1:29" ht="15">
      <c r="A20" s="427"/>
      <c r="B20" s="455"/>
      <c r="C20" s="446"/>
      <c r="D20" s="447"/>
      <c r="E20" s="2606"/>
      <c r="F20" s="447"/>
      <c r="G20" s="2606"/>
      <c r="H20" s="447"/>
      <c r="I20" s="2605"/>
      <c r="J20" s="447"/>
      <c r="K20" s="671"/>
      <c r="L20" s="1142"/>
      <c r="M20" s="1133"/>
      <c r="N20" s="1133"/>
      <c r="O20" s="1141"/>
      <c r="P20" s="3193"/>
      <c r="Q20" s="1812"/>
      <c r="R20" s="773"/>
      <c r="S20" s="774"/>
      <c r="T20" s="773"/>
      <c r="U20" s="774"/>
      <c r="V20" s="773"/>
      <c r="W20" s="774"/>
      <c r="X20" s="1815"/>
      <c r="Y20" s="3193"/>
      <c r="Z20" s="1816"/>
      <c r="AA20" s="1813">
        <v>1</v>
      </c>
      <c r="AB20" s="1813">
        <v>1</v>
      </c>
      <c r="AC20" s="1813">
        <v>1</v>
      </c>
    </row>
    <row r="21" spans="1:29" ht="85.5">
      <c r="A21" s="427"/>
      <c r="B21" s="450" t="s">
        <v>2703</v>
      </c>
      <c r="C21" s="260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93"/>
      <c r="Q21" s="1812" t="str">
        <f>B21</f>
        <v>交通便捷度</v>
      </c>
      <c r="R21" s="773" t="s">
        <v>17</v>
      </c>
      <c r="S21" s="774">
        <f>F21</f>
        <v>100</v>
      </c>
      <c r="T21" s="773" t="s">
        <v>17</v>
      </c>
      <c r="U21" s="774">
        <f>H21</f>
        <v>100</v>
      </c>
      <c r="V21" s="773" t="s">
        <v>17</v>
      </c>
      <c r="W21" s="774">
        <f>J21</f>
        <v>100</v>
      </c>
      <c r="X21" s="1815"/>
      <c r="Y21" s="3193"/>
      <c r="Z21" s="1816" t="str">
        <f>Q21</f>
        <v>交通便捷度</v>
      </c>
      <c r="AA21" s="1813">
        <f t="shared" si="3"/>
        <v>1</v>
      </c>
      <c r="AB21" s="1813">
        <f t="shared" si="4"/>
        <v>1</v>
      </c>
      <c r="AC21" s="1813">
        <f t="shared" si="5"/>
        <v>1</v>
      </c>
    </row>
    <row r="22" spans="1:29" ht="15">
      <c r="A22" s="427"/>
      <c r="B22" s="1386"/>
      <c r="C22" s="446"/>
      <c r="D22" s="449"/>
      <c r="E22" s="2606"/>
      <c r="F22" s="447"/>
      <c r="G22" s="2606"/>
      <c r="H22" s="447"/>
      <c r="I22" s="2605"/>
      <c r="J22" s="447"/>
      <c r="K22" s="671"/>
      <c r="L22" s="1142"/>
      <c r="M22" s="1133"/>
      <c r="N22" s="1133"/>
      <c r="O22" s="1141"/>
      <c r="P22" s="3193"/>
      <c r="Q22" s="1812"/>
      <c r="R22" s="773"/>
      <c r="S22" s="774"/>
      <c r="T22" s="773"/>
      <c r="U22" s="774"/>
      <c r="V22" s="773"/>
      <c r="W22" s="774"/>
      <c r="X22" s="1815"/>
      <c r="Y22" s="3193"/>
      <c r="Z22" s="1816"/>
      <c r="AA22" s="1813">
        <v>1</v>
      </c>
      <c r="AB22" s="1813">
        <v>1</v>
      </c>
      <c r="AC22" s="1813">
        <v>1</v>
      </c>
    </row>
    <row r="23" spans="1:29" ht="15">
      <c r="A23" s="403"/>
      <c r="B23" s="450" t="s">
        <v>2742</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93"/>
      <c r="Q23" s="1812" t="str">
        <f t="shared" ref="Q23:Q37" si="8">B23</f>
        <v>区域土地利用方向</v>
      </c>
      <c r="R23" s="773" t="s">
        <v>17</v>
      </c>
      <c r="S23" s="774">
        <f>F23</f>
        <v>100</v>
      </c>
      <c r="T23" s="773" t="s">
        <v>17</v>
      </c>
      <c r="U23" s="774">
        <f>H23</f>
        <v>100</v>
      </c>
      <c r="V23" s="773" t="s">
        <v>17</v>
      </c>
      <c r="W23" s="774">
        <f>J23</f>
        <v>100</v>
      </c>
      <c r="X23" s="1815"/>
      <c r="Y23" s="3193"/>
      <c r="Z23" s="1816" t="str">
        <f>Q23</f>
        <v>区域土地利用方向</v>
      </c>
      <c r="AA23" s="1813">
        <f t="shared" si="3"/>
        <v>1</v>
      </c>
      <c r="AB23" s="1813">
        <f t="shared" si="4"/>
        <v>1</v>
      </c>
      <c r="AC23" s="1813">
        <f t="shared" si="5"/>
        <v>1</v>
      </c>
    </row>
    <row r="24" spans="1:29" ht="15">
      <c r="A24" s="403"/>
      <c r="B24" s="455"/>
      <c r="C24" s="615"/>
      <c r="D24" s="447"/>
      <c r="E24" s="2606"/>
      <c r="F24" s="447"/>
      <c r="G24" s="2605"/>
      <c r="H24" s="447"/>
      <c r="I24" s="2605"/>
      <c r="J24" s="447"/>
      <c r="K24" s="811"/>
      <c r="L24" s="1142"/>
      <c r="M24" s="1133"/>
      <c r="N24" s="1133"/>
      <c r="O24" s="1141"/>
      <c r="P24" s="3193"/>
      <c r="Q24" s="1812"/>
      <c r="R24" s="773"/>
      <c r="S24" s="774"/>
      <c r="T24" s="773"/>
      <c r="U24" s="774"/>
      <c r="V24" s="773"/>
      <c r="W24" s="774"/>
      <c r="X24" s="1815"/>
      <c r="Y24" s="3193"/>
      <c r="Z24" s="1816"/>
      <c r="AA24" s="1813"/>
      <c r="AB24" s="1813"/>
      <c r="AC24" s="1813"/>
    </row>
    <row r="25" spans="1:29" ht="57">
      <c r="A25" s="403"/>
      <c r="B25" s="1386" t="s">
        <v>2743</v>
      </c>
      <c r="C25" s="266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93"/>
      <c r="Q25" s="1812" t="str">
        <f t="shared" si="8"/>
        <v>自然及人文环境状况</v>
      </c>
      <c r="R25" s="773" t="s">
        <v>17</v>
      </c>
      <c r="S25" s="774">
        <f>F25</f>
        <v>100</v>
      </c>
      <c r="T25" s="773" t="s">
        <v>17</v>
      </c>
      <c r="U25" s="774">
        <f>H25</f>
        <v>100</v>
      </c>
      <c r="V25" s="773" t="s">
        <v>17</v>
      </c>
      <c r="W25" s="774">
        <f>J25</f>
        <v>100</v>
      </c>
      <c r="X25" s="1815"/>
      <c r="Y25" s="3193"/>
      <c r="Z25" s="1816" t="str">
        <f>Q25</f>
        <v>自然及人文环境状况</v>
      </c>
      <c r="AA25" s="1813">
        <f t="shared" si="3"/>
        <v>1</v>
      </c>
      <c r="AB25" s="1813">
        <f t="shared" si="4"/>
        <v>1</v>
      </c>
      <c r="AC25" s="1813">
        <f t="shared" si="5"/>
        <v>1</v>
      </c>
    </row>
    <row r="26" spans="1:29" ht="15">
      <c r="A26" s="403"/>
      <c r="B26" s="455"/>
      <c r="C26" s="446"/>
      <c r="D26" s="447"/>
      <c r="E26" s="2612"/>
      <c r="F26" s="447"/>
      <c r="G26" s="2612"/>
      <c r="H26" s="447"/>
      <c r="I26" s="446"/>
      <c r="J26" s="447"/>
      <c r="K26" s="671"/>
      <c r="L26" s="1142"/>
      <c r="M26" s="1133"/>
      <c r="N26" s="1133"/>
      <c r="O26" s="1141"/>
      <c r="P26" s="3193"/>
      <c r="Q26" s="1812"/>
      <c r="R26" s="773"/>
      <c r="S26" s="774"/>
      <c r="T26" s="773"/>
      <c r="U26" s="774"/>
      <c r="V26" s="773"/>
      <c r="W26" s="774"/>
      <c r="X26" s="1815"/>
      <c r="Y26" s="3193"/>
      <c r="Z26" s="1816"/>
      <c r="AA26" s="1813">
        <v>1</v>
      </c>
      <c r="AB26" s="1813">
        <v>1</v>
      </c>
      <c r="AC26" s="1813">
        <v>1</v>
      </c>
    </row>
    <row r="27" spans="1:29" s="116" customFormat="1" ht="42.75">
      <c r="A27" s="648"/>
      <c r="B27" s="1386" t="s">
        <v>2648</v>
      </c>
      <c r="C27" s="260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93"/>
      <c r="Q27" s="1797" t="str">
        <f t="shared" si="8"/>
        <v>公共配套设施</v>
      </c>
      <c r="R27" s="769" t="s">
        <v>17</v>
      </c>
      <c r="S27" s="770">
        <f>F27</f>
        <v>100</v>
      </c>
      <c r="T27" s="769" t="s">
        <v>17</v>
      </c>
      <c r="U27" s="770">
        <f>H27</f>
        <v>100</v>
      </c>
      <c r="V27" s="769" t="s">
        <v>17</v>
      </c>
      <c r="W27" s="770">
        <f>J27</f>
        <v>100</v>
      </c>
      <c r="X27" s="771"/>
      <c r="Y27" s="3193"/>
      <c r="Z27" s="55" t="str">
        <f>Q27</f>
        <v>公共配套设施</v>
      </c>
      <c r="AA27" s="1813">
        <f>D27/F27</f>
        <v>1</v>
      </c>
      <c r="AB27" s="1813">
        <f>D27/H27</f>
        <v>1</v>
      </c>
      <c r="AC27" s="1813">
        <f>D27/J27</f>
        <v>1</v>
      </c>
    </row>
    <row r="28" spans="1:29" s="116" customFormat="1" ht="15">
      <c r="A28" s="648"/>
      <c r="B28" s="455"/>
      <c r="C28" s="2701"/>
      <c r="D28" s="447"/>
      <c r="E28" s="2612"/>
      <c r="F28" s="447"/>
      <c r="G28" s="2612"/>
      <c r="H28" s="447"/>
      <c r="I28" s="446"/>
      <c r="J28" s="447"/>
      <c r="K28" s="671"/>
      <c r="L28" s="1134"/>
      <c r="M28" s="1135"/>
      <c r="N28" s="1135"/>
      <c r="O28" s="1136"/>
      <c r="P28" s="3193"/>
      <c r="Q28" s="1797"/>
      <c r="R28" s="769"/>
      <c r="S28" s="770"/>
      <c r="T28" s="769"/>
      <c r="U28" s="770"/>
      <c r="V28" s="769"/>
      <c r="W28" s="770"/>
      <c r="X28" s="771"/>
      <c r="Y28" s="3193"/>
      <c r="Z28" s="55"/>
      <c r="AA28" s="1813">
        <v>1</v>
      </c>
      <c r="AB28" s="1813">
        <v>1</v>
      </c>
      <c r="AC28" s="1813">
        <v>1</v>
      </c>
    </row>
    <row r="29" spans="1:29" s="116" customFormat="1" ht="28.5">
      <c r="A29" s="648"/>
      <c r="B29" s="1386" t="s">
        <v>2649</v>
      </c>
      <c r="C29" s="260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93"/>
      <c r="Q29" s="1797" t="str">
        <f t="shared" ref="Q29" si="9">B29</f>
        <v>基础设施水平</v>
      </c>
      <c r="R29" s="769" t="s">
        <v>17</v>
      </c>
      <c r="S29" s="770">
        <f>F29</f>
        <v>100</v>
      </c>
      <c r="T29" s="769" t="s">
        <v>17</v>
      </c>
      <c r="U29" s="770">
        <f>H29</f>
        <v>100</v>
      </c>
      <c r="V29" s="769" t="s">
        <v>17</v>
      </c>
      <c r="W29" s="770">
        <f>J29</f>
        <v>100</v>
      </c>
      <c r="X29" s="771"/>
      <c r="Y29" s="3193"/>
      <c r="Z29" s="55" t="str">
        <f>Q29</f>
        <v>基础设施水平</v>
      </c>
      <c r="AA29" s="1813">
        <f>D29/F29</f>
        <v>1</v>
      </c>
      <c r="AB29" s="1813">
        <f>D29/H29</f>
        <v>1</v>
      </c>
      <c r="AC29" s="1813">
        <f>D29/J29</f>
        <v>1</v>
      </c>
    </row>
    <row r="30" spans="1:29" s="116" customFormat="1" ht="15">
      <c r="A30" s="648"/>
      <c r="B30" s="455"/>
      <c r="C30" s="2701"/>
      <c r="D30" s="447"/>
      <c r="E30" s="2702"/>
      <c r="F30" s="447"/>
      <c r="G30" s="2702"/>
      <c r="H30" s="447"/>
      <c r="I30" s="2702"/>
      <c r="J30" s="447"/>
      <c r="K30" s="671"/>
      <c r="L30" s="1134"/>
      <c r="M30" s="1135"/>
      <c r="N30" s="1135"/>
      <c r="O30" s="1136"/>
      <c r="P30" s="3193"/>
      <c r="Q30" s="1797"/>
      <c r="R30" s="769"/>
      <c r="S30" s="770"/>
      <c r="T30" s="769"/>
      <c r="U30" s="770"/>
      <c r="V30" s="769"/>
      <c r="W30" s="770"/>
      <c r="X30" s="771"/>
      <c r="Y30" s="3193"/>
      <c r="Z30" s="55"/>
      <c r="AA30" s="1813">
        <v>1</v>
      </c>
      <c r="AB30" s="1813">
        <v>1</v>
      </c>
      <c r="AC30" s="1813">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93"/>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93"/>
      <c r="Z31" s="1816" t="str">
        <f t="shared" ref="Z31:Z45" si="13">Q31</f>
        <v>临街状况</v>
      </c>
      <c r="AA31" s="1813">
        <f t="shared" si="3"/>
        <v>1</v>
      </c>
      <c r="AB31" s="1813">
        <f t="shared" si="4"/>
        <v>1</v>
      </c>
      <c r="AC31" s="1813">
        <f t="shared" si="5"/>
        <v>1</v>
      </c>
    </row>
    <row r="32" spans="1:29" ht="27">
      <c r="A32" s="427"/>
      <c r="B32" s="1386"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93"/>
      <c r="Q32" s="1812" t="str">
        <f t="shared" si="8"/>
        <v>毗邻道路的类型与等级</v>
      </c>
      <c r="R32" s="773" t="s">
        <v>17</v>
      </c>
      <c r="S32" s="774">
        <f t="shared" si="10"/>
        <v>100</v>
      </c>
      <c r="T32" s="773" t="s">
        <v>17</v>
      </c>
      <c r="U32" s="774">
        <f t="shared" si="11"/>
        <v>100</v>
      </c>
      <c r="V32" s="773" t="s">
        <v>17</v>
      </c>
      <c r="W32" s="774">
        <f t="shared" si="12"/>
        <v>100</v>
      </c>
      <c r="X32" s="1815"/>
      <c r="Y32" s="3193"/>
      <c r="Z32" s="1816" t="str">
        <f t="shared" si="13"/>
        <v>毗邻道路的类型与等级</v>
      </c>
      <c r="AA32" s="1813">
        <f t="shared" si="3"/>
        <v>1</v>
      </c>
      <c r="AB32" s="1813">
        <f t="shared" si="4"/>
        <v>1</v>
      </c>
      <c r="AC32" s="1813">
        <f t="shared" si="5"/>
        <v>1</v>
      </c>
    </row>
    <row r="33" spans="1:29" ht="15">
      <c r="A33" s="427"/>
      <c r="B33" s="455"/>
      <c r="C33" s="446"/>
      <c r="D33" s="447"/>
      <c r="E33" s="2612"/>
      <c r="F33" s="447"/>
      <c r="G33" s="2612"/>
      <c r="H33" s="447"/>
      <c r="I33" s="446"/>
      <c r="J33" s="447"/>
      <c r="K33" s="612"/>
      <c r="L33" s="1142"/>
      <c r="M33" s="1133"/>
      <c r="N33" s="1133"/>
      <c r="O33" s="1141"/>
      <c r="P33" s="3193"/>
      <c r="Q33" s="1812"/>
      <c r="R33" s="773"/>
      <c r="S33" s="774"/>
      <c r="T33" s="773"/>
      <c r="U33" s="774"/>
      <c r="V33" s="773"/>
      <c r="W33" s="774"/>
      <c r="X33" s="1815"/>
      <c r="Y33" s="3193"/>
      <c r="Z33" s="1816"/>
      <c r="AA33" s="1813">
        <v>1</v>
      </c>
      <c r="AB33" s="1813">
        <v>1</v>
      </c>
      <c r="AC33" s="1813">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93"/>
      <c r="Q34" s="1812" t="str">
        <f t="shared" si="8"/>
        <v>土地级别</v>
      </c>
      <c r="R34" s="773" t="s">
        <v>17</v>
      </c>
      <c r="S34" s="774">
        <f t="shared" si="10"/>
        <v>100</v>
      </c>
      <c r="T34" s="773" t="s">
        <v>17</v>
      </c>
      <c r="U34" s="774">
        <f t="shared" si="11"/>
        <v>100</v>
      </c>
      <c r="V34" s="773" t="s">
        <v>17</v>
      </c>
      <c r="W34" s="774">
        <f t="shared" si="12"/>
        <v>100</v>
      </c>
      <c r="X34" s="1815"/>
      <c r="Y34" s="3193"/>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93"/>
      <c r="Q35" s="1812">
        <f t="shared" si="8"/>
        <v>111</v>
      </c>
      <c r="R35" s="773" t="s">
        <v>17</v>
      </c>
      <c r="S35" s="774">
        <f t="shared" si="10"/>
        <v>100</v>
      </c>
      <c r="T35" s="773" t="s">
        <v>17</v>
      </c>
      <c r="U35" s="774">
        <f t="shared" si="11"/>
        <v>100</v>
      </c>
      <c r="V35" s="773" t="s">
        <v>17</v>
      </c>
      <c r="W35" s="774">
        <f t="shared" si="12"/>
        <v>100</v>
      </c>
      <c r="X35" s="1815"/>
      <c r="Y35" s="3193"/>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46" t="s">
        <v>2559</v>
      </c>
      <c r="Q36" s="1812">
        <f t="shared" si="8"/>
        <v>111</v>
      </c>
      <c r="R36" s="773" t="s">
        <v>17</v>
      </c>
      <c r="S36" s="774">
        <f t="shared" si="10"/>
        <v>100</v>
      </c>
      <c r="T36" s="773" t="s">
        <v>17</v>
      </c>
      <c r="U36" s="774">
        <f t="shared" si="11"/>
        <v>100</v>
      </c>
      <c r="V36" s="773" t="s">
        <v>17</v>
      </c>
      <c r="W36" s="774">
        <f t="shared" si="12"/>
        <v>100</v>
      </c>
      <c r="X36" s="1815"/>
      <c r="Y36" s="3197" t="s">
        <v>2559</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97"/>
      <c r="Q37" s="1812">
        <f t="shared" si="8"/>
        <v>111</v>
      </c>
      <c r="R37" s="776" t="s">
        <v>17</v>
      </c>
      <c r="S37" s="777">
        <f t="shared" si="10"/>
        <v>100</v>
      </c>
      <c r="T37" s="776" t="s">
        <v>17</v>
      </c>
      <c r="U37" s="777">
        <f t="shared" si="11"/>
        <v>100</v>
      </c>
      <c r="V37" s="776" t="s">
        <v>17</v>
      </c>
      <c r="W37" s="777">
        <f t="shared" si="12"/>
        <v>100</v>
      </c>
      <c r="X37" s="778"/>
      <c r="Y37" s="3197"/>
      <c r="Z37" s="779">
        <f t="shared" si="13"/>
        <v>111</v>
      </c>
      <c r="AA37" s="1813">
        <f t="shared" si="3"/>
        <v>1</v>
      </c>
      <c r="AB37" s="1813">
        <f t="shared" si="4"/>
        <v>1</v>
      </c>
      <c r="AC37" s="1813">
        <f t="shared" si="5"/>
        <v>1</v>
      </c>
    </row>
    <row r="38" spans="1:29" ht="15">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97"/>
      <c r="Q38" s="1812" t="str">
        <f>B38</f>
        <v>宗地面积</v>
      </c>
      <c r="R38" s="773" t="s">
        <v>17</v>
      </c>
      <c r="S38" s="774" t="e">
        <f t="shared" si="10"/>
        <v>#N/A</v>
      </c>
      <c r="T38" s="773" t="s">
        <v>17</v>
      </c>
      <c r="U38" s="774" t="e">
        <f t="shared" si="11"/>
        <v>#N/A</v>
      </c>
      <c r="V38" s="773" t="s">
        <v>17</v>
      </c>
      <c r="W38" s="774" t="e">
        <f t="shared" si="12"/>
        <v>#N/A</v>
      </c>
      <c r="X38" s="1815"/>
      <c r="Y38" s="3197"/>
      <c r="Z38" s="1816" t="str">
        <f t="shared" si="13"/>
        <v>宗地面积</v>
      </c>
      <c r="AA38" s="1813" t="e">
        <f t="shared" si="3"/>
        <v>#N/A</v>
      </c>
      <c r="AB38" s="1813" t="e">
        <f t="shared" si="4"/>
        <v>#N/A</v>
      </c>
      <c r="AC38" s="1813" t="e">
        <f t="shared" si="5"/>
        <v>#N/A</v>
      </c>
    </row>
    <row r="39" spans="1:29" ht="15">
      <c r="A39" s="471"/>
      <c r="B39" s="421" t="s">
        <v>2746</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42"/>
      <c r="M39" s="1133"/>
      <c r="N39" s="1133"/>
      <c r="O39" s="1141"/>
      <c r="P39" s="3197"/>
      <c r="Q39" s="1812" t="str">
        <f t="shared" ref="Q39:Q45" si="14">B39</f>
        <v>宗地形状</v>
      </c>
      <c r="R39" s="773" t="s">
        <v>17</v>
      </c>
      <c r="S39" s="774">
        <f t="shared" si="10"/>
        <v>100</v>
      </c>
      <c r="T39" s="773" t="s">
        <v>17</v>
      </c>
      <c r="U39" s="774">
        <f t="shared" si="11"/>
        <v>100</v>
      </c>
      <c r="V39" s="773" t="s">
        <v>17</v>
      </c>
      <c r="W39" s="774">
        <f t="shared" si="12"/>
        <v>100</v>
      </c>
      <c r="X39" s="1815"/>
      <c r="Y39" s="3197"/>
      <c r="Z39" s="1816" t="str">
        <f t="shared" si="13"/>
        <v>宗地形状</v>
      </c>
      <c r="AA39" s="1813">
        <f t="shared" si="3"/>
        <v>1</v>
      </c>
      <c r="AB39" s="1813">
        <f t="shared" si="4"/>
        <v>1</v>
      </c>
      <c r="AC39" s="1813">
        <f t="shared" si="5"/>
        <v>1</v>
      </c>
    </row>
    <row r="40" spans="1:29" ht="15">
      <c r="A40" s="471"/>
      <c r="B40" s="421" t="s">
        <v>2747</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42"/>
      <c r="M40" s="1133"/>
      <c r="N40" s="1133"/>
      <c r="O40" s="1141"/>
      <c r="P40" s="3197"/>
      <c r="Q40" s="1812" t="str">
        <f t="shared" si="14"/>
        <v>临街宽度及深度</v>
      </c>
      <c r="R40" s="773" t="s">
        <v>17</v>
      </c>
      <c r="S40" s="774">
        <f t="shared" si="10"/>
        <v>100</v>
      </c>
      <c r="T40" s="773" t="s">
        <v>17</v>
      </c>
      <c r="U40" s="774">
        <f t="shared" si="11"/>
        <v>100</v>
      </c>
      <c r="V40" s="773" t="s">
        <v>17</v>
      </c>
      <c r="W40" s="774">
        <f t="shared" si="12"/>
        <v>100</v>
      </c>
      <c r="X40" s="1815"/>
      <c r="Y40" s="3197"/>
      <c r="Z40" s="1816" t="str">
        <f t="shared" si="13"/>
        <v>临街宽度及深度</v>
      </c>
      <c r="AA40" s="1813">
        <f t="shared" si="3"/>
        <v>1</v>
      </c>
      <c r="AB40" s="1813">
        <f t="shared" si="4"/>
        <v>1</v>
      </c>
      <c r="AC40" s="1813">
        <f t="shared" si="5"/>
        <v>1</v>
      </c>
    </row>
    <row r="41" spans="1:29" s="116" customFormat="1" ht="15">
      <c r="A41" s="472"/>
      <c r="B41" s="421" t="s">
        <v>2748</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4"/>
      <c r="M41" s="1135"/>
      <c r="N41" s="1135"/>
      <c r="O41" s="1136"/>
      <c r="P41" s="3197"/>
      <c r="Q41" s="1812" t="str">
        <f t="shared" si="14"/>
        <v>宗地开发程度</v>
      </c>
      <c r="R41" s="769" t="s">
        <v>17</v>
      </c>
      <c r="S41" s="770">
        <f t="shared" si="10"/>
        <v>100</v>
      </c>
      <c r="T41" s="769" t="s">
        <v>17</v>
      </c>
      <c r="U41" s="770">
        <f t="shared" si="11"/>
        <v>100</v>
      </c>
      <c r="V41" s="769" t="s">
        <v>17</v>
      </c>
      <c r="W41" s="770">
        <f t="shared" si="12"/>
        <v>100</v>
      </c>
      <c r="X41" s="771"/>
      <c r="Y41" s="3197"/>
      <c r="Z41" s="55" t="str">
        <f t="shared" si="13"/>
        <v>宗地开发程度</v>
      </c>
      <c r="AA41" s="772">
        <f t="shared" si="3"/>
        <v>1</v>
      </c>
      <c r="AB41" s="772">
        <f t="shared" si="4"/>
        <v>1</v>
      </c>
      <c r="AC41" s="772">
        <f t="shared" si="5"/>
        <v>1</v>
      </c>
    </row>
    <row r="42" spans="1:29" ht="15">
      <c r="A42" s="471"/>
      <c r="B42" s="421" t="s">
        <v>2749</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42"/>
      <c r="M42" s="1133"/>
      <c r="N42" s="1133"/>
      <c r="O42" s="1141"/>
      <c r="P42" s="3197" t="s">
        <v>2559</v>
      </c>
      <c r="Q42" s="1812" t="str">
        <f t="shared" si="14"/>
        <v>工程地质条件</v>
      </c>
      <c r="R42" s="773" t="s">
        <v>17</v>
      </c>
      <c r="S42" s="774">
        <f t="shared" si="10"/>
        <v>100</v>
      </c>
      <c r="T42" s="773" t="s">
        <v>17</v>
      </c>
      <c r="U42" s="774">
        <f t="shared" si="11"/>
        <v>100</v>
      </c>
      <c r="V42" s="773" t="s">
        <v>17</v>
      </c>
      <c r="W42" s="774">
        <f t="shared" si="12"/>
        <v>100</v>
      </c>
      <c r="X42" s="1815"/>
      <c r="Y42" s="3197" t="s">
        <v>2559</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97"/>
      <c r="Q43" s="1812">
        <f t="shared" si="14"/>
        <v>111</v>
      </c>
      <c r="R43" s="773" t="s">
        <v>17</v>
      </c>
      <c r="S43" s="774">
        <f t="shared" si="10"/>
        <v>100</v>
      </c>
      <c r="T43" s="773" t="s">
        <v>17</v>
      </c>
      <c r="U43" s="774">
        <f t="shared" si="11"/>
        <v>100</v>
      </c>
      <c r="V43" s="773" t="s">
        <v>17</v>
      </c>
      <c r="W43" s="774">
        <f t="shared" si="12"/>
        <v>100</v>
      </c>
      <c r="X43" s="1815"/>
      <c r="Y43" s="3197"/>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97"/>
      <c r="Q44" s="1812">
        <f t="shared" si="14"/>
        <v>111</v>
      </c>
      <c r="R44" s="773" t="s">
        <v>17</v>
      </c>
      <c r="S44" s="774">
        <f t="shared" si="10"/>
        <v>100</v>
      </c>
      <c r="T44" s="773" t="s">
        <v>17</v>
      </c>
      <c r="U44" s="774">
        <f t="shared" si="11"/>
        <v>100</v>
      </c>
      <c r="V44" s="773" t="s">
        <v>17</v>
      </c>
      <c r="W44" s="774">
        <f t="shared" si="12"/>
        <v>100</v>
      </c>
      <c r="X44" s="1815"/>
      <c r="Y44" s="3197"/>
      <c r="Z44" s="1816">
        <f t="shared" si="13"/>
        <v>111</v>
      </c>
      <c r="AA44" s="1813">
        <f t="shared" si="3"/>
        <v>1</v>
      </c>
      <c r="AB44" s="1813">
        <f t="shared" si="4"/>
        <v>1</v>
      </c>
      <c r="AC44" s="1813">
        <f t="shared" si="5"/>
        <v>1</v>
      </c>
    </row>
    <row r="45" spans="1:29" s="470" customFormat="1" ht="15.75" thickBot="1">
      <c r="A45" s="467"/>
      <c r="B45" s="1389">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97"/>
      <c r="Q45" s="1812">
        <f t="shared" si="14"/>
        <v>111</v>
      </c>
      <c r="R45" s="776" t="s">
        <v>17</v>
      </c>
      <c r="S45" s="777">
        <f t="shared" si="10"/>
        <v>100</v>
      </c>
      <c r="T45" s="776" t="s">
        <v>17</v>
      </c>
      <c r="U45" s="777">
        <f t="shared" si="11"/>
        <v>100</v>
      </c>
      <c r="V45" s="776" t="s">
        <v>17</v>
      </c>
      <c r="W45" s="777">
        <f t="shared" si="12"/>
        <v>100</v>
      </c>
      <c r="X45" s="778"/>
      <c r="Y45" s="3197"/>
      <c r="Z45" s="779">
        <f t="shared" si="13"/>
        <v>111</v>
      </c>
      <c r="AA45" s="1813">
        <f t="shared" si="3"/>
        <v>1</v>
      </c>
      <c r="AB45" s="1813">
        <f t="shared" si="4"/>
        <v>1</v>
      </c>
      <c r="AC45" s="1813">
        <f t="shared" si="5"/>
        <v>1</v>
      </c>
    </row>
    <row r="46" spans="1:29" ht="15">
      <c r="A46" s="478" t="s">
        <v>2714</v>
      </c>
      <c r="B46" s="2705" t="s">
        <v>2750</v>
      </c>
      <c r="C46" s="681" t="s">
        <v>1</v>
      </c>
      <c r="D46" s="480"/>
      <c r="E46" s="481"/>
      <c r="F46" s="482"/>
      <c r="G46" s="483"/>
      <c r="H46" s="484"/>
      <c r="I46" s="481"/>
      <c r="J46" s="484"/>
      <c r="K46" s="782"/>
      <c r="L46" s="1145"/>
      <c r="M46" s="1146"/>
      <c r="N46" s="1133"/>
      <c r="O46" s="1146"/>
      <c r="P46" s="3199" t="str">
        <f>A46</f>
        <v>成交单价</v>
      </c>
      <c r="Q46" s="3199"/>
      <c r="R46" s="3161">
        <f>E46</f>
        <v>0</v>
      </c>
      <c r="S46" s="3161"/>
      <c r="T46" s="3161">
        <f>G46</f>
        <v>0</v>
      </c>
      <c r="U46" s="3161"/>
      <c r="V46" s="3161">
        <f>I46</f>
        <v>0</v>
      </c>
      <c r="W46" s="3161"/>
      <c r="X46" s="758"/>
      <c r="Y46" s="780"/>
      <c r="Z46" s="758"/>
      <c r="AA46" s="758"/>
      <c r="AB46" s="758"/>
      <c r="AC46" s="758"/>
    </row>
    <row r="47" spans="1:29" ht="15.75" thickBot="1">
      <c r="A47" s="485" t="s">
        <v>2663</v>
      </c>
      <c r="B47" s="682"/>
      <c r="C47" s="489" t="e">
        <f>R48</f>
        <v>#DIV/0!</v>
      </c>
      <c r="D47" s="488"/>
      <c r="E47" s="489" t="e">
        <f>R47</f>
        <v>#DIV/0!</v>
      </c>
      <c r="F47" s="490"/>
      <c r="G47" s="487" t="e">
        <f>T47</f>
        <v>#DIV/0!</v>
      </c>
      <c r="H47" s="488"/>
      <c r="I47" s="489" t="e">
        <f>V47</f>
        <v>#DIV/0!</v>
      </c>
      <c r="J47" s="488"/>
      <c r="K47" s="783"/>
      <c r="L47" s="1145"/>
      <c r="M47" s="1146"/>
      <c r="N47" s="1146"/>
      <c r="O47" s="1146"/>
      <c r="P47" s="3199" t="str">
        <f>A47</f>
        <v>比较价值（元/平方米）</v>
      </c>
      <c r="Q47" s="3199"/>
      <c r="R47" s="3247" t="e">
        <f>ROUND(PRODUCT(R46,AA7:AA45),0)</f>
        <v>#DIV/0!</v>
      </c>
      <c r="S47" s="3247"/>
      <c r="T47" s="3247" t="e">
        <f>ROUND(PRODUCT(T46,AB7:AB45),0)</f>
        <v>#DIV/0!</v>
      </c>
      <c r="U47" s="3247"/>
      <c r="V47" s="3247" t="e">
        <f>ROUND(PRODUCT(V46,AC7:AC45),0)</f>
        <v>#DIV/0!</v>
      </c>
      <c r="W47" s="3247"/>
      <c r="X47" s="758"/>
      <c r="Y47" s="758"/>
      <c r="Z47" s="758"/>
      <c r="AA47" s="758"/>
      <c r="AB47" s="758"/>
      <c r="AC47" s="758"/>
    </row>
    <row r="48" spans="1:29" ht="15.75" thickBot="1">
      <c r="A48" s="491" t="s">
        <v>2751</v>
      </c>
      <c r="B48" s="492"/>
      <c r="C48" s="493" t="e">
        <f>R48</f>
        <v>#DIV/0!</v>
      </c>
      <c r="D48" s="493"/>
      <c r="E48" s="493"/>
      <c r="F48" s="493"/>
      <c r="G48" s="493"/>
      <c r="H48" s="493"/>
      <c r="I48" s="493"/>
      <c r="J48" s="493"/>
      <c r="K48" s="784"/>
      <c r="L48" s="1145"/>
      <c r="M48" s="1146"/>
      <c r="N48" s="1146"/>
      <c r="O48" s="1146"/>
      <c r="P48" s="3201" t="str">
        <f>A48</f>
        <v>估价对象XX用房的比较价值（楼面单价，元/平方米）</v>
      </c>
      <c r="Q48" s="3202"/>
      <c r="R48" s="3248" t="e">
        <f>ROUND(AVERAGE(R47:V47),0)</f>
        <v>#DIV/0!</v>
      </c>
      <c r="S48" s="3248"/>
      <c r="T48" s="3248"/>
      <c r="U48" s="3248"/>
      <c r="V48" s="3248"/>
      <c r="W48" s="324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2752</v>
      </c>
      <c r="B55" s="684" t="s">
        <v>2753</v>
      </c>
      <c r="C55" s="2706" t="s">
        <v>2754</v>
      </c>
      <c r="D55" s="2707" t="s">
        <v>2755</v>
      </c>
      <c r="E55" s="685" t="s">
        <v>2756</v>
      </c>
      <c r="F55" s="1109" t="s">
        <v>2757</v>
      </c>
      <c r="G55" s="3177" t="s">
        <v>2758</v>
      </c>
      <c r="H55" s="3249"/>
      <c r="I55" s="143" t="s">
        <v>2759</v>
      </c>
      <c r="J55" s="2708" t="str">
        <f>项目基本情况!F35</f>
        <v>上海市浦东新区惠南镇</v>
      </c>
      <c r="K55" s="2709" t="s">
        <v>2760</v>
      </c>
      <c r="L55" s="1108"/>
      <c r="M55" s="1146"/>
      <c r="N55" s="1146"/>
      <c r="O55" s="1146"/>
    </row>
    <row r="56" spans="1:15" s="691" customFormat="1">
      <c r="A56" s="687" t="s">
        <v>2761</v>
      </c>
      <c r="B56" s="688" t="e">
        <f>C48</f>
        <v>#DIV/0!</v>
      </c>
      <c r="C56" s="689">
        <v>1</v>
      </c>
      <c r="D56" s="1165">
        <v>1</v>
      </c>
      <c r="E56" s="689">
        <f>'数据-汇总表'!E8+'数据-汇总表'!E9</f>
        <v>31156.999999999996</v>
      </c>
      <c r="F56" s="1105" t="e">
        <f t="shared" ref="F56:F65" si="15">ROUND(B56*E56/10000,0)</f>
        <v>#DIV/0!</v>
      </c>
      <c r="G56" s="3176"/>
      <c r="H56" s="3199"/>
      <c r="I56" s="1110">
        <v>1</v>
      </c>
      <c r="J56" s="1113">
        <v>1</v>
      </c>
      <c r="K56" s="1147"/>
      <c r="L56" s="943"/>
      <c r="M56" s="943"/>
      <c r="N56" s="943"/>
      <c r="O56" s="943"/>
    </row>
    <row r="57" spans="1:15" s="691" customFormat="1">
      <c r="A57" s="692" t="s">
        <v>2762</v>
      </c>
      <c r="B57" s="261" t="e">
        <f>ROUND($C$48*C57*D57,0)</f>
        <v>#DIV/0!</v>
      </c>
      <c r="C57" s="199">
        <f t="shared" ref="C57:C65" si="16">IF($C$55="北京市系数",I57,J57)</f>
        <v>0</v>
      </c>
      <c r="D57" s="1166">
        <v>0.25</v>
      </c>
      <c r="E57" s="693"/>
      <c r="F57" s="1105" t="e">
        <f t="shared" si="15"/>
        <v>#DIV/0!</v>
      </c>
      <c r="G57" s="3250" t="s">
        <v>2763</v>
      </c>
      <c r="H57" s="1106">
        <f>项目基本情况!B37</f>
        <v>0</v>
      </c>
      <c r="I57" s="1110">
        <f>SUMIF(修正!A45:A56,H57,修正!B45:B56)</f>
        <v>0</v>
      </c>
      <c r="J57" s="1114"/>
      <c r="K57" s="1146"/>
      <c r="L57" s="943"/>
      <c r="M57" s="943"/>
      <c r="N57" s="943"/>
      <c r="O57" s="943"/>
    </row>
    <row r="58" spans="1:15" s="691" customFormat="1">
      <c r="A58" s="692" t="s">
        <v>2764</v>
      </c>
      <c r="B58" s="261" t="e">
        <f t="shared" ref="B58:B65" si="17">ROUND($C$48*C58*D58,0)</f>
        <v>#DIV/0!</v>
      </c>
      <c r="C58" s="199">
        <f t="shared" si="16"/>
        <v>0</v>
      </c>
      <c r="D58" s="1166">
        <v>0.25</v>
      </c>
      <c r="E58" s="693"/>
      <c r="F58" s="1105" t="e">
        <f t="shared" si="15"/>
        <v>#DIV/0!</v>
      </c>
      <c r="G58" s="3250"/>
      <c r="H58" s="1106">
        <f>项目基本情况!B37</f>
        <v>0</v>
      </c>
      <c r="I58" s="1110">
        <f>SUMIF(修正!A45:A56,H58,修正!C45:C56)</f>
        <v>0</v>
      </c>
      <c r="J58" s="1114"/>
      <c r="K58" s="1147"/>
      <c r="L58" s="943"/>
      <c r="M58" s="943"/>
      <c r="N58" s="943"/>
      <c r="O58" s="943"/>
    </row>
    <row r="59" spans="1:15" s="691" customFormat="1">
      <c r="A59" s="692" t="s">
        <v>2765</v>
      </c>
      <c r="B59" s="261" t="e">
        <f t="shared" si="17"/>
        <v>#DIV/0!</v>
      </c>
      <c r="C59" s="199">
        <f t="shared" si="16"/>
        <v>0</v>
      </c>
      <c r="D59" s="1166">
        <v>0.25</v>
      </c>
      <c r="E59" s="693"/>
      <c r="F59" s="1105" t="e">
        <f t="shared" si="15"/>
        <v>#DIV/0!</v>
      </c>
      <c r="G59" s="3250"/>
      <c r="H59" s="1106">
        <f>项目基本情况!B37</f>
        <v>0</v>
      </c>
      <c r="I59" s="1110">
        <f>SUMIF(修正!A45:A56,H59,修正!D45:D56)</f>
        <v>0</v>
      </c>
      <c r="J59" s="1114"/>
      <c r="K59" s="1146"/>
      <c r="L59" s="943"/>
      <c r="M59" s="943"/>
      <c r="N59" s="943"/>
      <c r="O59" s="943"/>
    </row>
    <row r="60" spans="1:15" s="691" customFormat="1">
      <c r="A60" s="692" t="s">
        <v>2766</v>
      </c>
      <c r="B60" s="261" t="e">
        <f t="shared" si="17"/>
        <v>#DIV/0!</v>
      </c>
      <c r="C60" s="199">
        <f t="shared" si="16"/>
        <v>0</v>
      </c>
      <c r="D60" s="1166">
        <v>0.25</v>
      </c>
      <c r="E60" s="693"/>
      <c r="F60" s="1105" t="e">
        <f t="shared" si="15"/>
        <v>#DIV/0!</v>
      </c>
      <c r="G60" s="3250"/>
      <c r="H60" s="1106">
        <f>项目基本情况!B37</f>
        <v>0</v>
      </c>
      <c r="I60" s="1110">
        <f>SUMIF(修正!A45:A56,H60,修正!E45:E56)</f>
        <v>0</v>
      </c>
      <c r="J60" s="1114"/>
      <c r="K60" s="1147"/>
      <c r="L60" s="943"/>
      <c r="M60" s="943"/>
      <c r="N60" s="943"/>
      <c r="O60" s="943"/>
    </row>
    <row r="61" spans="1:15" s="691" customFormat="1">
      <c r="A61" s="692" t="s">
        <v>2767</v>
      </c>
      <c r="B61" s="261" t="e">
        <f t="shared" si="17"/>
        <v>#DIV/0!</v>
      </c>
      <c r="C61" s="199">
        <f t="shared" si="16"/>
        <v>0</v>
      </c>
      <c r="D61" s="1166">
        <v>0.25</v>
      </c>
      <c r="E61" s="260">
        <f>'数据-汇总表'!E11</f>
        <v>0</v>
      </c>
      <c r="F61" s="1105" t="e">
        <f t="shared" si="15"/>
        <v>#DIV/0!</v>
      </c>
      <c r="G61" s="2710" t="s">
        <v>2768</v>
      </c>
      <c r="H61" s="1106">
        <f>项目基本情况!C37</f>
        <v>0</v>
      </c>
      <c r="I61" s="1110">
        <f>SUMIF(修正!A45:A56,H61,修正!F45:F56)</f>
        <v>0</v>
      </c>
      <c r="J61" s="1114"/>
      <c r="K61" s="1146"/>
      <c r="L61" s="943"/>
      <c r="M61" s="943"/>
      <c r="N61" s="943"/>
      <c r="O61" s="943"/>
    </row>
    <row r="62" spans="1:15" s="691" customFormat="1">
      <c r="A62" s="692" t="s">
        <v>2769</v>
      </c>
      <c r="B62" s="261" t="e">
        <f t="shared" si="17"/>
        <v>#DIV/0!</v>
      </c>
      <c r="C62" s="199">
        <f t="shared" si="16"/>
        <v>0</v>
      </c>
      <c r="D62" s="1166">
        <v>0.25</v>
      </c>
      <c r="E62" s="260">
        <f>'数据-汇总表'!E12</f>
        <v>0</v>
      </c>
      <c r="F62" s="1105" t="e">
        <f t="shared" si="15"/>
        <v>#DIV/0!</v>
      </c>
      <c r="G62" s="1111" t="s">
        <v>2770</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2771</v>
      </c>
      <c r="B63" s="261" t="e">
        <f t="shared" si="17"/>
        <v>#DIV/0!</v>
      </c>
      <c r="C63" s="199">
        <f t="shared" si="16"/>
        <v>0</v>
      </c>
      <c r="D63" s="1166">
        <v>0.25</v>
      </c>
      <c r="E63" s="260">
        <f>'数据-汇总表'!E13</f>
        <v>0</v>
      </c>
      <c r="F63" s="1105" t="e">
        <f t="shared" si="15"/>
        <v>#DIV/0!</v>
      </c>
      <c r="G63" s="1111" t="s">
        <v>2772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2773</v>
      </c>
      <c r="B64" s="261" t="e">
        <f t="shared" si="17"/>
        <v>#DIV/0!</v>
      </c>
      <c r="C64" s="199">
        <f t="shared" si="16"/>
        <v>0</v>
      </c>
      <c r="D64" s="1166">
        <v>0.25</v>
      </c>
      <c r="E64" s="260">
        <f>'数据-汇总表'!E14</f>
        <v>0</v>
      </c>
      <c r="F64" s="1105" t="e">
        <f t="shared" si="15"/>
        <v>#DIV/0!</v>
      </c>
      <c r="G64" s="2710" t="s">
        <v>2763</v>
      </c>
      <c r="H64" s="1106">
        <f>项目基本情况!B37</f>
        <v>0</v>
      </c>
      <c r="I64" s="1110">
        <f>SUMIF(修正!A45:A56,H64,修正!H45:H56)</f>
        <v>0</v>
      </c>
      <c r="J64" s="1114"/>
      <c r="K64" s="1147"/>
      <c r="L64" s="943"/>
      <c r="M64" s="943"/>
      <c r="N64" s="943"/>
      <c r="O64" s="943"/>
    </row>
    <row r="65" spans="1:17" s="691" customFormat="1" ht="15" thickBot="1">
      <c r="A65" s="692" t="s">
        <v>2774</v>
      </c>
      <c r="B65" s="261" t="e">
        <f t="shared" si="17"/>
        <v>#DIV/0!</v>
      </c>
      <c r="C65" s="199">
        <f t="shared" si="16"/>
        <v>0</v>
      </c>
      <c r="D65" s="1166">
        <v>0.25</v>
      </c>
      <c r="E65" s="260">
        <f>'数据-汇总表'!E15</f>
        <v>0</v>
      </c>
      <c r="F65" s="1105" t="e">
        <f t="shared" si="15"/>
        <v>#DIV/0!</v>
      </c>
      <c r="G65" s="2711" t="s">
        <v>2768</v>
      </c>
      <c r="H65" s="1116">
        <f>项目基本情况!C37</f>
        <v>0</v>
      </c>
      <c r="I65" s="1112">
        <f>SUMIF(修正!A45:A56,H65,修正!H45:H56)</f>
        <v>0</v>
      </c>
      <c r="J65" s="1115"/>
      <c r="K65" s="1146"/>
      <c r="L65" s="943"/>
      <c r="M65" s="943"/>
      <c r="N65" s="943"/>
      <c r="O65" s="943"/>
    </row>
    <row r="66" spans="1:17" s="691" customFormat="1" ht="13.5" thickBot="1">
      <c r="A66" s="694" t="s">
        <v>2775</v>
      </c>
      <c r="B66" s="695" t="s">
        <v>28</v>
      </c>
      <c r="C66" s="695" t="s">
        <v>29</v>
      </c>
      <c r="D66" s="695" t="s">
        <v>1026</v>
      </c>
      <c r="E66" s="695">
        <f>IF(B46="楼面地价",SUM(E56:E65),'数据-汇总表'!D3)</f>
        <v>31156.999999999996</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2018-11-1</v>
      </c>
      <c r="D68" s="760">
        <f>EDATE(C68,-3)</f>
        <v>43313</v>
      </c>
      <c r="E68" s="760">
        <f>EDATE(D68,-3)</f>
        <v>43221</v>
      </c>
      <c r="F68" s="760">
        <f t="shared" ref="F68:O68" si="18">EDATE(E68,-3)</f>
        <v>43132</v>
      </c>
      <c r="G68" s="760">
        <f t="shared" si="18"/>
        <v>43040</v>
      </c>
      <c r="H68" s="760">
        <f t="shared" si="18"/>
        <v>42948</v>
      </c>
      <c r="I68" s="760">
        <f t="shared" si="18"/>
        <v>42856</v>
      </c>
      <c r="J68" s="760">
        <f t="shared" si="18"/>
        <v>42767</v>
      </c>
      <c r="K68" s="760">
        <f t="shared" si="18"/>
        <v>42675</v>
      </c>
      <c r="L68" s="760">
        <f t="shared" si="18"/>
        <v>42583</v>
      </c>
      <c r="M68" s="760">
        <f t="shared" si="18"/>
        <v>42491</v>
      </c>
      <c r="N68" s="760">
        <f t="shared" si="18"/>
        <v>42401</v>
      </c>
      <c r="O68" s="760">
        <f t="shared" si="18"/>
        <v>42309</v>
      </c>
    </row>
    <row r="69" spans="1:17" ht="21.75" thickBot="1">
      <c r="A69" s="762" t="s">
        <v>2668</v>
      </c>
      <c r="B69" s="758"/>
      <c r="C69" s="763"/>
      <c r="D69" s="763"/>
      <c r="E69" s="763"/>
      <c r="F69" s="764"/>
      <c r="G69" s="764"/>
      <c r="H69" s="763"/>
      <c r="I69" s="763"/>
      <c r="J69" s="1161"/>
      <c r="K69" s="1162"/>
      <c r="L69" s="1163"/>
      <c r="M69" s="1161"/>
      <c r="N69" s="1161"/>
      <c r="O69" s="1161"/>
      <c r="P69" s="502"/>
      <c r="Q69" s="503"/>
    </row>
    <row r="70" spans="1:17" s="507" customFormat="1" ht="15">
      <c r="A70" s="2712" t="s">
        <v>2776</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6" customFormat="1" ht="30" customHeight="1">
      <c r="A71" s="2713" t="s">
        <v>2777</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9"/>
      <c r="N71" s="594"/>
      <c r="O71" s="1570"/>
      <c r="P71" s="503"/>
    </row>
    <row r="72" spans="1:17" s="116" customFormat="1" ht="15.75" thickBot="1">
      <c r="A72" s="514" t="s">
        <v>2579</v>
      </c>
      <c r="B72" s="515"/>
      <c r="C72" s="516"/>
      <c r="D72" s="517"/>
      <c r="E72" s="517"/>
      <c r="F72" s="517"/>
      <c r="G72" s="517"/>
      <c r="H72" s="517"/>
      <c r="I72" s="517"/>
      <c r="J72" s="517"/>
      <c r="K72" s="517"/>
      <c r="L72" s="517"/>
      <c r="M72" s="518"/>
      <c r="N72" s="517"/>
      <c r="O72" s="1164"/>
      <c r="P72" s="503"/>
      <c r="Q72" s="503"/>
    </row>
    <row r="73" spans="1:17" s="116" customFormat="1" ht="15">
      <c r="A73" s="520" t="s">
        <v>2544</v>
      </c>
      <c r="B73" s="509"/>
      <c r="C73" s="521" t="s">
        <v>2646</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2582</v>
      </c>
      <c r="B75" s="527" t="s">
        <v>2548</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2551</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6" customFormat="1" ht="15.75" thickTop="1">
      <c r="A96" s="578"/>
      <c r="B96" s="537" t="s">
        <v>2779</v>
      </c>
      <c r="C96" s="577" t="s">
        <v>2591</v>
      </c>
      <c r="D96" s="577" t="s">
        <v>2592</v>
      </c>
      <c r="E96" s="577" t="s">
        <v>2593</v>
      </c>
      <c r="F96" s="577" t="s">
        <v>2594</v>
      </c>
      <c r="G96" s="577" t="s">
        <v>2595</v>
      </c>
      <c r="H96" s="577"/>
      <c r="I96" s="577"/>
      <c r="J96" s="577"/>
      <c r="K96" s="577"/>
      <c r="L96" s="697"/>
      <c r="M96" s="621"/>
      <c r="N96" s="1153"/>
      <c r="O96" s="1153"/>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6" customFormat="1" ht="27.75" thickTop="1">
      <c r="A98" s="578"/>
      <c r="B98" s="537" t="s">
        <v>2780</v>
      </c>
      <c r="C98" s="572" t="s">
        <v>2591</v>
      </c>
      <c r="D98" s="572" t="s">
        <v>2592</v>
      </c>
      <c r="E98" s="572" t="s">
        <v>2593</v>
      </c>
      <c r="F98" s="572" t="s">
        <v>2594</v>
      </c>
      <c r="G98" s="572" t="s">
        <v>2595</v>
      </c>
      <c r="H98" s="577"/>
      <c r="I98" s="577"/>
      <c r="J98" s="577"/>
      <c r="K98" s="577"/>
      <c r="L98" s="577"/>
      <c r="M98" s="621"/>
      <c r="N98" s="1153"/>
      <c r="O98" s="1153"/>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2685</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2744</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2786</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2787</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2788</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2789</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2639</v>
      </c>
      <c r="B4" s="401"/>
      <c r="C4" s="3177" t="s">
        <v>2640</v>
      </c>
      <c r="D4" s="3178"/>
      <c r="E4" s="3179" t="s">
        <v>2641</v>
      </c>
      <c r="F4" s="3180"/>
      <c r="G4" s="3177" t="s">
        <v>2642</v>
      </c>
      <c r="H4" s="3178"/>
      <c r="I4" s="3177" t="s">
        <v>2643</v>
      </c>
      <c r="J4" s="3178"/>
      <c r="K4" s="609" t="s">
        <v>2644</v>
      </c>
      <c r="L4" s="1132"/>
      <c r="M4" s="1133"/>
      <c r="N4" s="1133"/>
      <c r="O4" s="1133"/>
      <c r="P4" s="3181" t="s">
        <v>2645</v>
      </c>
      <c r="Q4" s="3182"/>
      <c r="R4" s="3164" t="s">
        <v>2641</v>
      </c>
      <c r="S4" s="3165"/>
      <c r="T4" s="3164" t="s">
        <v>2642</v>
      </c>
      <c r="U4" s="3165"/>
      <c r="V4" s="3161" t="s">
        <v>2643</v>
      </c>
      <c r="W4" s="3161"/>
      <c r="X4" s="1815"/>
      <c r="Y4" s="3164" t="s">
        <v>2645</v>
      </c>
      <c r="Z4" s="3165"/>
      <c r="AA4" s="3158" t="s">
        <v>2641</v>
      </c>
      <c r="AB4" s="3159" t="s">
        <v>2642</v>
      </c>
      <c r="AC4" s="3158" t="s">
        <v>2643</v>
      </c>
    </row>
    <row r="5" spans="1:29" ht="15">
      <c r="A5" s="403"/>
      <c r="B5" s="404"/>
      <c r="C5" s="3170" t="s">
        <v>2536</v>
      </c>
      <c r="D5" s="3171"/>
      <c r="E5" s="3168" t="s">
        <v>2537</v>
      </c>
      <c r="F5" s="3169"/>
      <c r="G5" s="3170" t="s">
        <v>2538</v>
      </c>
      <c r="H5" s="3171"/>
      <c r="I5" s="3170" t="s">
        <v>2539</v>
      </c>
      <c r="J5" s="3171"/>
      <c r="K5" s="609"/>
      <c r="L5" s="1132"/>
      <c r="M5" s="1133"/>
      <c r="N5" s="1133"/>
      <c r="O5" s="1133"/>
      <c r="P5" s="3183"/>
      <c r="Q5" s="3184"/>
      <c r="R5" s="3166"/>
      <c r="S5" s="3167"/>
      <c r="T5" s="3166"/>
      <c r="U5" s="3167"/>
      <c r="V5" s="3161"/>
      <c r="W5" s="3161"/>
      <c r="X5" s="1815"/>
      <c r="Y5" s="3166"/>
      <c r="Z5" s="3167"/>
      <c r="AA5" s="3159"/>
      <c r="AB5" s="3159"/>
      <c r="AC5" s="3159"/>
    </row>
    <row r="6" spans="1:29" ht="15.75" thickBot="1">
      <c r="A6" s="405"/>
      <c r="B6" s="406"/>
      <c r="C6" s="3251" t="s">
        <v>2791</v>
      </c>
      <c r="D6" s="3252"/>
      <c r="E6" s="3253" t="s">
        <v>2791</v>
      </c>
      <c r="F6" s="3254"/>
      <c r="G6" s="3251" t="s">
        <v>2791</v>
      </c>
      <c r="H6" s="3252"/>
      <c r="I6" s="3251" t="s">
        <v>2791</v>
      </c>
      <c r="J6" s="3252"/>
      <c r="K6" s="609" t="s">
        <v>2541</v>
      </c>
      <c r="L6" s="1132"/>
      <c r="M6" s="1133"/>
      <c r="N6" s="1133"/>
      <c r="O6" s="1133"/>
      <c r="P6" s="3185"/>
      <c r="Q6" s="3186"/>
      <c r="R6" s="3166"/>
      <c r="S6" s="3167"/>
      <c r="T6" s="3187"/>
      <c r="U6" s="3188"/>
      <c r="V6" s="3161"/>
      <c r="W6" s="3161"/>
      <c r="X6" s="1815"/>
      <c r="Y6" s="3187"/>
      <c r="Z6" s="3188"/>
      <c r="AA6" s="3160"/>
      <c r="AB6" s="3160"/>
      <c r="AC6" s="3160"/>
    </row>
    <row r="7" spans="1:29" s="116" customFormat="1" ht="15.75" thickBot="1">
      <c r="A7" s="407" t="s">
        <v>2542</v>
      </c>
      <c r="B7" s="408"/>
      <c r="C7" s="409">
        <f>'数据-取费表'!B2</f>
        <v>43405</v>
      </c>
      <c r="D7" s="410">
        <v>100</v>
      </c>
      <c r="E7" s="411"/>
      <c r="F7" s="412">
        <f>SUMIF(65:65,YEAR(E7)&amp;"-"&amp;INT((MONTH(E7)+2)/3),66:66)</f>
        <v>0</v>
      </c>
      <c r="G7" s="2697"/>
      <c r="H7" s="410">
        <f>SUMIF(65:65,YEAR(G7)&amp;"-"&amp;INT((MONTH(G7)+2)/3),66:66)</f>
        <v>0</v>
      </c>
      <c r="I7" s="2697"/>
      <c r="J7" s="410">
        <f>SUMIF(65:65,YEAR(I7)&amp;"-"&amp;INT((MONTH(I7)+2)/3),66:66)</f>
        <v>0</v>
      </c>
      <c r="K7" s="610"/>
      <c r="L7" s="1134"/>
      <c r="M7" s="1135"/>
      <c r="N7" s="1135"/>
      <c r="O7" s="1135"/>
      <c r="P7" s="3162" t="s">
        <v>2543</v>
      </c>
      <c r="Q7" s="3189"/>
      <c r="R7" s="769" t="s">
        <v>17</v>
      </c>
      <c r="S7" s="770">
        <f t="shared" ref="S7:S15" si="0">F7</f>
        <v>0</v>
      </c>
      <c r="T7" s="769" t="s">
        <v>17</v>
      </c>
      <c r="U7" s="770">
        <f t="shared" ref="U7:U15" si="1">H7</f>
        <v>0</v>
      </c>
      <c r="V7" s="769" t="s">
        <v>17</v>
      </c>
      <c r="W7" s="770">
        <f t="shared" ref="W7:W15" si="2">J7</f>
        <v>0</v>
      </c>
      <c r="X7" s="771"/>
      <c r="Y7" s="3162" t="s">
        <v>2543</v>
      </c>
      <c r="Z7" s="3163"/>
      <c r="AA7" s="772" t="e">
        <f>D7/F7</f>
        <v>#DIV/0!</v>
      </c>
      <c r="AB7" s="772" t="e">
        <f>D7/H7</f>
        <v>#DIV/0!</v>
      </c>
      <c r="AC7" s="772" t="e">
        <f>D7/J7</f>
        <v>#DIV/0!</v>
      </c>
    </row>
    <row r="8" spans="1:29" s="116"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62" t="s">
        <v>2546</v>
      </c>
      <c r="Q8" s="3163"/>
      <c r="R8" s="769" t="s">
        <v>17</v>
      </c>
      <c r="S8" s="770">
        <f t="shared" si="0"/>
        <v>0</v>
      </c>
      <c r="T8" s="769" t="s">
        <v>17</v>
      </c>
      <c r="U8" s="770">
        <f t="shared" si="1"/>
        <v>0</v>
      </c>
      <c r="V8" s="769" t="s">
        <v>17</v>
      </c>
      <c r="W8" s="770">
        <f t="shared" si="2"/>
        <v>0</v>
      </c>
      <c r="X8" s="771"/>
      <c r="Y8" s="3162" t="s">
        <v>2546</v>
      </c>
      <c r="Z8" s="3163"/>
      <c r="AA8" s="772" t="e">
        <f t="shared" ref="AA8:AA40" si="3">D8/F8</f>
        <v>#DIV/0!</v>
      </c>
      <c r="AB8" s="772" t="e">
        <f t="shared" ref="AB8:AB40" si="4">D8/H8</f>
        <v>#DIV/0!</v>
      </c>
      <c r="AC8" s="772" t="e">
        <f t="shared" ref="AC8:AC40" si="5">D8/J8</f>
        <v>#DIV/0!</v>
      </c>
    </row>
    <row r="9" spans="1:29" s="116" customFormat="1">
      <c r="A9" s="414" t="s">
        <v>2547</v>
      </c>
      <c r="B9" s="70" t="s">
        <v>2548</v>
      </c>
      <c r="C9" s="2700"/>
      <c r="D9" s="134">
        <v>100</v>
      </c>
      <c r="E9" s="2700"/>
      <c r="F9" s="134">
        <f>SUMIF(70:70,E9,71:71)-SUMIF(70:70,C9,71:71)+100</f>
        <v>100</v>
      </c>
      <c r="G9" s="2700"/>
      <c r="H9" s="134">
        <f>SUMIF(70:70,G9,71:71)-SUMIF(70:70,C9,71:71)+100</f>
        <v>100</v>
      </c>
      <c r="I9" s="2700"/>
      <c r="J9" s="134">
        <f>SUMIF(70:70,I9,71:71)-SUMIF(70:70,C9,71:71)+100</f>
        <v>100</v>
      </c>
      <c r="K9" s="610"/>
      <c r="L9" s="1134"/>
      <c r="M9" s="1135"/>
      <c r="N9" s="1135"/>
      <c r="O9" s="1136"/>
      <c r="P9" s="3199" t="s">
        <v>2549</v>
      </c>
      <c r="Q9" s="1797" t="str">
        <f t="shared" ref="Q9:Q15" si="6">B9</f>
        <v>用途</v>
      </c>
      <c r="R9" s="769" t="s">
        <v>17</v>
      </c>
      <c r="S9" s="770">
        <f t="shared" si="0"/>
        <v>100</v>
      </c>
      <c r="T9" s="769" t="s">
        <v>17</v>
      </c>
      <c r="U9" s="770">
        <f t="shared" si="1"/>
        <v>100</v>
      </c>
      <c r="V9" s="769" t="s">
        <v>17</v>
      </c>
      <c r="W9" s="770">
        <f t="shared" si="2"/>
        <v>100</v>
      </c>
      <c r="X9" s="771"/>
      <c r="Y9" s="3035" t="s">
        <v>2550</v>
      </c>
      <c r="Z9" s="55" t="str">
        <f t="shared" ref="Z9:Z15" si="7">Q9</f>
        <v>用途</v>
      </c>
      <c r="AA9" s="772">
        <f t="shared" si="3"/>
        <v>1</v>
      </c>
      <c r="AB9" s="772">
        <f t="shared" si="4"/>
        <v>1</v>
      </c>
      <c r="AC9" s="772">
        <f t="shared" si="5"/>
        <v>1</v>
      </c>
    </row>
    <row r="10" spans="1:29" s="426" customFormat="1" ht="27">
      <c r="A10" s="420"/>
      <c r="B10" s="421" t="s">
        <v>2551</v>
      </c>
      <c r="C10" s="431"/>
      <c r="D10" s="135">
        <v>100</v>
      </c>
      <c r="E10" s="431"/>
      <c r="F10" s="135">
        <f>ROUND(100/'数据-取费表'!G16,0)</f>
        <v>105</v>
      </c>
      <c r="G10" s="431"/>
      <c r="H10" s="135">
        <f>ROUND(100/'数据-取费表'!G16,0)</f>
        <v>105</v>
      </c>
      <c r="I10" s="431"/>
      <c r="J10" s="135">
        <f>ROUND(100/'数据-取费表'!G16,0)</f>
        <v>105</v>
      </c>
      <c r="K10" s="671"/>
      <c r="L10" s="1137"/>
      <c r="M10" s="1138"/>
      <c r="N10" s="1138"/>
      <c r="O10" s="1139"/>
      <c r="P10" s="3199"/>
      <c r="Q10" s="1797" t="str">
        <f t="shared" si="6"/>
        <v>土地使用年限（年）</v>
      </c>
      <c r="R10" s="769" t="s">
        <v>17</v>
      </c>
      <c r="S10" s="770">
        <f t="shared" si="0"/>
        <v>105</v>
      </c>
      <c r="T10" s="769" t="s">
        <v>17</v>
      </c>
      <c r="U10" s="770">
        <f t="shared" si="1"/>
        <v>105</v>
      </c>
      <c r="V10" s="769" t="s">
        <v>17</v>
      </c>
      <c r="W10" s="770">
        <f t="shared" si="2"/>
        <v>105</v>
      </c>
      <c r="X10" s="771"/>
      <c r="Y10" s="3035"/>
      <c r="Z10" s="55" t="str">
        <f t="shared" si="7"/>
        <v>土地使用年限（年）</v>
      </c>
      <c r="AA10" s="772">
        <f t="shared" si="3"/>
        <v>0.95238095238095233</v>
      </c>
      <c r="AB10" s="772">
        <f t="shared" si="4"/>
        <v>0.95238095238095233</v>
      </c>
      <c r="AC10" s="772">
        <f t="shared" si="5"/>
        <v>0.95238095238095233</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99"/>
      <c r="Q11" s="1797"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772" t="e">
        <f t="shared" si="5"/>
        <v>#N/A</v>
      </c>
    </row>
    <row r="12" spans="1:29" s="116"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99"/>
      <c r="Q12" s="1797">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99"/>
      <c r="Q13" s="1797">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99"/>
      <c r="Q14" s="1797">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772">
        <f t="shared" si="5"/>
        <v>1</v>
      </c>
    </row>
    <row r="15" spans="1:29" ht="57">
      <c r="A15" s="439" t="s">
        <v>2553</v>
      </c>
      <c r="B15" s="628" t="s">
        <v>2792</v>
      </c>
      <c r="C15" s="269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92" t="s">
        <v>2554</v>
      </c>
      <c r="Q15" s="1812" t="str">
        <f t="shared" si="6"/>
        <v>产业集聚程度</v>
      </c>
      <c r="R15" s="773" t="s">
        <v>17</v>
      </c>
      <c r="S15" s="774">
        <f t="shared" si="0"/>
        <v>100</v>
      </c>
      <c r="T15" s="773" t="s">
        <v>17</v>
      </c>
      <c r="U15" s="774">
        <f t="shared" si="1"/>
        <v>100</v>
      </c>
      <c r="V15" s="773" t="s">
        <v>17</v>
      </c>
      <c r="W15" s="774">
        <f t="shared" si="2"/>
        <v>100</v>
      </c>
      <c r="X15" s="1815"/>
      <c r="Y15" s="3192" t="s">
        <v>2554</v>
      </c>
      <c r="Z15" s="1816" t="str">
        <f t="shared" si="7"/>
        <v>产业集聚程度</v>
      </c>
      <c r="AA15" s="1813">
        <f t="shared" si="3"/>
        <v>1</v>
      </c>
      <c r="AB15" s="1813">
        <f t="shared" si="4"/>
        <v>1</v>
      </c>
      <c r="AC15" s="1813">
        <f t="shared" si="5"/>
        <v>1</v>
      </c>
    </row>
    <row r="16" spans="1:29" ht="15">
      <c r="A16" s="427"/>
      <c r="B16" s="629"/>
      <c r="C16" s="446"/>
      <c r="D16" s="447"/>
      <c r="E16" s="2612"/>
      <c r="F16" s="447"/>
      <c r="G16" s="2612"/>
      <c r="H16" s="449"/>
      <c r="I16" s="2612"/>
      <c r="J16" s="447"/>
      <c r="K16" s="671"/>
      <c r="L16" s="1142"/>
      <c r="M16" s="1133"/>
      <c r="N16" s="1133"/>
      <c r="O16" s="1141"/>
      <c r="P16" s="3193"/>
      <c r="Q16" s="1812"/>
      <c r="R16" s="773"/>
      <c r="S16" s="774"/>
      <c r="T16" s="773"/>
      <c r="U16" s="774"/>
      <c r="V16" s="773"/>
      <c r="W16" s="774"/>
      <c r="X16" s="1815"/>
      <c r="Y16" s="3193"/>
      <c r="Z16" s="1816"/>
      <c r="AA16" s="1813">
        <v>1</v>
      </c>
      <c r="AB16" s="1813">
        <v>1</v>
      </c>
      <c r="AC16" s="1813">
        <v>1</v>
      </c>
    </row>
    <row r="17" spans="1:29" ht="85.5">
      <c r="A17" s="427"/>
      <c r="B17" s="630" t="s">
        <v>2703</v>
      </c>
      <c r="C17" s="260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93"/>
      <c r="Q17" s="1812" t="str">
        <f>B17</f>
        <v>交通便捷度</v>
      </c>
      <c r="R17" s="773" t="s">
        <v>17</v>
      </c>
      <c r="S17" s="774">
        <f>F17</f>
        <v>100</v>
      </c>
      <c r="T17" s="773" t="s">
        <v>17</v>
      </c>
      <c r="U17" s="774">
        <f>H17</f>
        <v>100</v>
      </c>
      <c r="V17" s="773" t="s">
        <v>17</v>
      </c>
      <c r="W17" s="774">
        <f>J17</f>
        <v>100</v>
      </c>
      <c r="X17" s="1815"/>
      <c r="Y17" s="3193"/>
      <c r="Z17" s="1816" t="str">
        <f>Q17</f>
        <v>交通便捷度</v>
      </c>
      <c r="AA17" s="1813">
        <f t="shared" si="3"/>
        <v>1</v>
      </c>
      <c r="AB17" s="1813">
        <f t="shared" si="4"/>
        <v>1</v>
      </c>
      <c r="AC17" s="1813">
        <f t="shared" si="5"/>
        <v>1</v>
      </c>
    </row>
    <row r="18" spans="1:29" ht="15">
      <c r="A18" s="427"/>
      <c r="B18" s="631"/>
      <c r="C18" s="446"/>
      <c r="D18" s="447"/>
      <c r="E18" s="2606"/>
      <c r="F18" s="447"/>
      <c r="G18" s="2606"/>
      <c r="H18" s="447"/>
      <c r="I18" s="2605"/>
      <c r="J18" s="447"/>
      <c r="K18" s="671"/>
      <c r="L18" s="1142"/>
      <c r="M18" s="1133"/>
      <c r="N18" s="1133"/>
      <c r="O18" s="1141"/>
      <c r="P18" s="3193"/>
      <c r="Q18" s="1812"/>
      <c r="R18" s="773"/>
      <c r="S18" s="774"/>
      <c r="T18" s="773"/>
      <c r="U18" s="774"/>
      <c r="V18" s="773"/>
      <c r="W18" s="774"/>
      <c r="X18" s="1815"/>
      <c r="Y18" s="3193"/>
      <c r="Z18" s="1816"/>
      <c r="AA18" s="1813">
        <v>1</v>
      </c>
      <c r="AB18" s="1813">
        <v>1</v>
      </c>
      <c r="AC18" s="1813">
        <v>1</v>
      </c>
    </row>
    <row r="19" spans="1:29" ht="15">
      <c r="A19" s="427"/>
      <c r="B19" s="630" t="s">
        <v>2742</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93"/>
      <c r="Q19" s="1812" t="str">
        <f t="shared" ref="Q19:Q33" si="8">B19</f>
        <v>区域土地利用方向</v>
      </c>
      <c r="R19" s="773" t="s">
        <v>17</v>
      </c>
      <c r="S19" s="774">
        <f>F19</f>
        <v>100</v>
      </c>
      <c r="T19" s="773" t="s">
        <v>17</v>
      </c>
      <c r="U19" s="774">
        <f>H19</f>
        <v>100</v>
      </c>
      <c r="V19" s="773" t="s">
        <v>17</v>
      </c>
      <c r="W19" s="774">
        <f>J19</f>
        <v>100</v>
      </c>
      <c r="X19" s="1815"/>
      <c r="Y19" s="3193"/>
      <c r="Z19" s="1816" t="str">
        <f>Q19</f>
        <v>区域土地利用方向</v>
      </c>
      <c r="AA19" s="1813">
        <f t="shared" si="3"/>
        <v>1</v>
      </c>
      <c r="AB19" s="1813">
        <f t="shared" si="4"/>
        <v>1</v>
      </c>
      <c r="AC19" s="1813">
        <f t="shared" si="5"/>
        <v>1</v>
      </c>
    </row>
    <row r="20" spans="1:29" ht="15">
      <c r="A20" s="403"/>
      <c r="B20" s="631"/>
      <c r="C20" s="446"/>
      <c r="D20" s="447"/>
      <c r="E20" s="2606"/>
      <c r="F20" s="447"/>
      <c r="G20" s="2606"/>
      <c r="H20" s="447"/>
      <c r="I20" s="2606"/>
      <c r="J20" s="447"/>
      <c r="K20" s="811"/>
      <c r="L20" s="1142"/>
      <c r="M20" s="1133"/>
      <c r="N20" s="1133"/>
      <c r="O20" s="1141"/>
      <c r="P20" s="3193"/>
      <c r="Q20" s="1812"/>
      <c r="R20" s="773"/>
      <c r="S20" s="774"/>
      <c r="T20" s="773"/>
      <c r="U20" s="774"/>
      <c r="V20" s="773"/>
      <c r="W20" s="774"/>
      <c r="X20" s="1815"/>
      <c r="Y20" s="3193"/>
      <c r="Z20" s="1816"/>
      <c r="AA20" s="1813"/>
      <c r="AB20" s="1813"/>
      <c r="AC20" s="1813"/>
    </row>
    <row r="21" spans="1:29" ht="71.25">
      <c r="A21" s="403"/>
      <c r="B21" s="630" t="s">
        <v>2793</v>
      </c>
      <c r="C21" s="260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93"/>
      <c r="Q21" s="1812" t="str">
        <f t="shared" si="8"/>
        <v>环境状况</v>
      </c>
      <c r="R21" s="773" t="s">
        <v>17</v>
      </c>
      <c r="S21" s="774">
        <f>F21</f>
        <v>100</v>
      </c>
      <c r="T21" s="773" t="s">
        <v>17</v>
      </c>
      <c r="U21" s="774">
        <f>H21</f>
        <v>100</v>
      </c>
      <c r="V21" s="773" t="s">
        <v>17</v>
      </c>
      <c r="W21" s="774">
        <f>J21</f>
        <v>100</v>
      </c>
      <c r="X21" s="1815"/>
      <c r="Y21" s="3193"/>
      <c r="Z21" s="1816" t="str">
        <f>Q21</f>
        <v>环境状况</v>
      </c>
      <c r="AA21" s="1813">
        <f t="shared" si="3"/>
        <v>1</v>
      </c>
      <c r="AB21" s="1813">
        <f t="shared" si="4"/>
        <v>1</v>
      </c>
      <c r="AC21" s="1813">
        <f t="shared" si="5"/>
        <v>1</v>
      </c>
    </row>
    <row r="22" spans="1:29" ht="15">
      <c r="A22" s="403"/>
      <c r="B22" s="631"/>
      <c r="C22" s="446"/>
      <c r="D22" s="447"/>
      <c r="E22" s="2612"/>
      <c r="F22" s="447"/>
      <c r="G22" s="2612"/>
      <c r="H22" s="447"/>
      <c r="I22" s="446"/>
      <c r="J22" s="447"/>
      <c r="K22" s="671"/>
      <c r="L22" s="1142"/>
      <c r="M22" s="1133"/>
      <c r="N22" s="1133"/>
      <c r="O22" s="1141"/>
      <c r="P22" s="3193"/>
      <c r="Q22" s="1812"/>
      <c r="R22" s="773"/>
      <c r="S22" s="774"/>
      <c r="T22" s="773"/>
      <c r="U22" s="774"/>
      <c r="V22" s="773"/>
      <c r="W22" s="774"/>
      <c r="X22" s="1815"/>
      <c r="Y22" s="3193"/>
      <c r="Z22" s="1816"/>
      <c r="AA22" s="1813">
        <v>1</v>
      </c>
      <c r="AB22" s="1813">
        <v>1</v>
      </c>
      <c r="AC22" s="1813">
        <v>1</v>
      </c>
    </row>
    <row r="23" spans="1:29" s="116" customFormat="1" ht="42.75">
      <c r="A23" s="648"/>
      <c r="B23" s="632" t="s">
        <v>2648</v>
      </c>
      <c r="C23" s="260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93"/>
      <c r="Q23" s="1797" t="str">
        <f t="shared" si="8"/>
        <v>公共配套设施</v>
      </c>
      <c r="R23" s="769" t="s">
        <v>17</v>
      </c>
      <c r="S23" s="770">
        <f>F23</f>
        <v>100</v>
      </c>
      <c r="T23" s="769" t="s">
        <v>17</v>
      </c>
      <c r="U23" s="770">
        <f>H23</f>
        <v>100</v>
      </c>
      <c r="V23" s="769" t="s">
        <v>17</v>
      </c>
      <c r="W23" s="770">
        <f>J23</f>
        <v>100</v>
      </c>
      <c r="X23" s="771"/>
      <c r="Y23" s="3193"/>
      <c r="Z23" s="55" t="str">
        <f>Q23</f>
        <v>公共配套设施</v>
      </c>
      <c r="AA23" s="1813">
        <f>D23/F23</f>
        <v>1</v>
      </c>
      <c r="AB23" s="1813">
        <f>D23/H23</f>
        <v>1</v>
      </c>
      <c r="AC23" s="1813">
        <f>D23/J23</f>
        <v>1</v>
      </c>
    </row>
    <row r="24" spans="1:29" s="116" customFormat="1" ht="15">
      <c r="A24" s="648"/>
      <c r="B24" s="631"/>
      <c r="C24" s="2701"/>
      <c r="D24" s="447"/>
      <c r="E24" s="2612"/>
      <c r="F24" s="447"/>
      <c r="G24" s="2612"/>
      <c r="H24" s="447"/>
      <c r="I24" s="446"/>
      <c r="J24" s="447"/>
      <c r="K24" s="671"/>
      <c r="L24" s="1134"/>
      <c r="M24" s="1135"/>
      <c r="N24" s="1135"/>
      <c r="O24" s="1136"/>
      <c r="P24" s="3193"/>
      <c r="Q24" s="1797"/>
      <c r="R24" s="769"/>
      <c r="S24" s="770"/>
      <c r="T24" s="769"/>
      <c r="U24" s="770"/>
      <c r="V24" s="769"/>
      <c r="W24" s="770"/>
      <c r="X24" s="771"/>
      <c r="Y24" s="3193"/>
      <c r="Z24" s="55"/>
      <c r="AA24" s="772">
        <v>1</v>
      </c>
      <c r="AB24" s="772">
        <v>1</v>
      </c>
      <c r="AC24" s="772">
        <v>1</v>
      </c>
    </row>
    <row r="25" spans="1:29" s="116" customFormat="1" ht="28.5">
      <c r="A25" s="648"/>
      <c r="B25" s="632" t="s">
        <v>2649</v>
      </c>
      <c r="C25" s="260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93"/>
      <c r="Q25" s="1797" t="str">
        <f t="shared" ref="Q25" si="9">B25</f>
        <v>基础设施水平</v>
      </c>
      <c r="R25" s="769" t="s">
        <v>17</v>
      </c>
      <c r="S25" s="770">
        <f>F25</f>
        <v>100</v>
      </c>
      <c r="T25" s="769" t="s">
        <v>17</v>
      </c>
      <c r="U25" s="770">
        <f>H25</f>
        <v>100</v>
      </c>
      <c r="V25" s="769" t="s">
        <v>17</v>
      </c>
      <c r="W25" s="770">
        <f>J25</f>
        <v>100</v>
      </c>
      <c r="X25" s="771"/>
      <c r="Y25" s="3193"/>
      <c r="Z25" s="55" t="str">
        <f>Q25</f>
        <v>基础设施水平</v>
      </c>
      <c r="AA25" s="1813">
        <f>D25/F25</f>
        <v>1</v>
      </c>
      <c r="AB25" s="1813">
        <f>D25/H25</f>
        <v>1</v>
      </c>
      <c r="AC25" s="1813">
        <f>D25/J25</f>
        <v>1</v>
      </c>
    </row>
    <row r="26" spans="1:29" s="116" customFormat="1" ht="15">
      <c r="A26" s="648"/>
      <c r="B26" s="631"/>
      <c r="C26" s="2701"/>
      <c r="D26" s="447"/>
      <c r="E26" s="2702"/>
      <c r="F26" s="447"/>
      <c r="G26" s="2702"/>
      <c r="H26" s="447"/>
      <c r="I26" s="2702"/>
      <c r="J26" s="447"/>
      <c r="K26" s="671"/>
      <c r="L26" s="1134"/>
      <c r="M26" s="1135"/>
      <c r="N26" s="1135"/>
      <c r="O26" s="1136"/>
      <c r="P26" s="3193"/>
      <c r="Q26" s="1797"/>
      <c r="R26" s="769"/>
      <c r="S26" s="770"/>
      <c r="T26" s="769"/>
      <c r="U26" s="770"/>
      <c r="V26" s="769"/>
      <c r="W26" s="770"/>
      <c r="X26" s="771"/>
      <c r="Y26" s="3193"/>
      <c r="Z26" s="55"/>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93"/>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93"/>
      <c r="Z27" s="1816" t="str">
        <f t="shared" ref="Z27:Z40" si="13">Q27</f>
        <v>临街状况</v>
      </c>
      <c r="AA27" s="1813">
        <f t="shared" si="3"/>
        <v>1</v>
      </c>
      <c r="AB27" s="1813">
        <f t="shared" si="4"/>
        <v>1</v>
      </c>
      <c r="AC27" s="1813">
        <f t="shared" si="5"/>
        <v>1</v>
      </c>
    </row>
    <row r="28" spans="1:29" ht="27">
      <c r="A28" s="427"/>
      <c r="B28" s="632" t="s">
        <v>2685</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93"/>
      <c r="Q28" s="1812" t="str">
        <f t="shared" si="8"/>
        <v>毗邻道路的类型与等级</v>
      </c>
      <c r="R28" s="773" t="s">
        <v>17</v>
      </c>
      <c r="S28" s="774">
        <f t="shared" si="10"/>
        <v>100</v>
      </c>
      <c r="T28" s="773" t="s">
        <v>17</v>
      </c>
      <c r="U28" s="774">
        <f t="shared" si="11"/>
        <v>100</v>
      </c>
      <c r="V28" s="773" t="s">
        <v>17</v>
      </c>
      <c r="W28" s="774">
        <f t="shared" si="12"/>
        <v>100</v>
      </c>
      <c r="X28" s="1815"/>
      <c r="Y28" s="3193"/>
      <c r="Z28" s="1816" t="str">
        <f t="shared" si="13"/>
        <v>毗邻道路的类型与等级</v>
      </c>
      <c r="AA28" s="1813">
        <f t="shared" si="3"/>
        <v>1</v>
      </c>
      <c r="AB28" s="1813">
        <f t="shared" si="4"/>
        <v>1</v>
      </c>
      <c r="AC28" s="1813">
        <f t="shared" si="5"/>
        <v>1</v>
      </c>
    </row>
    <row r="29" spans="1:29" ht="15">
      <c r="A29" s="427"/>
      <c r="B29" s="631"/>
      <c r="C29" s="446"/>
      <c r="D29" s="447"/>
      <c r="E29" s="2612"/>
      <c r="F29" s="447"/>
      <c r="G29" s="2612"/>
      <c r="H29" s="447"/>
      <c r="I29" s="2612"/>
      <c r="J29" s="447"/>
      <c r="K29" s="612"/>
      <c r="L29" s="1142"/>
      <c r="M29" s="1133"/>
      <c r="N29" s="1133"/>
      <c r="O29" s="1141"/>
      <c r="P29" s="3193"/>
      <c r="Q29" s="1812"/>
      <c r="R29" s="773"/>
      <c r="S29" s="774"/>
      <c r="T29" s="773"/>
      <c r="U29" s="774"/>
      <c r="V29" s="773"/>
      <c r="W29" s="774"/>
      <c r="X29" s="1815"/>
      <c r="Y29" s="3193"/>
      <c r="Z29" s="1816"/>
      <c r="AA29" s="1813">
        <v>1</v>
      </c>
      <c r="AB29" s="1813">
        <v>1</v>
      </c>
      <c r="AC29" s="1813">
        <v>1</v>
      </c>
    </row>
    <row r="30" spans="1:29" ht="15">
      <c r="A30" s="427"/>
      <c r="B30" s="653" t="s">
        <v>2744</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93"/>
      <c r="Q30" s="1812" t="str">
        <f t="shared" si="8"/>
        <v>土地级别</v>
      </c>
      <c r="R30" s="773" t="s">
        <v>17</v>
      </c>
      <c r="S30" s="774">
        <f t="shared" si="10"/>
        <v>100</v>
      </c>
      <c r="T30" s="773" t="s">
        <v>17</v>
      </c>
      <c r="U30" s="774">
        <f t="shared" si="11"/>
        <v>100</v>
      </c>
      <c r="V30" s="773" t="s">
        <v>17</v>
      </c>
      <c r="W30" s="774">
        <f t="shared" si="12"/>
        <v>100</v>
      </c>
      <c r="X30" s="1815"/>
      <c r="Y30" s="3193"/>
      <c r="Z30" s="1816" t="str">
        <f t="shared" si="13"/>
        <v>土地级别</v>
      </c>
      <c r="AA30" s="1813">
        <f t="shared" si="3"/>
        <v>1</v>
      </c>
      <c r="AB30" s="1813">
        <f t="shared" si="4"/>
        <v>1</v>
      </c>
      <c r="AC30" s="1813">
        <f t="shared" si="5"/>
        <v>1</v>
      </c>
    </row>
    <row r="31" spans="1:29" ht="15">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93"/>
      <c r="Q31" s="1812">
        <f t="shared" si="8"/>
        <v>111</v>
      </c>
      <c r="R31" s="773" t="s">
        <v>17</v>
      </c>
      <c r="S31" s="774">
        <f t="shared" si="10"/>
        <v>100</v>
      </c>
      <c r="T31" s="773" t="s">
        <v>17</v>
      </c>
      <c r="U31" s="774">
        <f t="shared" si="11"/>
        <v>100</v>
      </c>
      <c r="V31" s="773" t="s">
        <v>17</v>
      </c>
      <c r="W31" s="774">
        <f t="shared" si="12"/>
        <v>100</v>
      </c>
      <c r="X31" s="1815"/>
      <c r="Y31" s="3193"/>
      <c r="Z31" s="1816">
        <f t="shared" si="13"/>
        <v>111</v>
      </c>
      <c r="AA31" s="1813">
        <f t="shared" si="3"/>
        <v>1</v>
      </c>
      <c r="AB31" s="1813">
        <f t="shared" si="4"/>
        <v>1</v>
      </c>
      <c r="AC31" s="1813">
        <f t="shared" si="5"/>
        <v>1</v>
      </c>
    </row>
    <row r="32" spans="1:29" ht="15">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46" t="s">
        <v>2559</v>
      </c>
      <c r="Q32" s="1812">
        <f t="shared" si="8"/>
        <v>111</v>
      </c>
      <c r="R32" s="773" t="s">
        <v>17</v>
      </c>
      <c r="S32" s="774">
        <f t="shared" si="10"/>
        <v>100</v>
      </c>
      <c r="T32" s="773" t="s">
        <v>17</v>
      </c>
      <c r="U32" s="774">
        <f t="shared" si="11"/>
        <v>100</v>
      </c>
      <c r="V32" s="773" t="s">
        <v>17</v>
      </c>
      <c r="W32" s="774">
        <f t="shared" si="12"/>
        <v>100</v>
      </c>
      <c r="X32" s="1815"/>
      <c r="Y32" s="3197" t="s">
        <v>2559</v>
      </c>
      <c r="Z32" s="1816">
        <f t="shared" si="13"/>
        <v>111</v>
      </c>
      <c r="AA32" s="1813">
        <f t="shared" si="3"/>
        <v>1</v>
      </c>
      <c r="AB32" s="1813">
        <f t="shared" si="4"/>
        <v>1</v>
      </c>
      <c r="AC32" s="1813">
        <f t="shared" si="5"/>
        <v>1</v>
      </c>
    </row>
    <row r="33" spans="1:29" s="470" customFormat="1" ht="15.75"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97"/>
      <c r="Q33" s="1812">
        <f t="shared" si="8"/>
        <v>111</v>
      </c>
      <c r="R33" s="776" t="s">
        <v>17</v>
      </c>
      <c r="S33" s="777">
        <f t="shared" si="10"/>
        <v>100</v>
      </c>
      <c r="T33" s="776" t="s">
        <v>17</v>
      </c>
      <c r="U33" s="777">
        <f t="shared" si="11"/>
        <v>100</v>
      </c>
      <c r="V33" s="776" t="s">
        <v>17</v>
      </c>
      <c r="W33" s="777">
        <f t="shared" si="12"/>
        <v>100</v>
      </c>
      <c r="X33" s="778"/>
      <c r="Y33" s="3197"/>
      <c r="Z33" s="779">
        <f t="shared" si="13"/>
        <v>111</v>
      </c>
      <c r="AA33" s="1813">
        <f t="shared" si="3"/>
        <v>1</v>
      </c>
      <c r="AB33" s="1813">
        <f t="shared" si="4"/>
        <v>1</v>
      </c>
      <c r="AC33" s="1813">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97"/>
      <c r="Q34" s="1812" t="str">
        <f>B34</f>
        <v>宗地面积</v>
      </c>
      <c r="R34" s="773" t="s">
        <v>17</v>
      </c>
      <c r="S34" s="774" t="e">
        <f t="shared" si="10"/>
        <v>#N/A</v>
      </c>
      <c r="T34" s="773" t="s">
        <v>17</v>
      </c>
      <c r="U34" s="774" t="e">
        <f t="shared" si="11"/>
        <v>#N/A</v>
      </c>
      <c r="V34" s="773" t="s">
        <v>17</v>
      </c>
      <c r="W34" s="774" t="e">
        <f t="shared" si="12"/>
        <v>#N/A</v>
      </c>
      <c r="X34" s="1815"/>
      <c r="Y34" s="3197"/>
      <c r="Z34" s="1816" t="str">
        <f t="shared" si="13"/>
        <v>宗地面积</v>
      </c>
      <c r="AA34" s="1813" t="e">
        <f t="shared" si="3"/>
        <v>#N/A</v>
      </c>
      <c r="AB34" s="1813" t="e">
        <f t="shared" si="4"/>
        <v>#N/A</v>
      </c>
      <c r="AC34" s="1813" t="e">
        <f t="shared" si="5"/>
        <v>#N/A</v>
      </c>
    </row>
    <row r="35" spans="1:29" ht="15">
      <c r="A35" s="471"/>
      <c r="B35" s="421" t="s">
        <v>2746</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42"/>
      <c r="M35" s="1133"/>
      <c r="N35" s="1133"/>
      <c r="O35" s="1141"/>
      <c r="P35" s="3197"/>
      <c r="Q35" s="1812" t="str">
        <f t="shared" ref="Q35:Q40" si="14">B35</f>
        <v>宗地形状</v>
      </c>
      <c r="R35" s="773" t="s">
        <v>17</v>
      </c>
      <c r="S35" s="774">
        <f t="shared" si="10"/>
        <v>100</v>
      </c>
      <c r="T35" s="773" t="s">
        <v>17</v>
      </c>
      <c r="U35" s="774">
        <f t="shared" si="11"/>
        <v>100</v>
      </c>
      <c r="V35" s="773" t="s">
        <v>17</v>
      </c>
      <c r="W35" s="774">
        <f t="shared" si="12"/>
        <v>100</v>
      </c>
      <c r="X35" s="1815"/>
      <c r="Y35" s="3197"/>
      <c r="Z35" s="1816" t="str">
        <f t="shared" si="13"/>
        <v>宗地形状</v>
      </c>
      <c r="AA35" s="1813">
        <f t="shared" si="3"/>
        <v>1</v>
      </c>
      <c r="AB35" s="1813">
        <f t="shared" si="4"/>
        <v>1</v>
      </c>
      <c r="AC35" s="1813">
        <f t="shared" si="5"/>
        <v>1</v>
      </c>
    </row>
    <row r="36" spans="1:29" s="116" customFormat="1" ht="15">
      <c r="A36" s="472"/>
      <c r="B36" s="421" t="s">
        <v>2748</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4"/>
      <c r="M36" s="1135"/>
      <c r="N36" s="1135"/>
      <c r="O36" s="1136"/>
      <c r="P36" s="3197"/>
      <c r="Q36" s="1812" t="str">
        <f t="shared" si="14"/>
        <v>宗地开发程度</v>
      </c>
      <c r="R36" s="769" t="s">
        <v>17</v>
      </c>
      <c r="S36" s="770">
        <f t="shared" si="10"/>
        <v>100</v>
      </c>
      <c r="T36" s="769" t="s">
        <v>17</v>
      </c>
      <c r="U36" s="770">
        <f t="shared" si="11"/>
        <v>100</v>
      </c>
      <c r="V36" s="769" t="s">
        <v>17</v>
      </c>
      <c r="W36" s="770">
        <f t="shared" si="12"/>
        <v>100</v>
      </c>
      <c r="X36" s="771"/>
      <c r="Y36" s="3197"/>
      <c r="Z36" s="55" t="str">
        <f t="shared" si="13"/>
        <v>宗地开发程度</v>
      </c>
      <c r="AA36" s="772">
        <f t="shared" si="3"/>
        <v>1</v>
      </c>
      <c r="AB36" s="772">
        <f t="shared" si="4"/>
        <v>1</v>
      </c>
      <c r="AC36" s="772">
        <f t="shared" si="5"/>
        <v>1</v>
      </c>
    </row>
    <row r="37" spans="1:29" ht="15">
      <c r="A37" s="471"/>
      <c r="B37" s="421" t="s">
        <v>2749</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42"/>
      <c r="M37" s="1133"/>
      <c r="N37" s="1133"/>
      <c r="O37" s="1141"/>
      <c r="P37" s="3197" t="s">
        <v>2559</v>
      </c>
      <c r="Q37" s="1812" t="str">
        <f t="shared" si="14"/>
        <v>工程地质条件</v>
      </c>
      <c r="R37" s="773" t="s">
        <v>17</v>
      </c>
      <c r="S37" s="774">
        <f t="shared" si="10"/>
        <v>100</v>
      </c>
      <c r="T37" s="773" t="s">
        <v>17</v>
      </c>
      <c r="U37" s="774">
        <f t="shared" si="11"/>
        <v>100</v>
      </c>
      <c r="V37" s="773" t="s">
        <v>17</v>
      </c>
      <c r="W37" s="774">
        <f t="shared" si="12"/>
        <v>100</v>
      </c>
      <c r="X37" s="1815"/>
      <c r="Y37" s="3197" t="s">
        <v>2559</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97"/>
      <c r="Q38" s="1812">
        <f t="shared" si="14"/>
        <v>111</v>
      </c>
      <c r="R38" s="773" t="s">
        <v>17</v>
      </c>
      <c r="S38" s="774">
        <f t="shared" si="10"/>
        <v>100</v>
      </c>
      <c r="T38" s="773" t="s">
        <v>17</v>
      </c>
      <c r="U38" s="774">
        <f t="shared" si="11"/>
        <v>100</v>
      </c>
      <c r="V38" s="773" t="s">
        <v>17</v>
      </c>
      <c r="W38" s="774">
        <f t="shared" si="12"/>
        <v>100</v>
      </c>
      <c r="X38" s="1815"/>
      <c r="Y38" s="3197"/>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97"/>
      <c r="Q39" s="1812">
        <f t="shared" si="14"/>
        <v>111</v>
      </c>
      <c r="R39" s="773" t="s">
        <v>17</v>
      </c>
      <c r="S39" s="774">
        <f t="shared" si="10"/>
        <v>100</v>
      </c>
      <c r="T39" s="773" t="s">
        <v>17</v>
      </c>
      <c r="U39" s="774">
        <f t="shared" si="11"/>
        <v>100</v>
      </c>
      <c r="V39" s="773" t="s">
        <v>17</v>
      </c>
      <c r="W39" s="774">
        <f t="shared" si="12"/>
        <v>100</v>
      </c>
      <c r="X39" s="1815"/>
      <c r="Y39" s="3197"/>
      <c r="Z39" s="1816">
        <f t="shared" si="13"/>
        <v>111</v>
      </c>
      <c r="AA39" s="1813">
        <f t="shared" si="3"/>
        <v>1</v>
      </c>
      <c r="AB39" s="1813">
        <f t="shared" si="4"/>
        <v>1</v>
      </c>
      <c r="AC39" s="1813">
        <f t="shared" si="5"/>
        <v>1</v>
      </c>
    </row>
    <row r="40" spans="1:29" s="470" customFormat="1" ht="15.75" thickBot="1">
      <c r="A40" s="467"/>
      <c r="B40" s="1389">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97"/>
      <c r="Q40" s="1812">
        <f t="shared" si="14"/>
        <v>111</v>
      </c>
      <c r="R40" s="776" t="s">
        <v>17</v>
      </c>
      <c r="S40" s="777">
        <f t="shared" si="10"/>
        <v>100</v>
      </c>
      <c r="T40" s="776" t="s">
        <v>17</v>
      </c>
      <c r="U40" s="777">
        <f t="shared" si="11"/>
        <v>100</v>
      </c>
      <c r="V40" s="776" t="s">
        <v>17</v>
      </c>
      <c r="W40" s="777">
        <f t="shared" si="12"/>
        <v>100</v>
      </c>
      <c r="X40" s="778"/>
      <c r="Y40" s="3197"/>
      <c r="Z40" s="779">
        <f t="shared" si="13"/>
        <v>111</v>
      </c>
      <c r="AA40" s="1813">
        <f t="shared" si="3"/>
        <v>1</v>
      </c>
      <c r="AB40" s="1813">
        <f t="shared" si="4"/>
        <v>1</v>
      </c>
      <c r="AC40" s="1813">
        <f t="shared" si="5"/>
        <v>1</v>
      </c>
    </row>
    <row r="41" spans="1:29" ht="15">
      <c r="A41" s="478" t="s">
        <v>2714</v>
      </c>
      <c r="B41" s="2705" t="s">
        <v>2794</v>
      </c>
      <c r="C41" s="681" t="s">
        <v>1</v>
      </c>
      <c r="D41" s="480"/>
      <c r="E41" s="481"/>
      <c r="F41" s="482"/>
      <c r="G41" s="483"/>
      <c r="H41" s="484"/>
      <c r="I41" s="481"/>
      <c r="J41" s="484"/>
      <c r="K41" s="782"/>
      <c r="L41" s="1145"/>
      <c r="M41" s="1133"/>
      <c r="N41" s="1133"/>
      <c r="O41" s="1146"/>
      <c r="P41" s="3199" t="str">
        <f>A41</f>
        <v>成交单价</v>
      </c>
      <c r="Q41" s="3199"/>
      <c r="R41" s="3161">
        <f>E41</f>
        <v>0</v>
      </c>
      <c r="S41" s="3161"/>
      <c r="T41" s="3161">
        <f>G41</f>
        <v>0</v>
      </c>
      <c r="U41" s="3161"/>
      <c r="V41" s="3161">
        <f>I41</f>
        <v>0</v>
      </c>
      <c r="W41" s="3161"/>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5"/>
      <c r="M42" s="1133"/>
      <c r="N42" s="1133"/>
      <c r="O42" s="1146"/>
      <c r="P42" s="3199" t="str">
        <f>A42</f>
        <v>比较价值（元/平方米）</v>
      </c>
      <c r="Q42" s="3199"/>
      <c r="R42" s="3247" t="e">
        <f>ROUND(PRODUCT(R41,AA7:AA40),0)</f>
        <v>#DIV/0!</v>
      </c>
      <c r="S42" s="3247"/>
      <c r="T42" s="3247" t="e">
        <f>ROUND(PRODUCT(T41,AB7:AB40),0)</f>
        <v>#DIV/0!</v>
      </c>
      <c r="U42" s="3247"/>
      <c r="V42" s="3247" t="e">
        <f>ROUND(PRODUCT(V41,AC7:AC40),0)</f>
        <v>#DIV/0!</v>
      </c>
      <c r="W42" s="3247"/>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5"/>
      <c r="M43" s="1133"/>
      <c r="N43" s="1133"/>
      <c r="O43" s="1146"/>
      <c r="P43" s="3201" t="str">
        <f>A43</f>
        <v>估价对象XX用房的比较价值（楼面单价，元/平方米）</v>
      </c>
      <c r="Q43" s="3202"/>
      <c r="R43" s="3248" t="e">
        <f>ROUND(AVERAGE(R42:V42),0)</f>
        <v>#DIV/0!</v>
      </c>
      <c r="S43" s="3248"/>
      <c r="T43" s="3248"/>
      <c r="U43" s="3248"/>
      <c r="V43" s="3248"/>
      <c r="W43" s="324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2752</v>
      </c>
      <c r="B50" s="684" t="s">
        <v>2753</v>
      </c>
      <c r="C50" s="2706" t="s">
        <v>2754</v>
      </c>
      <c r="D50" s="2707" t="s">
        <v>2755</v>
      </c>
      <c r="E50" s="685" t="s">
        <v>2756</v>
      </c>
      <c r="F50" s="686" t="s">
        <v>2757</v>
      </c>
      <c r="G50" s="3177" t="s">
        <v>2758</v>
      </c>
      <c r="H50" s="3249"/>
      <c r="I50" s="1816" t="s">
        <v>2795</v>
      </c>
      <c r="J50" s="1816" t="str">
        <f>项目基本情况!F35</f>
        <v>上海市浦东新区惠南镇</v>
      </c>
      <c r="K50" s="2709" t="s">
        <v>2760</v>
      </c>
      <c r="L50" s="1108"/>
      <c r="M50" s="1146"/>
      <c r="N50" s="1146"/>
      <c r="O50" s="1146"/>
    </row>
    <row r="51" spans="1:17" s="691" customFormat="1">
      <c r="A51" s="687" t="s">
        <v>2761</v>
      </c>
      <c r="B51" s="688" t="e">
        <f>C43</f>
        <v>#DIV/0!</v>
      </c>
      <c r="C51" s="689">
        <v>1</v>
      </c>
      <c r="D51" s="1165">
        <v>1</v>
      </c>
      <c r="E51" s="689">
        <f>'数据-汇总表'!E8+'数据-汇总表'!E9</f>
        <v>31156.999999999996</v>
      </c>
      <c r="F51" s="690" t="e">
        <f t="shared" ref="F51:F60" si="15">ROUND(B51*E51/10000,0)</f>
        <v>#DIV/0!</v>
      </c>
      <c r="G51" s="3176"/>
      <c r="H51" s="3199"/>
      <c r="I51" s="944">
        <v>1</v>
      </c>
      <c r="J51" s="944">
        <v>1</v>
      </c>
      <c r="K51" s="1147"/>
      <c r="L51" s="943"/>
      <c r="M51" s="943"/>
      <c r="N51" s="943"/>
      <c r="O51" s="943"/>
    </row>
    <row r="52" spans="1:17" s="691" customFormat="1">
      <c r="A52" s="692" t="s">
        <v>2762</v>
      </c>
      <c r="B52" s="261" t="e">
        <f>ROUND($C$43*C52*D52,0)</f>
        <v>#DIV/0!</v>
      </c>
      <c r="C52" s="199">
        <f t="shared" ref="C52:C60" si="16">IF($C$50="北京市系数",I52,J52)</f>
        <v>0</v>
      </c>
      <c r="D52" s="1166">
        <v>0.25</v>
      </c>
      <c r="E52" s="693"/>
      <c r="F52" s="690" t="e">
        <f t="shared" si="15"/>
        <v>#DIV/0!</v>
      </c>
      <c r="G52" s="3250" t="s">
        <v>2763</v>
      </c>
      <c r="H52" s="1106">
        <f>项目基本情况!B37</f>
        <v>0</v>
      </c>
      <c r="I52" s="944">
        <f>SUMIF(修正!A45:A56,H52,修正!B45:B56)</f>
        <v>0</v>
      </c>
      <c r="J52" s="945"/>
      <c r="K52" s="1146"/>
      <c r="L52" s="943"/>
      <c r="M52" s="943"/>
      <c r="N52" s="943"/>
      <c r="O52" s="943"/>
    </row>
    <row r="53" spans="1:17" s="691" customFormat="1">
      <c r="A53" s="692" t="s">
        <v>2764</v>
      </c>
      <c r="B53" s="261" t="e">
        <f t="shared" ref="B53:B60" si="17">ROUND($C$43*C53*D53,0)</f>
        <v>#DIV/0!</v>
      </c>
      <c r="C53" s="199">
        <f t="shared" si="16"/>
        <v>0</v>
      </c>
      <c r="D53" s="1166">
        <v>0.25</v>
      </c>
      <c r="E53" s="693"/>
      <c r="F53" s="690" t="e">
        <f t="shared" si="15"/>
        <v>#DIV/0!</v>
      </c>
      <c r="G53" s="3250"/>
      <c r="H53" s="1106">
        <f>项目基本情况!B37</f>
        <v>0</v>
      </c>
      <c r="I53" s="944">
        <f>SUMIF(修正!A45:A56,H53,修正!C45:C56)</f>
        <v>0</v>
      </c>
      <c r="J53" s="945"/>
      <c r="K53" s="1147"/>
      <c r="L53" s="943"/>
      <c r="M53" s="943"/>
      <c r="N53" s="943"/>
      <c r="O53" s="943"/>
    </row>
    <row r="54" spans="1:17" s="691" customFormat="1">
      <c r="A54" s="692" t="s">
        <v>2765</v>
      </c>
      <c r="B54" s="261" t="e">
        <f t="shared" si="17"/>
        <v>#DIV/0!</v>
      </c>
      <c r="C54" s="199">
        <f t="shared" si="16"/>
        <v>0</v>
      </c>
      <c r="D54" s="1166">
        <v>0.25</v>
      </c>
      <c r="E54" s="693"/>
      <c r="F54" s="690" t="e">
        <f t="shared" si="15"/>
        <v>#DIV/0!</v>
      </c>
      <c r="G54" s="3250"/>
      <c r="H54" s="1106">
        <f>项目基本情况!B37</f>
        <v>0</v>
      </c>
      <c r="I54" s="944">
        <f>SUMIF(修正!A45:A56,H54,修正!D45:D56)</f>
        <v>0</v>
      </c>
      <c r="J54" s="945"/>
      <c r="K54" s="1146"/>
      <c r="L54" s="943"/>
      <c r="M54" s="943"/>
      <c r="N54" s="943"/>
      <c r="O54" s="943"/>
    </row>
    <row r="55" spans="1:17" s="691" customFormat="1">
      <c r="A55" s="692" t="s">
        <v>2766</v>
      </c>
      <c r="B55" s="261" t="e">
        <f t="shared" si="17"/>
        <v>#DIV/0!</v>
      </c>
      <c r="C55" s="199">
        <f t="shared" si="16"/>
        <v>0</v>
      </c>
      <c r="D55" s="1166">
        <v>0.25</v>
      </c>
      <c r="E55" s="693"/>
      <c r="F55" s="690" t="e">
        <f t="shared" si="15"/>
        <v>#DIV/0!</v>
      </c>
      <c r="G55" s="3250"/>
      <c r="H55" s="1106">
        <f>项目基本情况!B37</f>
        <v>0</v>
      </c>
      <c r="I55" s="944">
        <f>SUMIF(修正!A45:A56,H55,修正!E45:E56)</f>
        <v>0</v>
      </c>
      <c r="J55" s="945"/>
      <c r="K55" s="1147"/>
      <c r="L55" s="943"/>
      <c r="M55" s="943"/>
      <c r="N55" s="943"/>
      <c r="O55" s="943"/>
    </row>
    <row r="56" spans="1:17" s="691" customFormat="1">
      <c r="A56" s="692" t="s">
        <v>2767</v>
      </c>
      <c r="B56" s="261" t="e">
        <f t="shared" si="17"/>
        <v>#DIV/0!</v>
      </c>
      <c r="C56" s="199">
        <f t="shared" si="16"/>
        <v>0</v>
      </c>
      <c r="D56" s="1166">
        <v>0.25</v>
      </c>
      <c r="E56" s="260">
        <f>'数据-汇总表'!E11</f>
        <v>0</v>
      </c>
      <c r="F56" s="690" t="e">
        <f t="shared" si="15"/>
        <v>#DIV/0!</v>
      </c>
      <c r="G56" s="2710" t="s">
        <v>2768</v>
      </c>
      <c r="H56" s="1106">
        <f>项目基本情况!C37</f>
        <v>0</v>
      </c>
      <c r="I56" s="944">
        <f>SUMIF(修正!A45:A56,H56,修正!F45:F56)</f>
        <v>0</v>
      </c>
      <c r="J56" s="945"/>
      <c r="K56" s="1146"/>
      <c r="L56" s="943"/>
      <c r="M56" s="943"/>
      <c r="N56" s="943"/>
      <c r="O56" s="943"/>
    </row>
    <row r="57" spans="1:17" s="691" customFormat="1">
      <c r="A57" s="692" t="s">
        <v>2769</v>
      </c>
      <c r="B57" s="261" t="e">
        <f t="shared" si="17"/>
        <v>#DIV/0!</v>
      </c>
      <c r="C57" s="199">
        <f t="shared" si="16"/>
        <v>0</v>
      </c>
      <c r="D57" s="1166">
        <v>0.25</v>
      </c>
      <c r="E57" s="260">
        <f>'数据-汇总表'!E12</f>
        <v>0</v>
      </c>
      <c r="F57" s="690" t="e">
        <f t="shared" si="15"/>
        <v>#DIV/0!</v>
      </c>
      <c r="G57" s="1111" t="s">
        <v>2770</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2771</v>
      </c>
      <c r="B58" s="261" t="e">
        <f t="shared" si="17"/>
        <v>#DIV/0!</v>
      </c>
      <c r="C58" s="199">
        <f t="shared" si="16"/>
        <v>0</v>
      </c>
      <c r="D58" s="1166">
        <v>0.25</v>
      </c>
      <c r="E58" s="260">
        <f>'数据-汇总表'!E13</f>
        <v>0</v>
      </c>
      <c r="F58" s="690" t="e">
        <f t="shared" si="15"/>
        <v>#DIV/0!</v>
      </c>
      <c r="G58" s="1111" t="s">
        <v>2772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2773</v>
      </c>
      <c r="B59" s="261" t="e">
        <f t="shared" si="17"/>
        <v>#DIV/0!</v>
      </c>
      <c r="C59" s="199">
        <f t="shared" si="16"/>
        <v>0</v>
      </c>
      <c r="D59" s="1166">
        <v>0.25</v>
      </c>
      <c r="E59" s="260">
        <f>'数据-汇总表'!E14</f>
        <v>0</v>
      </c>
      <c r="F59" s="690" t="e">
        <f t="shared" si="15"/>
        <v>#DIV/0!</v>
      </c>
      <c r="G59" s="2710" t="s">
        <v>2763</v>
      </c>
      <c r="H59" s="1106">
        <f>项目基本情况!B37</f>
        <v>0</v>
      </c>
      <c r="I59" s="944">
        <f>SUMIF(修正!A45:A56,H59,修正!H45:H56)</f>
        <v>0</v>
      </c>
      <c r="J59" s="945"/>
      <c r="K59" s="1147"/>
      <c r="L59" s="943"/>
      <c r="M59" s="943"/>
      <c r="N59" s="943"/>
      <c r="O59" s="943"/>
    </row>
    <row r="60" spans="1:17" s="691" customFormat="1" ht="15" thickBot="1">
      <c r="A60" s="692" t="s">
        <v>2774</v>
      </c>
      <c r="B60" s="261" t="e">
        <f t="shared" si="17"/>
        <v>#DIV/0!</v>
      </c>
      <c r="C60" s="199">
        <f t="shared" si="16"/>
        <v>0</v>
      </c>
      <c r="D60" s="1166">
        <v>0.25</v>
      </c>
      <c r="E60" s="260">
        <f>'数据-汇总表'!E15</f>
        <v>0</v>
      </c>
      <c r="F60" s="690" t="e">
        <f t="shared" si="15"/>
        <v>#DIV/0!</v>
      </c>
      <c r="G60" s="2711" t="s">
        <v>2768</v>
      </c>
      <c r="H60" s="1116">
        <f>项目基本情况!C37</f>
        <v>0</v>
      </c>
      <c r="I60" s="944">
        <f>SUMIF(修正!A45:A56,H60,修正!H45:H56)</f>
        <v>0</v>
      </c>
      <c r="J60" s="945"/>
      <c r="K60" s="1146"/>
      <c r="L60" s="943"/>
      <c r="M60" s="943"/>
      <c r="N60" s="943"/>
      <c r="O60" s="943"/>
    </row>
    <row r="61" spans="1:17" s="691" customFormat="1" ht="15" thickBot="1">
      <c r="A61" s="694" t="s">
        <v>2775</v>
      </c>
      <c r="B61" s="695" t="s">
        <v>28</v>
      </c>
      <c r="C61" s="695" t="s">
        <v>29</v>
      </c>
      <c r="D61" s="695" t="s">
        <v>1026</v>
      </c>
      <c r="E61" s="695">
        <f>IF(B41="楼面地价",SUM(E51:E60),'数据-汇总表'!D3)</f>
        <v>64465</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2018-11-1</v>
      </c>
      <c r="D63" s="760">
        <f>EDATE(C63,-3)</f>
        <v>43313</v>
      </c>
      <c r="E63" s="760">
        <f>EDATE(D63,-3)</f>
        <v>43221</v>
      </c>
      <c r="F63" s="760">
        <f t="shared" ref="F63:O63" si="18">EDATE(E63,-3)</f>
        <v>43132</v>
      </c>
      <c r="G63" s="760">
        <f t="shared" si="18"/>
        <v>43040</v>
      </c>
      <c r="H63" s="760">
        <f t="shared" si="18"/>
        <v>42948</v>
      </c>
      <c r="I63" s="760">
        <f t="shared" si="18"/>
        <v>42856</v>
      </c>
      <c r="J63" s="760">
        <f t="shared" si="18"/>
        <v>42767</v>
      </c>
      <c r="K63" s="760">
        <f t="shared" si="18"/>
        <v>42675</v>
      </c>
      <c r="L63" s="760">
        <f t="shared" si="18"/>
        <v>42583</v>
      </c>
      <c r="M63" s="760">
        <f t="shared" si="18"/>
        <v>42491</v>
      </c>
      <c r="N63" s="760">
        <f t="shared" si="18"/>
        <v>42401</v>
      </c>
      <c r="O63" s="760">
        <f t="shared" si="18"/>
        <v>42309</v>
      </c>
    </row>
    <row r="64" spans="1:17" ht="21.75" thickBot="1">
      <c r="A64" s="762" t="s">
        <v>2668</v>
      </c>
      <c r="B64" s="758"/>
      <c r="C64" s="763"/>
      <c r="D64" s="763"/>
      <c r="E64" s="763"/>
      <c r="F64" s="764"/>
      <c r="G64" s="764"/>
      <c r="H64" s="763"/>
      <c r="I64" s="763"/>
      <c r="J64" s="763"/>
      <c r="K64" s="765"/>
      <c r="L64" s="766"/>
      <c r="M64" s="763"/>
      <c r="N64" s="763"/>
      <c r="O64" s="1161"/>
      <c r="P64" s="502"/>
      <c r="Q64" s="503"/>
    </row>
    <row r="65" spans="1:17" s="507" customFormat="1" ht="15">
      <c r="A65" s="2712" t="s">
        <v>2776</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6" customFormat="1" ht="30.75" customHeight="1">
      <c r="A66" s="2717" t="s">
        <v>2796</v>
      </c>
      <c r="B66" s="331" t="str">
        <f>"北京市平均增长率"&amp;TEXT(基准地价修正!P24,"0.00%")</f>
        <v>北京市平均增长率1.42%</v>
      </c>
      <c r="C66" s="602">
        <v>100</v>
      </c>
      <c r="D66" s="594"/>
      <c r="E66" s="594"/>
      <c r="F66" s="594"/>
      <c r="G66" s="594"/>
      <c r="H66" s="594"/>
      <c r="I66" s="594"/>
      <c r="J66" s="594"/>
      <c r="K66" s="594"/>
      <c r="L66" s="594"/>
      <c r="M66" s="1569"/>
      <c r="N66" s="1569"/>
      <c r="O66" s="1571"/>
      <c r="P66" s="503"/>
    </row>
    <row r="67" spans="1:17" s="116" customFormat="1" ht="15.75" thickBot="1">
      <c r="A67" s="514" t="s">
        <v>2579</v>
      </c>
      <c r="B67" s="515"/>
      <c r="C67" s="516"/>
      <c r="D67" s="517"/>
      <c r="E67" s="517"/>
      <c r="F67" s="517"/>
      <c r="G67" s="517"/>
      <c r="H67" s="517"/>
      <c r="I67" s="517"/>
      <c r="J67" s="517"/>
      <c r="K67" s="517"/>
      <c r="L67" s="517"/>
      <c r="M67" s="518"/>
      <c r="N67" s="518"/>
      <c r="O67" s="519"/>
      <c r="P67" s="503"/>
      <c r="Q67" s="503"/>
    </row>
    <row r="68" spans="1:17" s="116" customFormat="1" ht="15">
      <c r="A68" s="520" t="s">
        <v>2544</v>
      </c>
      <c r="B68" s="509"/>
      <c r="C68" s="521" t="s">
        <v>2646</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2582</v>
      </c>
      <c r="B70" s="527" t="s">
        <v>2548</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2551</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2779</v>
      </c>
      <c r="C87" s="572" t="s">
        <v>2591</v>
      </c>
      <c r="D87" s="572" t="s">
        <v>2592</v>
      </c>
      <c r="E87" s="572" t="s">
        <v>2593</v>
      </c>
      <c r="F87" s="572" t="s">
        <v>2594</v>
      </c>
      <c r="G87" s="572" t="s">
        <v>2595</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2780</v>
      </c>
      <c r="C89" s="572" t="s">
        <v>2591</v>
      </c>
      <c r="D89" s="572" t="s">
        <v>2592</v>
      </c>
      <c r="E89" s="572" t="s">
        <v>2593</v>
      </c>
      <c r="F89" s="572" t="s">
        <v>2594</v>
      </c>
      <c r="G89" s="572" t="s">
        <v>2595</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2685</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2744</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2786</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2788</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2789</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E5" sqref="E5"/>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39" t="s">
        <v>2798</v>
      </c>
      <c r="B1" s="240"/>
      <c r="C1" s="244" t="s">
        <v>2799</v>
      </c>
      <c r="D1" s="387">
        <f>SUM(D29:D30,D33:D39)</f>
        <v>0</v>
      </c>
      <c r="E1" s="2718"/>
      <c r="F1" s="2718"/>
      <c r="G1" s="2718"/>
      <c r="H1" s="2718"/>
      <c r="I1" s="2718"/>
      <c r="J1" s="2718"/>
      <c r="K1" s="1372"/>
      <c r="L1" s="2719" t="s">
        <v>2800</v>
      </c>
      <c r="M1" s="1082">
        <f>SUMPRODUCT((区片价!B5:B9=I2)*(区片价!C3:F3=E2)*(区片价!C5:F9))</f>
        <v>0</v>
      </c>
      <c r="N1" s="1085">
        <f>SUMPRODUCT((因素修正幅度!B5:B9=I2)*(因素修正幅度!C3:F3=E2)*(因素修正幅度!C5:F9))</f>
        <v>0</v>
      </c>
      <c r="O1" s="2720"/>
      <c r="P1" s="2720"/>
      <c r="Q1" s="1372"/>
      <c r="R1" s="1604" t="s">
        <v>2801</v>
      </c>
      <c r="S1" s="1604" t="s">
        <v>2802</v>
      </c>
      <c r="T1" s="1604" t="s">
        <v>2803</v>
      </c>
      <c r="U1" s="1604" t="s">
        <v>2804</v>
      </c>
      <c r="V1" s="1604" t="s">
        <v>2805</v>
      </c>
      <c r="W1" s="1608"/>
      <c r="X1" s="1608"/>
      <c r="Y1" s="1608"/>
      <c r="Z1" s="1608"/>
      <c r="AA1" s="1608"/>
      <c r="AB1" s="1608"/>
      <c r="AC1" s="1609"/>
      <c r="AD1" s="1610"/>
      <c r="AE1" s="1610"/>
      <c r="AF1" s="1610"/>
      <c r="AG1" s="1610"/>
      <c r="AH1" s="1610"/>
      <c r="AI1" s="1610"/>
      <c r="AJ1" s="1611"/>
    </row>
    <row r="2" spans="1:36" ht="15.75">
      <c r="A2" s="244" t="s">
        <v>2806</v>
      </c>
      <c r="B2" s="247" t="e">
        <f>C26</f>
        <v>#DIV/0!</v>
      </c>
      <c r="C2" s="2722" t="s">
        <v>2807</v>
      </c>
      <c r="D2" s="2723" t="s">
        <v>2808</v>
      </c>
      <c r="E2" s="2724"/>
      <c r="F2" s="2723" t="s">
        <v>2809</v>
      </c>
      <c r="G2" s="2725">
        <f>IF(E2="商业",项目基本情况!B37,IF(E2="办公",项目基本情况!C37,IF(E2="住宅",项目基本情况!D37,项目基本情况!E37)))</f>
        <v>0</v>
      </c>
      <c r="H2" s="2723" t="s">
        <v>2810</v>
      </c>
      <c r="I2" s="2725">
        <f>IF(E2="商业",项目基本情况!B38,IF(E2="办公",项目基本情况!C38,IF(E2="住宅",项目基本情况!D38,项目基本情况!E38)))</f>
        <v>0</v>
      </c>
      <c r="J2" s="2726"/>
      <c r="K2" s="1372"/>
      <c r="L2" s="2727" t="s">
        <v>2811</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2812</v>
      </c>
      <c r="B3" s="247" t="e">
        <f>ROUND(B2*10000/D1,0)</f>
        <v>#DIV/0!</v>
      </c>
      <c r="C3" s="2722" t="s">
        <v>2813</v>
      </c>
      <c r="D3" s="2723" t="s">
        <v>2814</v>
      </c>
      <c r="E3" s="2728"/>
      <c r="F3" s="2729" t="s">
        <v>2815</v>
      </c>
      <c r="G3" s="915">
        <f>IF(F3="宗地容积率",'数据-汇总表'!I4,IF(F3="估价对象容积率",'数据-汇总表'!I6,'数据-汇总表'!I7))</f>
        <v>0.48</v>
      </c>
      <c r="H3" s="197" t="s">
        <v>2816</v>
      </c>
      <c r="I3" s="946"/>
      <c r="J3" s="2726" t="s">
        <v>2817</v>
      </c>
      <c r="K3" s="1372"/>
      <c r="L3" s="2727" t="s">
        <v>2818</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9"/>
      <c r="B4" s="3270"/>
      <c r="C4" s="3270"/>
      <c r="D4" s="3271"/>
      <c r="E4" s="3271"/>
      <c r="F4" s="3271"/>
      <c r="G4" s="3271"/>
      <c r="H4" s="3271"/>
      <c r="I4" s="3271"/>
      <c r="J4" s="3272"/>
      <c r="K4" s="1372"/>
      <c r="L4" s="2727" t="s">
        <v>2819</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2820</v>
      </c>
      <c r="C5" s="916" t="e">
        <f>ROUND(IF(E2="商业",IF(F16="增加",C6*C7+C16,C6*C7-C16),IF(E2="住宅",IF(F16="增加",C6*C12+C16,C6*C12-C16),IF(F16="增加",C6+C16,C6-C16))),0)</f>
        <v>#DIV/0!</v>
      </c>
      <c r="D5" s="1789">
        <f>ROUND(IF(E2="商业",IF(F16="增加",C6+C16,C6-C16)),0)</f>
        <v>0</v>
      </c>
      <c r="E5" s="1789">
        <f>ROUND(IF(E2="住宅",IF(F16="增加",C6+C16,C6-C16)),0)</f>
        <v>0</v>
      </c>
      <c r="F5" s="2732"/>
      <c r="G5" s="2733"/>
      <c r="H5" s="2733"/>
      <c r="I5" s="2733"/>
      <c r="J5" s="2734"/>
      <c r="K5" s="2735"/>
      <c r="L5" s="2727" t="s">
        <v>2821</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6"/>
      <c r="AD5" s="2737"/>
      <c r="AE5" s="2737"/>
      <c r="AF5" s="2737"/>
      <c r="AG5" s="2737"/>
      <c r="AH5" s="2737"/>
      <c r="AI5" s="2737"/>
      <c r="AJ5" s="2738"/>
    </row>
    <row r="6" spans="1:36" ht="15.75" thickBot="1">
      <c r="A6" s="2740" t="s">
        <v>2822</v>
      </c>
      <c r="B6" s="2741" t="s">
        <v>2823</v>
      </c>
      <c r="C6" s="917">
        <f>SUMIF(L1:L12,G2,M1:M12)</f>
        <v>0</v>
      </c>
      <c r="D6" s="2742" t="s">
        <v>2824</v>
      </c>
      <c r="E6" s="2743"/>
      <c r="F6" s="2743"/>
      <c r="G6" s="2744"/>
      <c r="H6" s="2744"/>
      <c r="I6" s="2744"/>
      <c r="J6" s="2745"/>
      <c r="K6" s="1844"/>
      <c r="L6" s="2727" t="s">
        <v>2825</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6"/>
      <c r="AD6" s="2737"/>
      <c r="AE6" s="2737"/>
      <c r="AF6" s="2737"/>
      <c r="AG6" s="2737"/>
      <c r="AH6" s="2737"/>
      <c r="AI6" s="2737"/>
      <c r="AJ6" s="2738"/>
    </row>
    <row r="7" spans="1:36" ht="24">
      <c r="A7" s="3255" t="str">
        <f>IF(E2="商业",IF(C8="不临58条商业街","",2),"")</f>
        <v/>
      </c>
      <c r="B7" s="2746" t="s">
        <v>2826</v>
      </c>
      <c r="C7" s="918" t="e">
        <f>IF(C8="不临58条商业街",1,ROUND(1+(1.6*E8+1.2*E9+0.8*E10+0.4*E11)*C9,4))</f>
        <v>#DIV/0!</v>
      </c>
      <c r="D7" s="2747" t="s">
        <v>2827</v>
      </c>
      <c r="E7" s="947"/>
      <c r="F7" s="2748"/>
      <c r="G7" s="2749"/>
      <c r="H7" s="2749"/>
      <c r="I7" s="2749"/>
      <c r="J7" s="2750"/>
      <c r="K7" s="1844"/>
      <c r="L7" s="2727" t="s">
        <v>2828</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2829</v>
      </c>
      <c r="X7" s="1606">
        <f>G2</f>
        <v>0</v>
      </c>
      <c r="Y7" s="1606" t="s">
        <v>2830</v>
      </c>
      <c r="Z7" s="1607">
        <f>G3</f>
        <v>0.48</v>
      </c>
      <c r="AA7" s="1608"/>
      <c r="AB7" s="1608"/>
      <c r="AC7" s="1609"/>
      <c r="AD7" s="1610"/>
      <c r="AE7" s="1610"/>
      <c r="AF7" s="1610"/>
      <c r="AG7" s="1610"/>
      <c r="AH7" s="1610"/>
      <c r="AI7" s="1610"/>
      <c r="AJ7" s="1611"/>
    </row>
    <row r="8" spans="1:36" ht="15">
      <c r="A8" s="3256"/>
      <c r="B8" s="197" t="s">
        <v>2831</v>
      </c>
      <c r="C8" s="2751"/>
      <c r="D8" s="919" t="s">
        <v>139</v>
      </c>
      <c r="E8" s="920" t="e">
        <f>ROUND(C11/E7,4)</f>
        <v>#DIV/0!</v>
      </c>
      <c r="F8" s="2752" t="s">
        <v>2832</v>
      </c>
      <c r="G8" s="2753"/>
      <c r="H8" s="2753"/>
      <c r="I8" s="2753"/>
      <c r="J8" s="2754"/>
      <c r="K8" s="1372"/>
      <c r="L8" s="2727" t="s">
        <v>2833</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66" t="s">
        <v>2834</v>
      </c>
      <c r="X8" s="3267"/>
      <c r="Y8" s="1612" t="s">
        <v>2835</v>
      </c>
      <c r="Z8" s="1612" t="s">
        <v>2836</v>
      </c>
      <c r="AA8" s="1612" t="s">
        <v>2837</v>
      </c>
      <c r="AB8" s="1612" t="s">
        <v>2838</v>
      </c>
      <c r="AC8" s="1612" t="s">
        <v>2839</v>
      </c>
      <c r="AD8" s="1612" t="s">
        <v>2840</v>
      </c>
      <c r="AE8" s="1612" t="s">
        <v>2841</v>
      </c>
      <c r="AF8" s="1612" t="s">
        <v>2842</v>
      </c>
      <c r="AG8" s="1612" t="s">
        <v>2843</v>
      </c>
      <c r="AH8" s="1612" t="s">
        <v>2844</v>
      </c>
      <c r="AI8" s="1612" t="s">
        <v>2845</v>
      </c>
      <c r="AJ8" s="1612" t="s">
        <v>2846</v>
      </c>
    </row>
    <row r="9" spans="1:36" ht="15">
      <c r="A9" s="3256"/>
      <c r="B9" s="197" t="s">
        <v>2847</v>
      </c>
      <c r="C9" s="921">
        <f>SUMIF(修正!C59:C119,C8,修正!E59:E119)</f>
        <v>0</v>
      </c>
      <c r="D9" s="199" t="s">
        <v>140</v>
      </c>
      <c r="E9" s="199" t="e">
        <f>ROUND(C11/E7,4)</f>
        <v>#DIV/0!</v>
      </c>
      <c r="F9" s="2752" t="s">
        <v>2848</v>
      </c>
      <c r="G9" s="2753"/>
      <c r="H9" s="2753"/>
      <c r="I9" s="2753"/>
      <c r="J9" s="2754"/>
      <c r="K9" s="1372"/>
      <c r="L9" s="2727" t="s">
        <v>2849</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68" t="s">
        <v>2850</v>
      </c>
      <c r="X9" s="1613" t="s">
        <v>2851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6"/>
      <c r="B10" s="197" t="s">
        <v>2852</v>
      </c>
      <c r="C10" s="199">
        <f>SUMIF(修正!C59:C119,C8,修正!F59:F119)</f>
        <v>0</v>
      </c>
      <c r="D10" s="199" t="s">
        <v>141</v>
      </c>
      <c r="E10" s="199" t="e">
        <f>ROUND(C11/E7,4)</f>
        <v>#DIV/0!</v>
      </c>
      <c r="F10" s="2752" t="s">
        <v>2853</v>
      </c>
      <c r="G10" s="2753"/>
      <c r="H10" s="2753"/>
      <c r="I10" s="2753"/>
      <c r="J10" s="2754"/>
      <c r="K10" s="1372"/>
      <c r="L10" s="2727" t="s">
        <v>2854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6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6"/>
      <c r="B11" s="2755" t="s">
        <v>2855</v>
      </c>
      <c r="C11" s="922">
        <f>C10/4</f>
        <v>0</v>
      </c>
      <c r="D11" s="922" t="s">
        <v>142</v>
      </c>
      <c r="E11" s="922" t="e">
        <f>ROUND(C11/E7,4)</f>
        <v>#DIV/0!</v>
      </c>
      <c r="F11" s="2756" t="s">
        <v>2856</v>
      </c>
      <c r="G11" s="2757"/>
      <c r="H11" s="2757"/>
      <c r="I11" s="2757"/>
      <c r="J11" s="2758"/>
      <c r="K11" s="1372"/>
      <c r="L11" s="2727" t="s">
        <v>2857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68" t="s">
        <v>2858</v>
      </c>
      <c r="X11" s="1616" t="s">
        <v>2859</v>
      </c>
      <c r="Y11" s="1617">
        <f>$G$3</f>
        <v>0.48</v>
      </c>
      <c r="Z11" s="1617">
        <f t="shared" ref="Z11:AJ11" si="3">$G$3</f>
        <v>0.48</v>
      </c>
      <c r="AA11" s="1617">
        <f t="shared" si="3"/>
        <v>0.48</v>
      </c>
      <c r="AB11" s="1617">
        <f t="shared" si="3"/>
        <v>0.48</v>
      </c>
      <c r="AC11" s="1617">
        <f t="shared" si="3"/>
        <v>0.48</v>
      </c>
      <c r="AD11" s="1617">
        <f t="shared" si="3"/>
        <v>0.48</v>
      </c>
      <c r="AE11" s="1617">
        <f t="shared" si="3"/>
        <v>0.48</v>
      </c>
      <c r="AF11" s="1617">
        <f t="shared" si="3"/>
        <v>0.48</v>
      </c>
      <c r="AG11" s="1617">
        <f t="shared" si="3"/>
        <v>0.48</v>
      </c>
      <c r="AH11" s="1617">
        <f t="shared" si="3"/>
        <v>0.48</v>
      </c>
      <c r="AI11" s="1617">
        <f t="shared" si="3"/>
        <v>0.48</v>
      </c>
      <c r="AJ11" s="1617">
        <f t="shared" si="3"/>
        <v>0.48</v>
      </c>
    </row>
    <row r="12" spans="1:36" ht="25.5" thickBot="1">
      <c r="A12" s="3255" t="s">
        <v>2860</v>
      </c>
      <c r="B12" s="2759" t="s">
        <v>2861</v>
      </c>
      <c r="C12" s="918">
        <f>ROUND(C15*D15*E15*F15*G15*H15*I15*J15,4)</f>
        <v>1</v>
      </c>
      <c r="D12" s="2760" t="s">
        <v>2862</v>
      </c>
      <c r="E12" s="2761"/>
      <c r="F12" s="2761"/>
      <c r="G12" s="2762"/>
      <c r="H12" s="2762"/>
      <c r="I12" s="2762"/>
      <c r="J12" s="2763"/>
      <c r="K12" s="1372"/>
      <c r="L12" s="2764" t="s">
        <v>2863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68"/>
      <c r="X12" s="1618" t="s">
        <v>2864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3"/>
      <c r="B13" s="2765" t="s">
        <v>2865</v>
      </c>
      <c r="C13" s="2766" t="s">
        <v>2866</v>
      </c>
      <c r="D13" s="1810" t="s">
        <v>2867</v>
      </c>
      <c r="E13" s="1810" t="s">
        <v>2868</v>
      </c>
      <c r="F13" s="30" t="s">
        <v>2869</v>
      </c>
      <c r="G13" s="2767" t="s">
        <v>2870</v>
      </c>
      <c r="H13" s="2767" t="s">
        <v>2870</v>
      </c>
      <c r="I13" s="2767" t="s">
        <v>2870</v>
      </c>
      <c r="J13" s="2768" t="s">
        <v>2870</v>
      </c>
      <c r="K13" s="1372"/>
      <c r="L13" s="1372"/>
      <c r="M13" s="1372"/>
      <c r="N13" s="1372"/>
      <c r="O13" s="1372"/>
      <c r="P13" s="1372"/>
      <c r="Q13" s="1372"/>
      <c r="R13" s="1604">
        <v>12</v>
      </c>
      <c r="S13" s="1605"/>
      <c r="T13" s="1604" t="e">
        <f t="shared" si="0"/>
        <v>#DIV/0!</v>
      </c>
      <c r="U13" s="1605"/>
      <c r="V13" s="1604" t="e">
        <f t="shared" si="1"/>
        <v>#DIV/0!</v>
      </c>
      <c r="W13" s="3268"/>
      <c r="X13" s="1618"/>
      <c r="Y13" s="1615">
        <f>(-0.163*(Y12^2)-0.59*Y12+7617)*(10^(-4))/Y11</f>
        <v>1.5868750000000003</v>
      </c>
      <c r="Z13" s="1615">
        <f t="shared" ref="Z13:AJ13" si="5">(-0.163*(Z12^2)-0.59*Z12+7617)*(10^(-4))/Z11</f>
        <v>1.5868750000000003</v>
      </c>
      <c r="AA13" s="1615">
        <f t="shared" si="5"/>
        <v>1.5868750000000003</v>
      </c>
      <c r="AB13" s="1615">
        <f t="shared" si="5"/>
        <v>1.5868750000000003</v>
      </c>
      <c r="AC13" s="1615">
        <f t="shared" si="5"/>
        <v>1.5868750000000003</v>
      </c>
      <c r="AD13" s="1615">
        <f t="shared" si="5"/>
        <v>1.5868750000000003</v>
      </c>
      <c r="AE13" s="1615">
        <f t="shared" si="5"/>
        <v>1.5868750000000003</v>
      </c>
      <c r="AF13" s="1615">
        <f t="shared" si="5"/>
        <v>1.5868750000000003</v>
      </c>
      <c r="AG13" s="1615">
        <f t="shared" si="5"/>
        <v>1.5868750000000003</v>
      </c>
      <c r="AH13" s="1615">
        <f t="shared" si="5"/>
        <v>1.5868750000000003</v>
      </c>
      <c r="AI13" s="1615">
        <f t="shared" si="5"/>
        <v>1.5868750000000003</v>
      </c>
      <c r="AJ13" s="1615">
        <f t="shared" si="5"/>
        <v>1.5868750000000003</v>
      </c>
    </row>
    <row r="14" spans="1:36" ht="15">
      <c r="A14" s="3273"/>
      <c r="B14" s="2769"/>
      <c r="C14" s="2770"/>
      <c r="D14" s="2771"/>
      <c r="E14" s="2771"/>
      <c r="F14" s="2772"/>
      <c r="G14" s="2773" t="s">
        <v>2871</v>
      </c>
      <c r="H14" s="2774"/>
      <c r="I14" s="2775"/>
      <c r="J14" s="2776"/>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4"/>
      <c r="B15" s="2777" t="s">
        <v>2872</v>
      </c>
      <c r="C15" s="228">
        <f>IF(C14="有",1.1,1)</f>
        <v>1</v>
      </c>
      <c r="D15" s="228">
        <f>IF(D14="有",1.1,1)</f>
        <v>1</v>
      </c>
      <c r="E15" s="228">
        <f>IF(E14="有",1.1,1)</f>
        <v>1</v>
      </c>
      <c r="F15" s="228">
        <f>IF(F14="500米范围内",1.2,IF(F14="500-1000米",1.1,1))</f>
        <v>1</v>
      </c>
      <c r="G15" s="948">
        <v>1</v>
      </c>
      <c r="H15" s="948">
        <v>1</v>
      </c>
      <c r="I15" s="948">
        <v>1</v>
      </c>
      <c r="J15" s="949">
        <v>1</v>
      </c>
      <c r="K15" s="1372"/>
      <c r="L15" s="2778" t="s">
        <v>2808</v>
      </c>
      <c r="M15" s="919" t="s">
        <v>2873</v>
      </c>
      <c r="N15" s="919" t="s">
        <v>2874</v>
      </c>
      <c r="O15" s="919" t="s">
        <v>2875</v>
      </c>
      <c r="P15" s="2779" t="s">
        <v>2876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5" t="s">
        <v>2877</v>
      </c>
      <c r="B16" s="2746" t="s">
        <v>2878</v>
      </c>
      <c r="C16" s="1803" t="e">
        <f>ROUND(SUM(G17:J17)/C17,0)</f>
        <v>#DIV/0!</v>
      </c>
      <c r="D16" s="2780" t="s">
        <v>2879</v>
      </c>
      <c r="E16" s="2781"/>
      <c r="F16" s="2782"/>
      <c r="G16" s="2783"/>
      <c r="H16" s="2783"/>
      <c r="I16" s="2783"/>
      <c r="J16" s="2784"/>
      <c r="K16" s="1372"/>
      <c r="L16" s="2785" t="s">
        <v>2880</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6"/>
      <c r="B17" s="2786" t="s">
        <v>2881</v>
      </c>
      <c r="C17" s="923">
        <f>SUMPRODUCT((修正!A2:A5=E2)*(修正!B1:M1=G2)*(修正!B2:M5))</f>
        <v>0</v>
      </c>
      <c r="D17" s="2787" t="s">
        <v>2882</v>
      </c>
      <c r="E17" s="922" t="str">
        <f>IF(OR(G2="八级",G2="九级",G2="十级",G2="十一级",G2="十二级"),"五通一平","七通一平")</f>
        <v>七通一平</v>
      </c>
      <c r="F17" s="923" t="s">
        <v>2883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8" t="s">
        <v>2884</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2885</v>
      </c>
      <c r="C18" s="925">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2886</v>
      </c>
      <c r="C19" s="926" t="e">
        <f>ROUND(IF(H19="按公示增长率计算",SUMPRODUCT((地价!A3:A24=YEAR(G19)&amp;"-"&amp;ROUNDUP(MONTH(G19)/3,0))*(地价!X2:AB2=E2)*(地价!X3:AB24)),IF(H19="地价指数",M20/M19,(1+I19)^O19)),4)</f>
        <v>#DIV/0!</v>
      </c>
      <c r="D19" s="2798" t="s">
        <v>2887</v>
      </c>
      <c r="E19" s="927">
        <v>41640</v>
      </c>
      <c r="F19" s="2798" t="s">
        <v>2888</v>
      </c>
      <c r="G19" s="928">
        <f>'数据-取费表'!B2</f>
        <v>43405</v>
      </c>
      <c r="H19" s="2799" t="s">
        <v>2889</v>
      </c>
      <c r="I19" s="929" t="str">
        <f>IF(H19="季度增幅（自定义）",SUMIF(N21:N24,E2,O21:O24),"")</f>
        <v/>
      </c>
      <c r="J19" s="2796"/>
      <c r="K19" s="1379"/>
      <c r="L19" s="2800" t="s">
        <v>2890</v>
      </c>
      <c r="M19" s="1736">
        <f>ROUND(SUMIF(地价!B2:F2,E2,地价!B24:F24),0)</f>
        <v>0</v>
      </c>
      <c r="N19" s="2801" t="s">
        <v>2891</v>
      </c>
      <c r="O19" s="930">
        <f>ROUNDDOWN(DATEDIF(E19,G19,"M")/3,0)</f>
        <v>19</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2892</v>
      </c>
      <c r="C20" s="931" t="e">
        <f>ROUND(POWER(1+G20,J20-I20)*(POWER(1+G20,I20)-1)/(POWER(1+G20,J20)-1),4)</f>
        <v>#DIV/0!</v>
      </c>
      <c r="D20" s="2807" t="s">
        <v>2893</v>
      </c>
      <c r="E20" s="1770">
        <f ca="1">存贷款利率!D4/100</f>
        <v>4.3499999999999997E-2</v>
      </c>
      <c r="F20" s="2807" t="s">
        <v>2884</v>
      </c>
      <c r="G20" s="936">
        <f>SUMIF(M15:P15,E2,M17:P17)</f>
        <v>0</v>
      </c>
      <c r="H20" s="2807" t="s">
        <v>2894</v>
      </c>
      <c r="I20" s="937" t="e">
        <f>SUMIF('数据-取费表'!C6:C15,E2,'数据-取费表'!F6:F15)/COUNTIF('数据-取费表'!C6:C15,E2)</f>
        <v>#DIV/0!</v>
      </c>
      <c r="J20" s="938">
        <f>IF(E2="住宅",70,IF(E2="商业",40,50))</f>
        <v>50</v>
      </c>
      <c r="K20" s="1379"/>
      <c r="L20" s="2808" t="s">
        <v>2895</v>
      </c>
      <c r="M20" s="1737">
        <f>ROUND(SUMPRODUCT((地价!A4:A24=YEAR(G19)&amp;"-"&amp;ROUNDUP(MONTH(G19)/3,0))*(地价!B2:F2=E2)*(地价!B4:F24)),0)</f>
        <v>0</v>
      </c>
      <c r="N20" s="2809" t="s">
        <v>2896</v>
      </c>
      <c r="O20" s="2810" t="s">
        <v>2897</v>
      </c>
      <c r="P20" s="2811" t="s">
        <v>2898</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2899</v>
      </c>
      <c r="C21" s="939">
        <f>IF(B21="容积率修正",IF(G3&lt;=10,D22,J22),C23)</f>
        <v>0</v>
      </c>
      <c r="D21" s="2814"/>
      <c r="E21" s="2814"/>
      <c r="F21" s="2814"/>
      <c r="G21" s="2814"/>
      <c r="H21" s="2814"/>
      <c r="I21" s="2814"/>
      <c r="J21" s="2815"/>
      <c r="K21" s="1379"/>
      <c r="N21" s="2816" t="s">
        <v>2900</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9" customFormat="1" ht="14.25">
      <c r="A22" s="2665" t="s">
        <v>2901</v>
      </c>
      <c r="B22" s="2817" t="s">
        <v>2902</v>
      </c>
      <c r="C22" s="1812" t="s">
        <v>2903</v>
      </c>
      <c r="D22" s="1812">
        <f>IF(E22=G22,F22,IF(G3&lt;=10,ROUND(F22+(H22-F22)*(G3-E22)/(G22-E22),4),"——"))</f>
        <v>0</v>
      </c>
      <c r="E22" s="915">
        <f>ROUNDDOWN(G3,1)</f>
        <v>0.4</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6" t="s">
        <v>2904</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5" t="s">
        <v>2905</v>
      </c>
      <c r="B23" s="2818" t="s">
        <v>2906</v>
      </c>
      <c r="C23" s="1015">
        <f>ROUND(IF(G3&gt;1,IF(I3&lt;7,SUMPRODUCT((B93:B98=I3)*(C92:N92=G2)*(C93:N98)),SUMIF(C92:N92,G2,C100:N100)),IF(I3&lt;7,SUMPRODUCT((B102:B107=I3)*(C92:N92=G2)*(C102:N107)),SUMIF(C92:N92,G2,C109:N109))),4)</f>
        <v>0</v>
      </c>
      <c r="D23" s="2774"/>
      <c r="E23" s="2774"/>
      <c r="F23" s="2819"/>
      <c r="G23" s="2820"/>
      <c r="H23" s="2821"/>
      <c r="I23" s="2822"/>
      <c r="J23" s="2823"/>
      <c r="K23" s="1372"/>
      <c r="N23" s="2816" t="s">
        <v>2907</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2908</v>
      </c>
      <c r="C24" s="926">
        <f>SUMIF(A45:A88,E2,B45:B88)</f>
        <v>0</v>
      </c>
      <c r="D24" s="2794"/>
      <c r="E24" s="2824"/>
      <c r="F24" s="2824"/>
      <c r="G24" s="2824"/>
      <c r="H24" s="2824"/>
      <c r="I24" s="2824"/>
      <c r="J24" s="2825"/>
      <c r="K24" s="1379"/>
      <c r="N24" s="2826" t="s">
        <v>2909</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2910</v>
      </c>
      <c r="C25" s="932"/>
      <c r="D25" s="2749"/>
      <c r="E25" s="2749"/>
      <c r="F25" s="2828"/>
      <c r="G25" s="2749"/>
      <c r="H25" s="2749"/>
      <c r="I25" s="2749"/>
      <c r="J25" s="2750"/>
      <c r="K25" s="1372"/>
      <c r="N25" s="2829" t="s">
        <v>2911</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30"/>
      <c r="B26" s="2817" t="s">
        <v>2912</v>
      </c>
      <c r="C26" s="205"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2913</v>
      </c>
      <c r="C27" s="933"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2914</v>
      </c>
      <c r="C28" s="2841" t="s">
        <v>2915</v>
      </c>
      <c r="D28" s="2841" t="s">
        <v>2916</v>
      </c>
      <c r="E28" s="2842" t="s">
        <v>2917</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2918</v>
      </c>
      <c r="C29" s="205" t="e">
        <f>ROUND(C5*C18*C19*C20*C21*C24,0)</f>
        <v>#DIV/0!</v>
      </c>
      <c r="D29" s="2846"/>
      <c r="E29" s="944" t="e">
        <f>ROUND(C29*D29/10000,0)</f>
        <v>#DIV/0!</v>
      </c>
      <c r="F29" s="2847" t="s">
        <v>2919</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2920</v>
      </c>
      <c r="C30" s="228" t="e">
        <f>ROUND(IF(E2="工业",C29*M39,C29*M38),0)</f>
        <v>#DIV/0!</v>
      </c>
      <c r="D30" s="2852"/>
      <c r="E30" s="944" t="e">
        <f>ROUND(C30*D30/10000,0)</f>
        <v>#DIV/0!</v>
      </c>
      <c r="F30" s="2853" t="s">
        <v>2921</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2922</v>
      </c>
      <c r="C31" s="2858" t="s">
        <v>2923</v>
      </c>
      <c r="D31" s="2762"/>
      <c r="E31" s="2858"/>
      <c r="F31" s="2858"/>
      <c r="G31" s="2760" t="s">
        <v>2924</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0" t="s">
        <v>2915</v>
      </c>
      <c r="D32" s="497" t="s">
        <v>2916</v>
      </c>
      <c r="E32" s="497" t="s">
        <v>2917</v>
      </c>
      <c r="F32" s="387" t="s">
        <v>2925</v>
      </c>
      <c r="G32" s="2861" t="s">
        <v>2915</v>
      </c>
      <c r="H32" s="2861" t="s">
        <v>2916</v>
      </c>
      <c r="I32" s="2861" t="s">
        <v>2917</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63" t="s">
        <v>2926</v>
      </c>
      <c r="B33" s="2862" t="s">
        <v>2927</v>
      </c>
      <c r="C33" s="205" t="e">
        <f>ROUND(D5*C19*C20*C24*F33,0)</f>
        <v>#DIV/0!</v>
      </c>
      <c r="D33" s="2846"/>
      <c r="E33" s="199" t="e">
        <f>ROUND(C33*D33/10000,0)</f>
        <v>#DIV/0!</v>
      </c>
      <c r="F33" s="199">
        <f>SUMIF(修正!A45:A56,G2,修正!B45:B56)</f>
        <v>0</v>
      </c>
      <c r="G33" s="199" t="e">
        <f t="shared" ref="G33" si="6">ROUND(IF(E2="工业",C33*$M$39,C33*$M$38),0)</f>
        <v>#DIV/0!</v>
      </c>
      <c r="H33" s="199">
        <f>D33</f>
        <v>0</v>
      </c>
      <c r="I33" s="199"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4"/>
      <c r="B34" s="2766" t="s">
        <v>2928</v>
      </c>
      <c r="C34" s="205" t="e">
        <f>ROUND(D5*C19*C20*C24*F34,0)</f>
        <v>#DIV/0!</v>
      </c>
      <c r="D34" s="2846"/>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4"/>
      <c r="B35" s="2766" t="s">
        <v>2929</v>
      </c>
      <c r="C35" s="205" t="e">
        <f>ROUND(D5*C19*C20*C24*F35,0)</f>
        <v>#DIV/0!</v>
      </c>
      <c r="D35" s="2846"/>
      <c r="E35" s="199" t="e">
        <f t="shared" si="7"/>
        <v>#DIV/0!</v>
      </c>
      <c r="F35" s="199">
        <f>SUMIF(修正!A45:A56,G2,修正!D45:D56)</f>
        <v>0</v>
      </c>
      <c r="G35" s="199" t="e">
        <f>ROUND(IF(E2="工业",C35*$M$39,C35*$M$38),0)</f>
        <v>#DIV/0!</v>
      </c>
      <c r="H35" s="199">
        <f t="shared" si="8"/>
        <v>0</v>
      </c>
      <c r="I35" s="199" t="e">
        <f t="shared" si="9"/>
        <v>#DIV/0!</v>
      </c>
      <c r="J35" s="2863"/>
      <c r="K35" s="1372"/>
      <c r="L35" s="1372"/>
      <c r="M35" s="1372"/>
      <c r="N35" s="1372"/>
      <c r="O35" s="1372"/>
      <c r="P35" s="1372"/>
      <c r="Q35" s="1372"/>
      <c r="R35" s="1372"/>
      <c r="S35" s="1372"/>
      <c r="T35" s="1372"/>
      <c r="U35" s="1372"/>
      <c r="V35" s="1372"/>
      <c r="W35" s="1372"/>
      <c r="X35" s="1372"/>
      <c r="Y35" s="1372"/>
      <c r="Z35" s="1373"/>
    </row>
    <row r="36" spans="1:37" ht="13.5" thickBot="1">
      <c r="A36" s="3265"/>
      <c r="B36" s="2766" t="s">
        <v>2930</v>
      </c>
      <c r="C36" s="205" t="e">
        <f>ROUND(D5*C19*C20*C24*F36,0)</f>
        <v>#DIV/0!</v>
      </c>
      <c r="D36" s="2846"/>
      <c r="E36" s="199" t="e">
        <f t="shared" si="7"/>
        <v>#DIV/0!</v>
      </c>
      <c r="F36" s="199">
        <f>SUMIF(修正!A45:A56,G2,修正!E45:E56)</f>
        <v>0</v>
      </c>
      <c r="G36" s="199" t="e">
        <f>ROUND(IF(E2="工业",C36*$M$39,C36*$M$38),0)</f>
        <v>#DIV/0!</v>
      </c>
      <c r="H36" s="199">
        <f t="shared" si="8"/>
        <v>0</v>
      </c>
      <c r="I36" s="199"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2931</v>
      </c>
      <c r="C37" s="199" t="e">
        <f>ROUND(E5*C19*C41*C24*F37,0)</f>
        <v>#DIV/0!</v>
      </c>
      <c r="D37" s="2846"/>
      <c r="E37" s="199" t="e">
        <f t="shared" si="7"/>
        <v>#DIV/0!</v>
      </c>
      <c r="F37" s="205">
        <f>SUMIF(修正!A45:A56,G2,修正!F45:F56)</f>
        <v>0</v>
      </c>
      <c r="G37" s="199" t="e">
        <f>ROUND(IF(E2="工业",C37*$M$39,C37*$M$38),0)</f>
        <v>#DIV/0!</v>
      </c>
      <c r="H37" s="199">
        <f t="shared" si="8"/>
        <v>0</v>
      </c>
      <c r="I37" s="199" t="e">
        <f t="shared" si="9"/>
        <v>#DIV/0!</v>
      </c>
      <c r="J37" s="2863"/>
      <c r="K37" s="1372"/>
      <c r="L37" s="2865" t="s">
        <v>2932</v>
      </c>
      <c r="M37" s="2866"/>
      <c r="N37" s="1372"/>
      <c r="O37" s="1372"/>
      <c r="P37" s="1372"/>
      <c r="Q37" s="1372"/>
      <c r="R37" s="1372"/>
      <c r="S37" s="1372"/>
      <c r="T37" s="1372"/>
      <c r="U37" s="1372"/>
      <c r="V37" s="1372"/>
      <c r="W37" s="1372"/>
      <c r="X37" s="1372"/>
      <c r="Y37" s="1372"/>
      <c r="Z37" s="1373"/>
    </row>
    <row r="38" spans="1:37">
      <c r="A38" s="2864"/>
      <c r="B38" s="2766" t="s">
        <v>2933</v>
      </c>
      <c r="C38" s="199" t="e">
        <f>ROUND(E5*C19*C41*C24*F38,0)</f>
        <v>#DIV/0!</v>
      </c>
      <c r="D38" s="2846"/>
      <c r="E38" s="199" t="e">
        <f t="shared" si="7"/>
        <v>#DIV/0!</v>
      </c>
      <c r="F38" s="205">
        <f>SUMIF(修正!A45:A56,G2,修正!G45:G56)</f>
        <v>0</v>
      </c>
      <c r="G38" s="199" t="e">
        <f>ROUND(IF(E2="工业",C38*$M$39,C38*$M$38),0)</f>
        <v>#DIV/0!</v>
      </c>
      <c r="H38" s="199">
        <f t="shared" si="8"/>
        <v>0</v>
      </c>
      <c r="I38" s="199" t="e">
        <f t="shared" si="9"/>
        <v>#DIV/0!</v>
      </c>
      <c r="J38" s="2863"/>
      <c r="K38" s="1372"/>
      <c r="L38" s="1889" t="s">
        <v>2934</v>
      </c>
      <c r="M38" s="2867">
        <v>0.25</v>
      </c>
      <c r="N38" s="1372"/>
      <c r="O38" s="1372"/>
      <c r="P38" s="1372"/>
      <c r="Q38" s="1372"/>
      <c r="R38" s="1372"/>
      <c r="S38" s="1372"/>
      <c r="T38" s="1372"/>
      <c r="U38" s="1372"/>
      <c r="V38" s="1372"/>
      <c r="W38" s="1372"/>
      <c r="X38" s="1372"/>
      <c r="Y38" s="1372"/>
      <c r="Z38" s="1373"/>
    </row>
    <row r="39" spans="1:37" ht="13.5" thickBot="1">
      <c r="A39" s="2850"/>
      <c r="B39" s="2868" t="s">
        <v>2935</v>
      </c>
      <c r="C39" s="228" t="e">
        <f>ROUND(E5*C19*C41*C24*F39,0)</f>
        <v>#DIV/0!</v>
      </c>
      <c r="D39" s="2852"/>
      <c r="E39" s="228" t="e">
        <f t="shared" si="7"/>
        <v>#DIV/0!</v>
      </c>
      <c r="F39" s="934">
        <f>SUMIF(修正!A45:A56,G2,修正!H45:H56)</f>
        <v>0</v>
      </c>
      <c r="G39" s="228" t="e">
        <f>ROUND(IF(E2="工业",C39*$M$39,C39*$M$38),0)</f>
        <v>#DIV/0!</v>
      </c>
      <c r="H39" s="228">
        <f t="shared" si="8"/>
        <v>0</v>
      </c>
      <c r="I39" s="228" t="e">
        <f t="shared" si="9"/>
        <v>#DIV/0!</v>
      </c>
      <c r="J39" s="2869"/>
      <c r="K39" s="1372"/>
      <c r="L39" s="2870" t="s">
        <v>2876</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ht="24">
      <c r="A41" s="1373"/>
      <c r="B41" s="2944" t="s">
        <v>3044</v>
      </c>
      <c r="C41" s="387" t="e">
        <f>ROUND(POWER(1+E41,H41-G41)*(POWER(1+E41,G41)-1)/(POWER(1+E41,H41)-1),4)</f>
        <v>#DIV/0!</v>
      </c>
      <c r="D41" s="199" t="s">
        <v>2884</v>
      </c>
      <c r="E41" s="2943">
        <f>G20</f>
        <v>0</v>
      </c>
      <c r="F41" s="199" t="s">
        <v>2894</v>
      </c>
      <c r="G41" s="217"/>
      <c r="H41" s="199">
        <v>50</v>
      </c>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2936</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2937</v>
      </c>
      <c r="B46" s="2876">
        <f>1+E48</f>
        <v>1</v>
      </c>
      <c r="C46" s="2877"/>
      <c r="D46" s="813"/>
      <c r="E46" s="814"/>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2938</v>
      </c>
      <c r="B47" s="1811" t="s">
        <v>2939</v>
      </c>
      <c r="C47" s="1811" t="s">
        <v>2940</v>
      </c>
      <c r="D47" s="1811" t="s">
        <v>2941</v>
      </c>
      <c r="E47" s="818" t="s">
        <v>2942</v>
      </c>
      <c r="F47" s="2880" t="s">
        <v>2943</v>
      </c>
      <c r="G47" s="1811" t="s">
        <v>754</v>
      </c>
      <c r="H47" s="2881" t="s">
        <v>2944</v>
      </c>
      <c r="I47" s="1811" t="s">
        <v>2945</v>
      </c>
      <c r="J47" s="602" t="s">
        <v>2591</v>
      </c>
      <c r="K47" s="602" t="s">
        <v>2592</v>
      </c>
      <c r="L47" s="602" t="s">
        <v>2593</v>
      </c>
      <c r="M47" s="602" t="s">
        <v>2594</v>
      </c>
      <c r="N47" s="602" t="s">
        <v>2595</v>
      </c>
      <c r="AA47" s="1373"/>
      <c r="AB47" s="1373"/>
      <c r="AC47" s="1373"/>
      <c r="AD47" s="1373"/>
      <c r="AE47" s="1373"/>
      <c r="AF47" s="1373"/>
      <c r="AG47" s="1373"/>
      <c r="AH47" s="1373"/>
      <c r="AI47" s="1373"/>
      <c r="AJ47" s="1373"/>
      <c r="AK47" s="1373"/>
    </row>
    <row r="48" spans="1:37" s="1372" customFormat="1" ht="38.25">
      <c r="A48" s="2879" t="s">
        <v>2946</v>
      </c>
      <c r="B48" s="2882" t="str">
        <f>估价对象房地状况!C4</f>
        <v>估价对象位于XX商圈，周边商业氛围成熟，人流量大，商业繁华度好</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9" t="s">
        <v>2947</v>
      </c>
      <c r="B49" s="2883" t="str">
        <f>估价对象房地状况!C18</f>
        <v>估价对象周边道路状况、公共交通通达情况、停车便捷程度，综合评价交通便捷度较好</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2948</v>
      </c>
      <c r="B50" s="2883">
        <f>估价对象房地状况!C19</f>
        <v>0</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2949</v>
      </c>
      <c r="B51" s="2884" t="s">
        <v>2950</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2951</v>
      </c>
      <c r="B52" s="2883">
        <f>估价对象房地状况!C24</f>
        <v>0</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2952</v>
      </c>
      <c r="B53" s="2885" t="s">
        <v>2953</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2954</v>
      </c>
      <c r="B54" s="1727" t="str">
        <f>估价对象房地状况!C21</f>
        <v>估价对象所在区域公共配套设施齐备情况</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2955</v>
      </c>
      <c r="B55" s="2883" t="str">
        <f>估价对象房地状况!C22</f>
        <v>估价对象所在区域基础设施水平</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2956</v>
      </c>
      <c r="B56" s="2888" t="str">
        <f>估价对象房地状况!C20</f>
        <v>区域自然环境：；人文环境；综合评价环境状况一般</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2957</v>
      </c>
      <c r="B57" s="2876">
        <f>1+E59</f>
        <v>1</v>
      </c>
      <c r="C57" s="813"/>
      <c r="D57" s="813"/>
      <c r="E57" s="814"/>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2938</v>
      </c>
      <c r="B58" s="1811"/>
      <c r="C58" s="1811" t="s">
        <v>2940</v>
      </c>
      <c r="D58" s="1811" t="s">
        <v>2941</v>
      </c>
      <c r="E58" s="818" t="s">
        <v>2942</v>
      </c>
      <c r="F58" s="2880" t="s">
        <v>2958</v>
      </c>
      <c r="G58" s="1811" t="s">
        <v>754</v>
      </c>
      <c r="H58" s="2881" t="s">
        <v>2944</v>
      </c>
      <c r="I58" s="1811" t="s">
        <v>2945</v>
      </c>
      <c r="J58" s="602" t="s">
        <v>2591</v>
      </c>
      <c r="K58" s="602" t="s">
        <v>2592</v>
      </c>
      <c r="L58" s="602" t="s">
        <v>2593</v>
      </c>
      <c r="M58" s="602" t="s">
        <v>2594</v>
      </c>
      <c r="N58" s="602" t="s">
        <v>2595</v>
      </c>
      <c r="AA58" s="1373"/>
      <c r="AB58" s="1373"/>
      <c r="AC58" s="1373"/>
      <c r="AD58" s="1373"/>
      <c r="AE58" s="1373"/>
      <c r="AF58" s="1373"/>
      <c r="AG58" s="1373"/>
      <c r="AH58" s="1373"/>
      <c r="AI58" s="1373"/>
      <c r="AJ58" s="1373"/>
      <c r="AK58" s="1373"/>
    </row>
    <row r="59" spans="1:37" s="1372" customFormat="1" ht="38.25">
      <c r="A59" s="2879" t="s">
        <v>2959</v>
      </c>
      <c r="B59" s="2882" t="str">
        <f>估价对象房地状况!C17</f>
        <v>估价对象位于XX商圈，周边办公楼项目较多，入驻率高，办公集聚程度较好</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9" t="s">
        <v>2947</v>
      </c>
      <c r="B60" s="2883" t="str">
        <f>估价对象房地状况!C18</f>
        <v>估价对象周边道路状况、公共交通通达情况、停车便捷程度，综合评价交通便捷度较好</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2948</v>
      </c>
      <c r="B61" s="2883">
        <f>估价对象房地状况!C19</f>
        <v>0</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2949</v>
      </c>
      <c r="B62" s="2884" t="s">
        <v>2950</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2951</v>
      </c>
      <c r="B63" s="2883">
        <f>估价对象房地状况!C24</f>
        <v>0</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2952</v>
      </c>
      <c r="B64" s="2885" t="s">
        <v>2953</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2954</v>
      </c>
      <c r="B65" s="1727" t="str">
        <f>估价对象房地状况!C21</f>
        <v>估价对象所在区域公共配套设施齐备情况</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2955</v>
      </c>
      <c r="B66" s="1727" t="str">
        <f>估价对象房地状况!C22</f>
        <v>估价对象所在区域基础设施水平</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2956</v>
      </c>
      <c r="B67" s="2889" t="str">
        <f>估价对象房地状况!C20</f>
        <v>区域自然环境：；人文环境；综合评价环境状况一般</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2960</v>
      </c>
      <c r="B68" s="2876">
        <f>1+E70</f>
        <v>1</v>
      </c>
      <c r="C68" s="813"/>
      <c r="D68" s="813"/>
      <c r="E68" s="814"/>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2938</v>
      </c>
      <c r="B69" s="1811"/>
      <c r="C69" s="1811" t="s">
        <v>2940</v>
      </c>
      <c r="D69" s="1811" t="s">
        <v>2941</v>
      </c>
      <c r="E69" s="818" t="s">
        <v>2942</v>
      </c>
      <c r="F69" s="2880" t="s">
        <v>2958</v>
      </c>
      <c r="G69" s="1811" t="s">
        <v>754</v>
      </c>
      <c r="H69" s="2881" t="s">
        <v>2944</v>
      </c>
      <c r="I69" s="1811" t="s">
        <v>2945</v>
      </c>
      <c r="J69" s="602" t="s">
        <v>2591</v>
      </c>
      <c r="K69" s="602" t="s">
        <v>2592</v>
      </c>
      <c r="L69" s="602" t="s">
        <v>2593</v>
      </c>
      <c r="M69" s="602" t="s">
        <v>2594</v>
      </c>
      <c r="N69" s="602" t="s">
        <v>2595</v>
      </c>
      <c r="AA69" s="1373"/>
      <c r="AB69" s="1373"/>
      <c r="AC69" s="1373"/>
      <c r="AD69" s="1373"/>
      <c r="AE69" s="1373"/>
      <c r="AF69" s="1373"/>
      <c r="AG69" s="1373"/>
      <c r="AH69" s="1373"/>
      <c r="AI69" s="1373"/>
      <c r="AJ69" s="1373"/>
      <c r="AK69" s="1373"/>
    </row>
    <row r="70" spans="1:37" s="1372" customFormat="1" ht="51">
      <c r="A70" s="2879" t="s">
        <v>2961</v>
      </c>
      <c r="B70" s="2882" t="str">
        <f>估价对象房地状况!C15</f>
        <v>估价对象周边居住用地比例、居住小区规模和社区发展完善程度，综合评价居住社区成熟度一般</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9" t="s">
        <v>2947</v>
      </c>
      <c r="B71" s="2883" t="str">
        <f>估价对象房地状况!C18</f>
        <v>估价对象周边道路状况、公共交通通达情况、停车便捷程度，综合评价交通便捷度较好</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2948</v>
      </c>
      <c r="B72" s="2883">
        <f>估价对象房地状况!C19</f>
        <v>0</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2962</v>
      </c>
      <c r="B73" s="2883">
        <f>估价对象房地状况!C24</f>
        <v>0</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2954</v>
      </c>
      <c r="B74" s="1727" t="str">
        <f>估价对象房地状况!C21</f>
        <v>估价对象所在区域公共配套设施齐备情况</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2955</v>
      </c>
      <c r="B75" s="1727" t="str">
        <f>估价对象房地状况!C22</f>
        <v>估价对象所在区域基础设施水平</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2952</v>
      </c>
      <c r="B76" s="2885" t="s">
        <v>2953</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2956</v>
      </c>
      <c r="B77" s="2882" t="str">
        <f>估价对象房地状况!C20</f>
        <v>区域自然环境：；人文环境；综合评价环境状况一般</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7"/>
      <c r="AG77" s="1374"/>
      <c r="AK77" s="2797"/>
    </row>
    <row r="78" spans="1:37" ht="24.75" thickBot="1">
      <c r="A78" s="2887" t="s">
        <v>2963</v>
      </c>
      <c r="B78" s="2891"/>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7"/>
      <c r="AG78" s="1374"/>
      <c r="AK78" s="2797"/>
    </row>
    <row r="79" spans="1:37" ht="15">
      <c r="A79" s="2875" t="s">
        <v>2964</v>
      </c>
      <c r="B79" s="2876">
        <f>1+E81</f>
        <v>1</v>
      </c>
      <c r="C79" s="813"/>
      <c r="D79" s="813"/>
      <c r="E79" s="814"/>
      <c r="F79" s="2878"/>
      <c r="G79" s="6"/>
      <c r="H79" s="6"/>
      <c r="I79" s="6"/>
      <c r="J79" s="7"/>
      <c r="K79" s="7"/>
      <c r="L79" s="7"/>
      <c r="M79" s="7"/>
      <c r="N79" s="7"/>
      <c r="Z79" s="2721"/>
      <c r="AA79" s="2797"/>
      <c r="AG79" s="1374"/>
      <c r="AK79" s="2797"/>
    </row>
    <row r="80" spans="1:37" ht="24.75">
      <c r="A80" s="2879" t="s">
        <v>2938</v>
      </c>
      <c r="B80" s="1811"/>
      <c r="C80" s="1811" t="s">
        <v>2940</v>
      </c>
      <c r="D80" s="1811" t="s">
        <v>2941</v>
      </c>
      <c r="E80" s="818" t="s">
        <v>2942</v>
      </c>
      <c r="F80" s="2880" t="s">
        <v>2958</v>
      </c>
      <c r="G80" s="1811" t="s">
        <v>754</v>
      </c>
      <c r="H80" s="2881" t="s">
        <v>2944</v>
      </c>
      <c r="I80" s="1811" t="s">
        <v>2945</v>
      </c>
      <c r="J80" s="602" t="s">
        <v>2591</v>
      </c>
      <c r="K80" s="602" t="s">
        <v>2592</v>
      </c>
      <c r="L80" s="602" t="s">
        <v>2593</v>
      </c>
      <c r="M80" s="602" t="s">
        <v>2594</v>
      </c>
      <c r="N80" s="602" t="s">
        <v>2595</v>
      </c>
      <c r="Z80" s="2721"/>
      <c r="AA80" s="2797"/>
      <c r="AG80" s="1374"/>
      <c r="AK80" s="2797"/>
    </row>
    <row r="81" spans="1:37" ht="38.25">
      <c r="A81" s="2879" t="s">
        <v>2965</v>
      </c>
      <c r="B81" s="2883" t="str">
        <f>估价对象房地状况!G15</f>
        <v>估价对象位于XX开发区，园区建设成熟度XX，产业集聚程度XX</v>
      </c>
      <c r="C81" s="2771"/>
      <c r="D81" s="1288">
        <f t="shared" ref="D81:D88" si="25">SUMIF($J$80:$N$80,C81,J81:N81)</f>
        <v>0</v>
      </c>
      <c r="E81" s="820">
        <f>ROUND(SUM(D81:D88),4)</f>
        <v>0</v>
      </c>
      <c r="F81" s="250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51">
      <c r="A82" s="2879" t="s">
        <v>2947</v>
      </c>
      <c r="B82" s="2883" t="str">
        <f>估价对象房地状况!G16</f>
        <v>估价对象周边道路状况、公共交通通达情况、停车便捷程度，综合评价交通便捷度较好</v>
      </c>
      <c r="C82" s="2771"/>
      <c r="D82" s="1288">
        <f t="shared" si="25"/>
        <v>0</v>
      </c>
      <c r="E82" s="825"/>
      <c r="F82" s="2502"/>
      <c r="G82" s="1286"/>
      <c r="H82" s="1290" t="str">
        <f t="shared" si="26"/>
        <v>——</v>
      </c>
      <c r="I82" s="819">
        <v>0.33</v>
      </c>
      <c r="J82" s="1287">
        <f t="shared" si="27"/>
        <v>0</v>
      </c>
      <c r="K82" s="1287">
        <f t="shared" si="28"/>
        <v>0</v>
      </c>
      <c r="L82" s="1287">
        <v>0</v>
      </c>
      <c r="M82" s="1287">
        <f t="shared" si="29"/>
        <v>0</v>
      </c>
      <c r="N82" s="1287">
        <f t="shared" si="29"/>
        <v>0</v>
      </c>
      <c r="Z82" s="2721"/>
      <c r="AA82" s="2797"/>
      <c r="AG82" s="1374"/>
      <c r="AK82" s="2797"/>
    </row>
    <row r="83" spans="1:37" ht="24">
      <c r="A83" s="2879" t="s">
        <v>2948</v>
      </c>
      <c r="B83" s="2883">
        <f>估价对象房地状况!G17</f>
        <v>0</v>
      </c>
      <c r="C83" s="2771"/>
      <c r="D83" s="1288">
        <f t="shared" si="25"/>
        <v>0</v>
      </c>
      <c r="E83" s="825"/>
      <c r="F83" s="2502"/>
      <c r="G83" s="1286"/>
      <c r="H83" s="1290" t="str">
        <f t="shared" si="26"/>
        <v>——</v>
      </c>
      <c r="I83" s="819">
        <v>0.05</v>
      </c>
      <c r="J83" s="1287">
        <f t="shared" si="27"/>
        <v>0</v>
      </c>
      <c r="K83" s="1287">
        <f t="shared" si="28"/>
        <v>0</v>
      </c>
      <c r="L83" s="1287">
        <v>0</v>
      </c>
      <c r="M83" s="1287">
        <f t="shared" si="29"/>
        <v>0</v>
      </c>
      <c r="N83" s="1287">
        <f t="shared" si="29"/>
        <v>0</v>
      </c>
      <c r="Z83" s="2721"/>
      <c r="AA83" s="2797"/>
      <c r="AG83" s="1374"/>
      <c r="AK83" s="2797"/>
    </row>
    <row r="84" spans="1:37" ht="14.25">
      <c r="A84" s="2879" t="s">
        <v>2962</v>
      </c>
      <c r="B84" s="2883">
        <f>估价对象房地状况!G22</f>
        <v>0</v>
      </c>
      <c r="C84" s="2771"/>
      <c r="D84" s="1288">
        <f t="shared" si="25"/>
        <v>0</v>
      </c>
      <c r="E84" s="825"/>
      <c r="F84" s="2502"/>
      <c r="G84" s="1286"/>
      <c r="H84" s="1290" t="str">
        <f t="shared" si="26"/>
        <v>——</v>
      </c>
      <c r="I84" s="819">
        <v>0.04</v>
      </c>
      <c r="J84" s="1287">
        <f t="shared" si="27"/>
        <v>0</v>
      </c>
      <c r="K84" s="1287">
        <f t="shared" si="28"/>
        <v>0</v>
      </c>
      <c r="L84" s="1287">
        <v>0</v>
      </c>
      <c r="M84" s="1287">
        <f t="shared" si="29"/>
        <v>0</v>
      </c>
      <c r="N84" s="1287">
        <f t="shared" si="29"/>
        <v>0</v>
      </c>
      <c r="Z84" s="2721"/>
      <c r="AA84" s="2797"/>
      <c r="AG84" s="1374"/>
      <c r="AK84" s="2797"/>
    </row>
    <row r="85" spans="1:37" ht="25.5">
      <c r="A85" s="2879" t="s">
        <v>2954</v>
      </c>
      <c r="B85" s="1727" t="str">
        <f>估价对象房地状况!G19</f>
        <v>估价对象所在区域公共配套设施齐备情况</v>
      </c>
      <c r="C85" s="2771"/>
      <c r="D85" s="1288">
        <f t="shared" si="25"/>
        <v>0</v>
      </c>
      <c r="E85" s="825"/>
      <c r="F85" s="2502"/>
      <c r="G85" s="1286"/>
      <c r="H85" s="1290" t="str">
        <f t="shared" si="26"/>
        <v>——</v>
      </c>
      <c r="I85" s="819">
        <v>0.06</v>
      </c>
      <c r="J85" s="1287">
        <f t="shared" si="27"/>
        <v>0</v>
      </c>
      <c r="K85" s="1287">
        <f t="shared" si="28"/>
        <v>0</v>
      </c>
      <c r="L85" s="1287">
        <v>0</v>
      </c>
      <c r="M85" s="1287">
        <f t="shared" si="29"/>
        <v>0</v>
      </c>
      <c r="N85" s="1287">
        <f t="shared" si="29"/>
        <v>0</v>
      </c>
      <c r="Z85" s="2721"/>
      <c r="AA85" s="2797"/>
      <c r="AG85" s="1374"/>
      <c r="AK85" s="2797"/>
    </row>
    <row r="86" spans="1:37" ht="25.5">
      <c r="A86" s="2879" t="s">
        <v>2955</v>
      </c>
      <c r="B86" s="1727" t="str">
        <f>估价对象房地状况!G20</f>
        <v>估价对象所在区域基础设施水平</v>
      </c>
      <c r="C86" s="2771"/>
      <c r="D86" s="1288">
        <f t="shared" si="25"/>
        <v>0</v>
      </c>
      <c r="E86" s="825"/>
      <c r="F86" s="2502"/>
      <c r="G86" s="1286"/>
      <c r="H86" s="1290" t="str">
        <f t="shared" si="26"/>
        <v>——</v>
      </c>
      <c r="I86" s="819">
        <v>0.15</v>
      </c>
      <c r="J86" s="1287">
        <f t="shared" si="27"/>
        <v>0</v>
      </c>
      <c r="K86" s="1287">
        <f t="shared" si="28"/>
        <v>0</v>
      </c>
      <c r="L86" s="1287">
        <v>0</v>
      </c>
      <c r="M86" s="1287">
        <f t="shared" si="29"/>
        <v>0</v>
      </c>
      <c r="N86" s="1287">
        <f t="shared" si="29"/>
        <v>0</v>
      </c>
      <c r="Z86" s="2721"/>
      <c r="AA86" s="2797"/>
      <c r="AG86" s="1374"/>
      <c r="AK86" s="2797"/>
    </row>
    <row r="87" spans="1:37" ht="24">
      <c r="A87" s="2879" t="s">
        <v>2952</v>
      </c>
      <c r="B87" s="2885" t="s">
        <v>2966</v>
      </c>
      <c r="C87" s="2771"/>
      <c r="D87" s="1288">
        <f t="shared" si="25"/>
        <v>0</v>
      </c>
      <c r="E87" s="825"/>
      <c r="F87" s="2502"/>
      <c r="G87" s="1286"/>
      <c r="H87" s="1290" t="str">
        <f t="shared" si="26"/>
        <v>——</v>
      </c>
      <c r="I87" s="819">
        <v>0.05</v>
      </c>
      <c r="J87" s="1287">
        <f t="shared" si="27"/>
        <v>0</v>
      </c>
      <c r="K87" s="1287">
        <f t="shared" si="28"/>
        <v>0</v>
      </c>
      <c r="L87" s="1287">
        <v>0</v>
      </c>
      <c r="M87" s="1287">
        <f t="shared" si="29"/>
        <v>0</v>
      </c>
      <c r="N87" s="1287">
        <f t="shared" si="29"/>
        <v>0</v>
      </c>
      <c r="Z87" s="2721"/>
      <c r="AA87" s="2797"/>
      <c r="AG87" s="1374"/>
      <c r="AK87" s="2797"/>
    </row>
    <row r="88" spans="1:37" ht="39" thickBot="1">
      <c r="A88" s="2887" t="s">
        <v>2967</v>
      </c>
      <c r="B88" s="2892" t="str">
        <f>估价对象房地状况!G18</f>
        <v>该园区内是否有污染型企业，绿化情况，卫生条件，整体环境状况判断</v>
      </c>
      <c r="C88" s="2771"/>
      <c r="D88" s="1288">
        <f t="shared" si="25"/>
        <v>0</v>
      </c>
      <c r="E88" s="826"/>
      <c r="F88" s="2502"/>
      <c r="G88" s="1286"/>
      <c r="H88" s="1290" t="str">
        <f t="shared" si="26"/>
        <v>——</v>
      </c>
      <c r="I88" s="823">
        <v>0.06</v>
      </c>
      <c r="J88" s="1287">
        <f t="shared" si="27"/>
        <v>0</v>
      </c>
      <c r="K88" s="1287">
        <f t="shared" si="28"/>
        <v>0</v>
      </c>
      <c r="L88" s="1287">
        <v>0</v>
      </c>
      <c r="M88" s="1287">
        <f t="shared" si="29"/>
        <v>0</v>
      </c>
      <c r="N88" s="1287">
        <f t="shared" si="29"/>
        <v>0</v>
      </c>
      <c r="Z88" s="2721"/>
      <c r="AA88" s="2797"/>
      <c r="AG88" s="1374"/>
      <c r="AK88" s="2797"/>
    </row>
    <row r="90" spans="1:37">
      <c r="A90" s="3257" t="s">
        <v>2968</v>
      </c>
      <c r="B90" s="3257"/>
      <c r="C90" s="3257"/>
      <c r="D90" s="3257"/>
      <c r="E90" s="3257"/>
      <c r="F90" s="3257"/>
      <c r="G90" s="3257"/>
      <c r="H90" s="3257"/>
      <c r="I90" s="3257"/>
      <c r="J90" s="3257"/>
      <c r="K90" s="2893"/>
      <c r="L90" s="2893"/>
      <c r="M90" s="2893"/>
      <c r="N90" s="2893"/>
    </row>
    <row r="91" spans="1:37">
      <c r="A91" s="3259" t="s">
        <v>2969</v>
      </c>
      <c r="B91" s="3259" t="s">
        <v>2970</v>
      </c>
      <c r="C91" s="2847" t="s">
        <v>2971</v>
      </c>
      <c r="D91" s="2848"/>
      <c r="E91" s="2848"/>
      <c r="F91" s="2848"/>
      <c r="G91" s="2848"/>
      <c r="H91" s="2848"/>
      <c r="I91" s="2848"/>
      <c r="J91" s="2894"/>
      <c r="K91" s="2895"/>
      <c r="L91" s="2895"/>
      <c r="M91" s="2895"/>
      <c r="N91" s="2895"/>
    </row>
    <row r="92" spans="1:37">
      <c r="A92" s="3259"/>
      <c r="B92" s="3259"/>
      <c r="C92" s="944" t="s">
        <v>2835</v>
      </c>
      <c r="D92" s="944" t="s">
        <v>2836</v>
      </c>
      <c r="E92" s="944" t="s">
        <v>2837</v>
      </c>
      <c r="F92" s="944" t="s">
        <v>2838</v>
      </c>
      <c r="G92" s="944" t="s">
        <v>2839</v>
      </c>
      <c r="H92" s="944" t="s">
        <v>2840</v>
      </c>
      <c r="I92" s="944" t="s">
        <v>2841</v>
      </c>
      <c r="J92" s="944" t="s">
        <v>2842</v>
      </c>
      <c r="K92" s="944" t="s">
        <v>2843</v>
      </c>
      <c r="L92" s="944" t="s">
        <v>2844</v>
      </c>
      <c r="M92" s="944" t="s">
        <v>2845</v>
      </c>
      <c r="N92" s="944" t="s">
        <v>2846</v>
      </c>
    </row>
    <row r="93" spans="1:37">
      <c r="A93" s="3260" t="s">
        <v>2972</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61"/>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61"/>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61"/>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61"/>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61"/>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61"/>
      <c r="B99" s="2896" t="s">
        <v>2851</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62"/>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60" t="s">
        <v>2973</v>
      </c>
      <c r="B101" s="2900" t="s">
        <v>2974</v>
      </c>
      <c r="C101" s="2901">
        <f>$G$3</f>
        <v>0.48</v>
      </c>
      <c r="D101" s="2901">
        <f t="shared" ref="D101:N101" si="31">$G$3</f>
        <v>0.48</v>
      </c>
      <c r="E101" s="2901">
        <f t="shared" si="31"/>
        <v>0.48</v>
      </c>
      <c r="F101" s="2901">
        <f t="shared" si="31"/>
        <v>0.48</v>
      </c>
      <c r="G101" s="2901">
        <f t="shared" si="31"/>
        <v>0.48</v>
      </c>
      <c r="H101" s="2901">
        <f t="shared" si="31"/>
        <v>0.48</v>
      </c>
      <c r="I101" s="2901">
        <f t="shared" si="31"/>
        <v>0.48</v>
      </c>
      <c r="J101" s="2901">
        <f t="shared" si="31"/>
        <v>0.48</v>
      </c>
      <c r="K101" s="2901">
        <f t="shared" si="31"/>
        <v>0.48</v>
      </c>
      <c r="L101" s="2901">
        <f t="shared" si="31"/>
        <v>0.48</v>
      </c>
      <c r="M101" s="2901">
        <f t="shared" si="31"/>
        <v>0.48</v>
      </c>
      <c r="N101" s="2901">
        <f t="shared" si="31"/>
        <v>0.48</v>
      </c>
    </row>
    <row r="102" spans="1:14">
      <c r="A102" s="3261"/>
      <c r="B102" s="2896">
        <v>1</v>
      </c>
      <c r="C102" s="2897">
        <f>1.9362/C101</f>
        <v>4.0337500000000004</v>
      </c>
      <c r="D102" s="2897">
        <f>1.9362/D101</f>
        <v>4.0337500000000004</v>
      </c>
      <c r="E102" s="2897">
        <f>1.8629/E101</f>
        <v>3.8810416666666669</v>
      </c>
      <c r="F102" s="2897">
        <f>1.8629/F101</f>
        <v>3.8810416666666669</v>
      </c>
      <c r="G102" s="2897">
        <f>1.8629/G101</f>
        <v>3.8810416666666669</v>
      </c>
      <c r="H102" s="2897">
        <f>1.8629/H101</f>
        <v>3.8810416666666669</v>
      </c>
      <c r="I102" s="2897">
        <f>1.8629/I101</f>
        <v>3.8810416666666669</v>
      </c>
      <c r="J102" s="2897">
        <f>1.942/J101</f>
        <v>4.0458333333333334</v>
      </c>
      <c r="K102" s="2897">
        <f>1.942/K101</f>
        <v>4.0458333333333334</v>
      </c>
      <c r="L102" s="2897">
        <f>1.942/L101</f>
        <v>4.0458333333333334</v>
      </c>
      <c r="M102" s="2897">
        <f>1.942/M101</f>
        <v>4.0458333333333334</v>
      </c>
      <c r="N102" s="2897">
        <f>1.942/N101</f>
        <v>4.0458333333333334</v>
      </c>
    </row>
    <row r="103" spans="1:14">
      <c r="A103" s="3261"/>
      <c r="B103" s="2896">
        <v>2</v>
      </c>
      <c r="C103" s="2897">
        <f>1.4198/C101</f>
        <v>2.9579166666666667</v>
      </c>
      <c r="D103" s="2897">
        <f>1.4198/D101</f>
        <v>2.9579166666666667</v>
      </c>
      <c r="E103" s="2897">
        <f>1.3372/E101</f>
        <v>2.7858333333333332</v>
      </c>
      <c r="F103" s="2897">
        <f>1.3372/F101</f>
        <v>2.7858333333333332</v>
      </c>
      <c r="G103" s="2897">
        <f>1.3372/G101</f>
        <v>2.7858333333333332</v>
      </c>
      <c r="H103" s="2897">
        <f>1.3372/H101</f>
        <v>2.7858333333333332</v>
      </c>
      <c r="I103" s="2897">
        <f>1.3372/I101</f>
        <v>2.7858333333333332</v>
      </c>
      <c r="J103" s="2897">
        <f>1.2799/J101</f>
        <v>2.6664583333333334</v>
      </c>
      <c r="K103" s="2897">
        <f>1.2799/K101</f>
        <v>2.6664583333333334</v>
      </c>
      <c r="L103" s="2897">
        <f>1.2799/L101</f>
        <v>2.6664583333333334</v>
      </c>
      <c r="M103" s="2897">
        <f>1.2799/M101</f>
        <v>2.6664583333333334</v>
      </c>
      <c r="N103" s="2897">
        <f>1.2799/N101</f>
        <v>2.6664583333333334</v>
      </c>
    </row>
    <row r="104" spans="1:14">
      <c r="A104" s="3261"/>
      <c r="B104" s="2896">
        <v>3</v>
      </c>
      <c r="C104" s="2897">
        <f>1.1594/C101</f>
        <v>2.4154166666666668</v>
      </c>
      <c r="D104" s="2897">
        <f>1.1594/D101</f>
        <v>2.4154166666666668</v>
      </c>
      <c r="E104" s="2897">
        <f>1.0788/E101</f>
        <v>2.2475000000000001</v>
      </c>
      <c r="F104" s="2897">
        <f>1.0788/F101</f>
        <v>2.2475000000000001</v>
      </c>
      <c r="G104" s="2897">
        <f>1.0788/G101</f>
        <v>2.2475000000000001</v>
      </c>
      <c r="H104" s="2897">
        <f>1.0788/H101</f>
        <v>2.2475000000000001</v>
      </c>
      <c r="I104" s="2897">
        <f>1.0788/I101</f>
        <v>2.2475000000000001</v>
      </c>
      <c r="J104" s="2897">
        <f>1.0072/J101</f>
        <v>2.0983333333333336</v>
      </c>
      <c r="K104" s="2897">
        <f>1.0072/K101</f>
        <v>2.0983333333333336</v>
      </c>
      <c r="L104" s="2897">
        <f>1.0072/L101</f>
        <v>2.0983333333333336</v>
      </c>
      <c r="M104" s="2897">
        <f>1.0072/M101</f>
        <v>2.0983333333333336</v>
      </c>
      <c r="N104" s="2897">
        <f>1.0072/N101</f>
        <v>2.0983333333333336</v>
      </c>
    </row>
    <row r="105" spans="1:14">
      <c r="A105" s="3261"/>
      <c r="B105" s="2896">
        <v>4</v>
      </c>
      <c r="C105" s="2897">
        <f>0.9622/C101</f>
        <v>2.0045833333333336</v>
      </c>
      <c r="D105" s="2897">
        <f>0.9622/D101</f>
        <v>2.0045833333333336</v>
      </c>
      <c r="E105" s="2897">
        <f>0.8656/E101</f>
        <v>1.8033333333333335</v>
      </c>
      <c r="F105" s="2897">
        <f>0.8656/F101</f>
        <v>1.8033333333333335</v>
      </c>
      <c r="G105" s="2897">
        <f>0.8656/G101</f>
        <v>1.8033333333333335</v>
      </c>
      <c r="H105" s="2897">
        <f>0.8656/H101</f>
        <v>1.8033333333333335</v>
      </c>
      <c r="I105" s="2897">
        <f>0.8656/I101</f>
        <v>1.8033333333333335</v>
      </c>
      <c r="J105" s="2897">
        <f>0.7525/J101</f>
        <v>1.5677083333333333</v>
      </c>
      <c r="K105" s="2897">
        <f>0.7525/K101</f>
        <v>1.5677083333333333</v>
      </c>
      <c r="L105" s="2897">
        <f>0.7525/L101</f>
        <v>1.5677083333333333</v>
      </c>
      <c r="M105" s="2897">
        <f>0.7525/M101</f>
        <v>1.5677083333333333</v>
      </c>
      <c r="N105" s="2897">
        <f>0.7525/N101</f>
        <v>1.5677083333333333</v>
      </c>
    </row>
    <row r="106" spans="1:14">
      <c r="A106" s="3261"/>
      <c r="B106" s="2896">
        <v>5</v>
      </c>
      <c r="C106" s="2897">
        <f>0.8417/C101</f>
        <v>1.7535416666666668</v>
      </c>
      <c r="D106" s="2897">
        <f>0.8417/D101</f>
        <v>1.7535416666666668</v>
      </c>
      <c r="E106" s="2897">
        <f>0.7371/E101</f>
        <v>1.535625</v>
      </c>
      <c r="F106" s="2897">
        <f>0.7371/F101</f>
        <v>1.535625</v>
      </c>
      <c r="G106" s="2897">
        <f>0.7371/G101</f>
        <v>1.535625</v>
      </c>
      <c r="H106" s="2897">
        <f>0.7371/H101</f>
        <v>1.535625</v>
      </c>
      <c r="I106" s="2897">
        <f>0.7371/I101</f>
        <v>1.535625</v>
      </c>
      <c r="J106" s="2897">
        <f>0.5659/J101</f>
        <v>1.1789583333333333</v>
      </c>
      <c r="K106" s="2897">
        <f>0.5659/K101</f>
        <v>1.1789583333333333</v>
      </c>
      <c r="L106" s="2897">
        <f>0.5659/L101</f>
        <v>1.1789583333333333</v>
      </c>
      <c r="M106" s="2897">
        <f>0.5659/M101</f>
        <v>1.1789583333333333</v>
      </c>
      <c r="N106" s="2897">
        <f>0.5659/N101</f>
        <v>1.1789583333333333</v>
      </c>
    </row>
    <row r="107" spans="1:14">
      <c r="A107" s="3261"/>
      <c r="B107" s="2896">
        <v>6</v>
      </c>
      <c r="C107" s="2897">
        <f>0.7608/C101</f>
        <v>1.5850000000000002</v>
      </c>
      <c r="D107" s="2897">
        <f>0.7608/D101</f>
        <v>1.5850000000000002</v>
      </c>
      <c r="E107" s="2897">
        <f>0.6482/E101</f>
        <v>1.3504166666666668</v>
      </c>
      <c r="F107" s="2897">
        <f>0.6482/F101</f>
        <v>1.3504166666666668</v>
      </c>
      <c r="G107" s="2897">
        <f>0.6482/G101</f>
        <v>1.3504166666666668</v>
      </c>
      <c r="H107" s="2897">
        <f>0.6482/H101</f>
        <v>1.3504166666666668</v>
      </c>
      <c r="I107" s="2897">
        <f>0.6482/I101</f>
        <v>1.3504166666666668</v>
      </c>
      <c r="J107" s="2897">
        <f>0.4525/J101</f>
        <v>0.94270833333333337</v>
      </c>
      <c r="K107" s="2897">
        <f>0.4525/K101</f>
        <v>0.94270833333333337</v>
      </c>
      <c r="L107" s="2897">
        <f>0.4525/L101</f>
        <v>0.94270833333333337</v>
      </c>
      <c r="M107" s="2897">
        <f>0.4525/M101</f>
        <v>0.94270833333333337</v>
      </c>
      <c r="N107" s="2897">
        <f>0.4525/N101</f>
        <v>0.94270833333333337</v>
      </c>
    </row>
    <row r="108" spans="1:14">
      <c r="A108" s="3261"/>
      <c r="B108" s="3089" t="s">
        <v>2975</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62"/>
      <c r="B109" s="3090"/>
      <c r="C109" s="2899">
        <f>(-0.163*(C108^2)-0.59*C108+7617)*(10^(-4))/C101</f>
        <v>1.5868750000000003</v>
      </c>
      <c r="D109" s="2899">
        <f>(-0.163*(D108^2)-0.59*D108+7617)*(10^(-4))/D101</f>
        <v>1.5868750000000003</v>
      </c>
      <c r="E109" s="2899">
        <f>(-0.161*(E108^2)-7.509*E108+6533)*(10^(-4))/E101</f>
        <v>1.3610416666666667</v>
      </c>
      <c r="F109" s="2899">
        <f>(-0.161*(F108^2)-7.509*F108+6533)*(10^(-4))/F101</f>
        <v>1.3610416666666667</v>
      </c>
      <c r="G109" s="2899">
        <f>(-0.161*(G108^2)-7.509*G108+6533)*(10^(-4))/G101</f>
        <v>1.3610416666666667</v>
      </c>
      <c r="H109" s="2899">
        <f>(-0.161*(H108^2)-7.509*H108+6533)*(10^(-4))/H101</f>
        <v>1.3610416666666667</v>
      </c>
      <c r="I109" s="2899">
        <f>(-0.161*(I108^2)-7.509*I108+6533)*(10^(-4))/I101</f>
        <v>1.3610416666666667</v>
      </c>
      <c r="J109" s="2899">
        <f>(-0.214*(J108^2)-21.991*J108+4665)*(10^(-4))/J101</f>
        <v>0.97187500000000004</v>
      </c>
      <c r="K109" s="2899">
        <f>(-0.214*(K108^2)-21.991*K108+4665)*(10^(-4))/K101</f>
        <v>0.97187500000000004</v>
      </c>
      <c r="L109" s="2899">
        <f>(-0.214*(L108^2)-21.991*L108+4665)*(10^(-4))/L101</f>
        <v>0.97187500000000004</v>
      </c>
      <c r="M109" s="2899">
        <f>(-0.214*(M108^2)-21.991*M108+4665)*(10^(-4))/M101</f>
        <v>0.97187500000000004</v>
      </c>
      <c r="N109" s="2899">
        <f>(-0.214*(N108^2)-21.991*N108+4665)*(10^(-4))/N101</f>
        <v>0.97187500000000004</v>
      </c>
    </row>
    <row r="110" spans="1:14">
      <c r="A110" s="3258" t="s">
        <v>2976</v>
      </c>
      <c r="B110" s="3258"/>
      <c r="C110" s="3258"/>
      <c r="D110" s="3258"/>
      <c r="E110" s="3258"/>
      <c r="F110" s="3258"/>
      <c r="G110" s="3258"/>
      <c r="H110" s="3258"/>
      <c r="I110" s="3258"/>
      <c r="J110" s="3258"/>
      <c r="K110" s="2902"/>
      <c r="L110" s="2902"/>
      <c r="M110" s="2902"/>
      <c r="N110" s="2902"/>
    </row>
    <row r="112" spans="1:14" ht="13.5" thickBot="1"/>
    <row r="113" spans="1:13" ht="25.5" thickBot="1">
      <c r="A113" s="902" t="s">
        <v>2977</v>
      </c>
      <c r="B113" s="1289">
        <f>G3</f>
        <v>0.48</v>
      </c>
      <c r="C113" s="903" t="s">
        <v>2978</v>
      </c>
      <c r="D113" s="904">
        <f>SUMPRODUCT((A115:A118=F113)*(B114:M114=H113)*B115:M118)</f>
        <v>0</v>
      </c>
      <c r="E113" s="2725" t="s">
        <v>2808</v>
      </c>
      <c r="F113" s="2904">
        <f>E2</f>
        <v>0</v>
      </c>
      <c r="G113" s="2725" t="s">
        <v>2809</v>
      </c>
      <c r="H113" s="2904">
        <f>G2</f>
        <v>0</v>
      </c>
      <c r="I113" s="2725"/>
      <c r="J113" s="2905"/>
      <c r="K113" s="2905"/>
      <c r="L113" s="2905"/>
      <c r="M113" s="2905"/>
    </row>
    <row r="114" spans="1:13">
      <c r="A114" s="907"/>
      <c r="B114" s="2906" t="s">
        <v>2979</v>
      </c>
      <c r="C114" s="2906" t="s">
        <v>2980</v>
      </c>
      <c r="D114" s="2906" t="s">
        <v>2981</v>
      </c>
      <c r="E114" s="2907" t="s">
        <v>2982</v>
      </c>
      <c r="F114" s="2907" t="s">
        <v>2983</v>
      </c>
      <c r="G114" s="2907" t="s">
        <v>2984</v>
      </c>
      <c r="H114" s="2908" t="s">
        <v>2985</v>
      </c>
      <c r="I114" s="2908" t="s">
        <v>2986</v>
      </c>
      <c r="J114" s="2909" t="s">
        <v>2987</v>
      </c>
      <c r="K114" s="2909" t="s">
        <v>2988</v>
      </c>
      <c r="L114" s="2909" t="s">
        <v>2989</v>
      </c>
      <c r="M114" s="2910" t="s">
        <v>2990</v>
      </c>
    </row>
    <row r="115" spans="1:13">
      <c r="A115" s="908" t="s">
        <v>2873</v>
      </c>
      <c r="B115" s="909">
        <f>ROUND(0.9335-0.0094*B113,4)</f>
        <v>0.92900000000000005</v>
      </c>
      <c r="C115" s="909">
        <f>B115</f>
        <v>0.92900000000000005</v>
      </c>
      <c r="D115" s="909">
        <f>ROUND(0.8331-0.0109*B113,4)</f>
        <v>0.82789999999999997</v>
      </c>
      <c r="E115" s="909">
        <f>D115</f>
        <v>0.82789999999999997</v>
      </c>
      <c r="F115" s="909">
        <f>E115</f>
        <v>0.82789999999999997</v>
      </c>
      <c r="G115" s="909">
        <f>F115</f>
        <v>0.82789999999999997</v>
      </c>
      <c r="H115" s="909">
        <f>G115</f>
        <v>0.82789999999999997</v>
      </c>
      <c r="I115" s="909">
        <f>ROUND(0.689-0.0155*B113,4)</f>
        <v>0.68159999999999998</v>
      </c>
      <c r="J115" s="909">
        <f t="shared" ref="J115:M118" si="33">I115</f>
        <v>0.68159999999999998</v>
      </c>
      <c r="K115" s="909">
        <f t="shared" si="33"/>
        <v>0.68159999999999998</v>
      </c>
      <c r="L115" s="909">
        <f t="shared" si="33"/>
        <v>0.68159999999999998</v>
      </c>
      <c r="M115" s="910">
        <f t="shared" si="33"/>
        <v>0.68159999999999998</v>
      </c>
    </row>
    <row r="116" spans="1:13">
      <c r="A116" s="908" t="s">
        <v>2874</v>
      </c>
      <c r="B116" s="909">
        <f>ROUND(0.949-0.012*B113,4)</f>
        <v>0.94320000000000004</v>
      </c>
      <c r="C116" s="909">
        <f>B116</f>
        <v>0.94320000000000004</v>
      </c>
      <c r="D116" s="909">
        <f>ROUND(0.8567-0.013*B113,4)</f>
        <v>0.85050000000000003</v>
      </c>
      <c r="E116" s="909">
        <f t="shared" ref="E116:H117" si="34">D116</f>
        <v>0.85050000000000003</v>
      </c>
      <c r="F116" s="909">
        <f t="shared" si="34"/>
        <v>0.85050000000000003</v>
      </c>
      <c r="G116" s="909">
        <f t="shared" si="34"/>
        <v>0.85050000000000003</v>
      </c>
      <c r="H116" s="909">
        <f t="shared" si="34"/>
        <v>0.85050000000000003</v>
      </c>
      <c r="I116" s="909">
        <f>ROUND(0.7694-0.014*B113,4)</f>
        <v>0.76270000000000004</v>
      </c>
      <c r="J116" s="909">
        <f t="shared" si="33"/>
        <v>0.76270000000000004</v>
      </c>
      <c r="K116" s="909">
        <f t="shared" si="33"/>
        <v>0.76270000000000004</v>
      </c>
      <c r="L116" s="909">
        <f t="shared" si="33"/>
        <v>0.76270000000000004</v>
      </c>
      <c r="M116" s="910">
        <f t="shared" si="33"/>
        <v>0.76270000000000004</v>
      </c>
    </row>
    <row r="117" spans="1:13">
      <c r="A117" s="908" t="s">
        <v>2875</v>
      </c>
      <c r="B117" s="909">
        <f>ROUND(0.8808-0.006*B113,4)</f>
        <v>0.87790000000000001</v>
      </c>
      <c r="C117" s="909">
        <f>B117</f>
        <v>0.87790000000000001</v>
      </c>
      <c r="D117" s="909">
        <f>ROUND(0.8748-0.008*B113,4)</f>
        <v>0.871</v>
      </c>
      <c r="E117" s="909">
        <f t="shared" si="34"/>
        <v>0.871</v>
      </c>
      <c r="F117" s="909">
        <f t="shared" si="34"/>
        <v>0.871</v>
      </c>
      <c r="G117" s="909">
        <f t="shared" si="34"/>
        <v>0.871</v>
      </c>
      <c r="H117" s="909">
        <f t="shared" si="34"/>
        <v>0.871</v>
      </c>
      <c r="I117" s="909">
        <f>ROUND(0.7412-0.0095*B113,4)</f>
        <v>0.73660000000000003</v>
      </c>
      <c r="J117" s="909">
        <f t="shared" si="33"/>
        <v>0.73660000000000003</v>
      </c>
      <c r="K117" s="909">
        <f t="shared" si="33"/>
        <v>0.73660000000000003</v>
      </c>
      <c r="L117" s="909">
        <f t="shared" si="33"/>
        <v>0.73660000000000003</v>
      </c>
      <c r="M117" s="910">
        <f t="shared" si="33"/>
        <v>0.73660000000000003</v>
      </c>
    </row>
    <row r="118" spans="1:13" ht="13.5" thickBot="1">
      <c r="A118" s="713" t="s">
        <v>2876</v>
      </c>
      <c r="B118" s="911">
        <f>ROUND(0.7275-0.01*B113,4)</f>
        <v>0.72270000000000001</v>
      </c>
      <c r="C118" s="911">
        <f>B118</f>
        <v>0.72270000000000001</v>
      </c>
      <c r="D118" s="911">
        <f>ROUND(0.7043-0.012*B113,4)</f>
        <v>0.69850000000000001</v>
      </c>
      <c r="E118" s="911">
        <f>D118</f>
        <v>0.69850000000000001</v>
      </c>
      <c r="F118" s="911">
        <f>E118</f>
        <v>0.69850000000000001</v>
      </c>
      <c r="G118" s="911">
        <f>ROUND(0.6299-0.0122*B113,4)</f>
        <v>0.624</v>
      </c>
      <c r="H118" s="911">
        <f>G118</f>
        <v>0.624</v>
      </c>
      <c r="I118" s="911">
        <f>ROUND(0.5667-0.0136*B113,4)</f>
        <v>0.56020000000000003</v>
      </c>
      <c r="J118" s="911">
        <f t="shared" si="33"/>
        <v>0.56020000000000003</v>
      </c>
      <c r="K118" s="911">
        <f t="shared" si="33"/>
        <v>0.56020000000000003</v>
      </c>
      <c r="L118" s="911">
        <f t="shared" si="33"/>
        <v>0.56020000000000003</v>
      </c>
      <c r="M118" s="912">
        <f t="shared" si="33"/>
        <v>0.56020000000000003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5" t="s">
        <v>183</v>
      </c>
      <c r="B18" s="881" t="s">
        <v>560</v>
      </c>
      <c r="C18" s="882" t="s">
        <v>561</v>
      </c>
      <c r="D18" s="883"/>
      <c r="E18" s="881">
        <v>1</v>
      </c>
      <c r="F18" s="884" t="s">
        <v>562</v>
      </c>
      <c r="G18" s="885"/>
      <c r="H18" s="877"/>
      <c r="I18" s="877"/>
    </row>
    <row r="19" spans="1:9" s="886" customFormat="1" ht="19.5" customHeight="1">
      <c r="A19" s="3275"/>
      <c r="B19" s="3275" t="s">
        <v>563</v>
      </c>
      <c r="C19" s="882" t="s">
        <v>564</v>
      </c>
      <c r="D19" s="883"/>
      <c r="E19" s="881">
        <v>0.9</v>
      </c>
      <c r="F19" s="884" t="s">
        <v>565</v>
      </c>
      <c r="G19" s="885"/>
      <c r="H19" s="877"/>
      <c r="I19" s="877"/>
    </row>
    <row r="20" spans="1:9" s="886" customFormat="1" ht="19.5" customHeight="1">
      <c r="A20" s="3275"/>
      <c r="B20" s="3275"/>
      <c r="C20" s="882" t="s">
        <v>566</v>
      </c>
      <c r="D20" s="883"/>
      <c r="E20" s="881">
        <v>1.1000000000000001</v>
      </c>
      <c r="F20" s="884" t="s">
        <v>567</v>
      </c>
      <c r="G20" s="885"/>
      <c r="H20" s="877"/>
      <c r="I20" s="877"/>
    </row>
    <row r="21" spans="1:9" s="886" customFormat="1" ht="19.5" customHeight="1">
      <c r="A21" s="3275"/>
      <c r="B21" s="3275"/>
      <c r="C21" s="882" t="s">
        <v>568</v>
      </c>
      <c r="D21" s="883"/>
      <c r="E21" s="881">
        <v>0.8</v>
      </c>
      <c r="F21" s="884" t="s">
        <v>569</v>
      </c>
      <c r="G21" s="885"/>
      <c r="H21" s="877"/>
      <c r="I21" s="877"/>
    </row>
    <row r="22" spans="1:9" s="886" customFormat="1" ht="19.5" customHeight="1">
      <c r="A22" s="3275"/>
      <c r="B22" s="3275"/>
      <c r="C22" s="882" t="s">
        <v>570</v>
      </c>
      <c r="D22" s="883"/>
      <c r="E22" s="881">
        <v>0.5</v>
      </c>
      <c r="F22" s="884"/>
      <c r="G22" s="885"/>
      <c r="H22" s="877"/>
      <c r="I22" s="877"/>
    </row>
    <row r="23" spans="1:9" s="886" customFormat="1" ht="19.5" customHeight="1">
      <c r="A23" s="3275" t="s">
        <v>184</v>
      </c>
      <c r="B23" s="881" t="s">
        <v>560</v>
      </c>
      <c r="C23" s="882" t="s">
        <v>571</v>
      </c>
      <c r="D23" s="883"/>
      <c r="E23" s="881">
        <v>1</v>
      </c>
      <c r="F23" s="884" t="s">
        <v>572</v>
      </c>
      <c r="G23" s="885"/>
      <c r="H23" s="877"/>
      <c r="I23" s="877"/>
    </row>
    <row r="24" spans="1:9" s="886" customFormat="1" ht="19.5" customHeight="1">
      <c r="A24" s="3275"/>
      <c r="B24" s="3275" t="s">
        <v>563</v>
      </c>
      <c r="C24" s="882" t="s">
        <v>573</v>
      </c>
      <c r="D24" s="883"/>
      <c r="E24" s="881">
        <v>0.5</v>
      </c>
      <c r="F24" s="884"/>
      <c r="G24" s="885"/>
      <c r="H24" s="877"/>
      <c r="I24" s="877"/>
    </row>
    <row r="25" spans="1:9" s="886" customFormat="1" ht="19.5" customHeight="1">
      <c r="A25" s="3275"/>
      <c r="B25" s="3275"/>
      <c r="C25" s="882" t="s">
        <v>574</v>
      </c>
      <c r="D25" s="883"/>
      <c r="E25" s="881">
        <v>1.1000000000000001</v>
      </c>
      <c r="F25" s="884"/>
      <c r="G25" s="885"/>
      <c r="H25" s="877"/>
      <c r="I25" s="877"/>
    </row>
    <row r="26" spans="1:9" s="886" customFormat="1" ht="19.5" customHeight="1">
      <c r="A26" s="3275"/>
      <c r="B26" s="3275"/>
      <c r="C26" s="882" t="s">
        <v>575</v>
      </c>
      <c r="D26" s="883"/>
      <c r="E26" s="881">
        <v>1.1000000000000001</v>
      </c>
      <c r="F26" s="884"/>
      <c r="G26" s="885"/>
      <c r="H26" s="877"/>
      <c r="I26" s="877"/>
    </row>
    <row r="27" spans="1:9" s="886" customFormat="1" ht="19.5" customHeight="1">
      <c r="A27" s="3275"/>
      <c r="B27" s="3275"/>
      <c r="C27" s="882" t="s">
        <v>576</v>
      </c>
      <c r="D27" s="883"/>
      <c r="E27" s="881">
        <v>0.9</v>
      </c>
      <c r="F27" s="884" t="s">
        <v>577</v>
      </c>
      <c r="G27" s="885"/>
      <c r="H27" s="877"/>
      <c r="I27" s="877"/>
    </row>
    <row r="28" spans="1:9" s="886" customFormat="1" ht="19.5" customHeight="1">
      <c r="A28" s="3275"/>
      <c r="B28" s="3275"/>
      <c r="C28" s="882" t="s">
        <v>578</v>
      </c>
      <c r="D28" s="883"/>
      <c r="E28" s="881">
        <v>0.9</v>
      </c>
      <c r="F28" s="884" t="s">
        <v>579</v>
      </c>
      <c r="G28" s="885"/>
      <c r="H28" s="877"/>
      <c r="I28" s="877"/>
    </row>
    <row r="29" spans="1:9" s="886" customFormat="1" ht="19.5" customHeight="1">
      <c r="A29" s="3275"/>
      <c r="B29" s="3275"/>
      <c r="C29" s="882" t="s">
        <v>580</v>
      </c>
      <c r="D29" s="883"/>
      <c r="E29" s="881">
        <v>0.9</v>
      </c>
      <c r="F29" s="884" t="s">
        <v>581</v>
      </c>
      <c r="G29" s="885"/>
      <c r="H29" s="877"/>
      <c r="I29" s="877"/>
    </row>
    <row r="30" spans="1:9" s="886" customFormat="1" ht="19.5" customHeight="1">
      <c r="A30" s="3275"/>
      <c r="B30" s="3275"/>
      <c r="C30" s="882" t="s">
        <v>582</v>
      </c>
      <c r="D30" s="883"/>
      <c r="E30" s="881">
        <v>0.9</v>
      </c>
      <c r="F30" s="884" t="s">
        <v>583</v>
      </c>
      <c r="G30" s="885"/>
      <c r="H30" s="877"/>
      <c r="I30" s="877"/>
    </row>
    <row r="31" spans="1:9" s="886" customFormat="1" ht="19.5" customHeight="1">
      <c r="A31" s="3275"/>
      <c r="B31" s="3275"/>
      <c r="C31" s="882" t="s">
        <v>584</v>
      </c>
      <c r="D31" s="883"/>
      <c r="E31" s="881">
        <v>0.8</v>
      </c>
      <c r="F31" s="884" t="s">
        <v>585</v>
      </c>
      <c r="G31" s="885"/>
      <c r="H31" s="877"/>
      <c r="I31" s="877"/>
    </row>
    <row r="32" spans="1:9" s="886" customFormat="1" ht="19.5" customHeight="1">
      <c r="A32" s="3275"/>
      <c r="B32" s="3275"/>
      <c r="C32" s="882" t="s">
        <v>586</v>
      </c>
      <c r="D32" s="883"/>
      <c r="E32" s="881">
        <v>0.8</v>
      </c>
      <c r="F32" s="884" t="s">
        <v>587</v>
      </c>
      <c r="G32" s="885"/>
      <c r="H32" s="877"/>
      <c r="I32" s="877"/>
    </row>
    <row r="33" spans="1:9" s="886" customFormat="1" ht="19.5" customHeight="1">
      <c r="A33" s="3275" t="s">
        <v>185</v>
      </c>
      <c r="B33" s="881" t="s">
        <v>560</v>
      </c>
      <c r="C33" s="882" t="s">
        <v>588</v>
      </c>
      <c r="D33" s="883"/>
      <c r="E33" s="881">
        <v>1</v>
      </c>
      <c r="F33" s="884" t="s">
        <v>589</v>
      </c>
      <c r="G33" s="885"/>
      <c r="H33" s="877"/>
      <c r="I33" s="877"/>
    </row>
    <row r="34" spans="1:9" s="886" customFormat="1" ht="19.5" customHeight="1">
      <c r="A34" s="3275"/>
      <c r="B34" s="881" t="s">
        <v>563</v>
      </c>
      <c r="C34" s="882" t="s">
        <v>590</v>
      </c>
      <c r="D34" s="883"/>
      <c r="E34" s="881">
        <v>1.5</v>
      </c>
      <c r="F34" s="884" t="s">
        <v>591</v>
      </c>
      <c r="G34" s="885"/>
      <c r="H34" s="877"/>
      <c r="I34" s="877"/>
    </row>
    <row r="35" spans="1:9" s="886" customFormat="1" ht="19.5" customHeight="1">
      <c r="A35" s="3275" t="s">
        <v>186</v>
      </c>
      <c r="B35" s="881" t="s">
        <v>560</v>
      </c>
      <c r="C35" s="882" t="s">
        <v>592</v>
      </c>
      <c r="D35" s="883"/>
      <c r="E35" s="881">
        <v>1</v>
      </c>
      <c r="F35" s="884" t="s">
        <v>593</v>
      </c>
      <c r="G35" s="885"/>
      <c r="H35" s="877"/>
      <c r="I35" s="877"/>
    </row>
    <row r="36" spans="1:9" s="886" customFormat="1" ht="19.5" customHeight="1">
      <c r="A36" s="3275"/>
      <c r="B36" s="3275" t="s">
        <v>563</v>
      </c>
      <c r="C36" s="882" t="s">
        <v>594</v>
      </c>
      <c r="D36" s="883"/>
      <c r="E36" s="881">
        <v>1</v>
      </c>
      <c r="F36" s="884" t="s">
        <v>595</v>
      </c>
      <c r="G36" s="885"/>
      <c r="H36" s="877"/>
      <c r="I36" s="877"/>
    </row>
    <row r="37" spans="1:9" s="886" customFormat="1" ht="19.5" customHeight="1">
      <c r="A37" s="3275"/>
      <c r="B37" s="3275"/>
      <c r="C37" s="882" t="s">
        <v>596</v>
      </c>
      <c r="D37" s="883"/>
      <c r="E37" s="881">
        <v>1.5</v>
      </c>
      <c r="F37" s="884" t="s">
        <v>597</v>
      </c>
      <c r="G37" s="885"/>
      <c r="H37" s="877"/>
      <c r="I37" s="877"/>
    </row>
    <row r="38" spans="1:9" s="886" customFormat="1" ht="19.5" customHeight="1">
      <c r="A38" s="3275"/>
      <c r="B38" s="3275"/>
      <c r="C38" s="882" t="s">
        <v>598</v>
      </c>
      <c r="D38" s="883"/>
      <c r="E38" s="881">
        <v>1</v>
      </c>
      <c r="F38" s="884" t="s">
        <v>599</v>
      </c>
      <c r="G38" s="885"/>
      <c r="H38" s="877"/>
      <c r="I38" s="877"/>
    </row>
    <row r="39" spans="1:9" s="886" customFormat="1" ht="19.5" customHeight="1">
      <c r="A39" s="3275"/>
      <c r="B39" s="327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5" t="s">
        <v>614</v>
      </c>
      <c r="C61" s="817" t="s">
        <v>615</v>
      </c>
      <c r="D61" s="817" t="s">
        <v>616</v>
      </c>
      <c r="E61" s="894">
        <v>0.5</v>
      </c>
      <c r="F61" s="881">
        <v>80</v>
      </c>
    </row>
    <row r="62" spans="1:8" s="877" customFormat="1" ht="24">
      <c r="A62" s="881">
        <v>2</v>
      </c>
      <c r="B62" s="3275"/>
      <c r="C62" s="817" t="s">
        <v>617</v>
      </c>
      <c r="D62" s="817" t="s">
        <v>618</v>
      </c>
      <c r="E62" s="894">
        <v>0.5</v>
      </c>
      <c r="F62" s="881">
        <v>80</v>
      </c>
    </row>
    <row r="63" spans="1:8" s="877" customFormat="1" ht="36">
      <c r="A63" s="881">
        <v>3</v>
      </c>
      <c r="B63" s="3275"/>
      <c r="C63" s="817" t="s">
        <v>619</v>
      </c>
      <c r="D63" s="817" t="s">
        <v>620</v>
      </c>
      <c r="E63" s="894">
        <v>0.5</v>
      </c>
      <c r="F63" s="881">
        <v>80</v>
      </c>
    </row>
    <row r="64" spans="1:8" s="877" customFormat="1" ht="36">
      <c r="A64" s="881">
        <v>4</v>
      </c>
      <c r="B64" s="3275"/>
      <c r="C64" s="817" t="s">
        <v>621</v>
      </c>
      <c r="D64" s="817" t="s">
        <v>622</v>
      </c>
      <c r="E64" s="894">
        <v>0.4</v>
      </c>
      <c r="F64" s="881">
        <v>60</v>
      </c>
    </row>
    <row r="65" spans="1:6" s="877" customFormat="1" ht="36">
      <c r="A65" s="881">
        <v>5</v>
      </c>
      <c r="B65" s="3275"/>
      <c r="C65" s="817" t="s">
        <v>623</v>
      </c>
      <c r="D65" s="817" t="s">
        <v>624</v>
      </c>
      <c r="E65" s="894">
        <v>0.2</v>
      </c>
      <c r="F65" s="881">
        <v>30</v>
      </c>
    </row>
    <row r="66" spans="1:6" s="877" customFormat="1" ht="36">
      <c r="A66" s="881">
        <v>6</v>
      </c>
      <c r="B66" s="3275"/>
      <c r="C66" s="817" t="s">
        <v>625</v>
      </c>
      <c r="D66" s="817" t="s">
        <v>626</v>
      </c>
      <c r="E66" s="894">
        <v>0.3</v>
      </c>
      <c r="F66" s="881">
        <v>50</v>
      </c>
    </row>
    <row r="67" spans="1:6" s="877" customFormat="1" ht="36">
      <c r="A67" s="881">
        <v>7</v>
      </c>
      <c r="B67" s="3275"/>
      <c r="C67" s="817" t="s">
        <v>627</v>
      </c>
      <c r="D67" s="817" t="s">
        <v>628</v>
      </c>
      <c r="E67" s="894">
        <v>0.2</v>
      </c>
      <c r="F67" s="881">
        <v>30</v>
      </c>
    </row>
    <row r="68" spans="1:6" s="877" customFormat="1" ht="36">
      <c r="A68" s="881">
        <v>8</v>
      </c>
      <c r="B68" s="3275"/>
      <c r="C68" s="817" t="s">
        <v>629</v>
      </c>
      <c r="D68" s="817" t="s">
        <v>630</v>
      </c>
      <c r="E68" s="894">
        <v>0.2</v>
      </c>
      <c r="F68" s="881">
        <v>30</v>
      </c>
    </row>
    <row r="69" spans="1:6" s="877" customFormat="1" ht="36">
      <c r="A69" s="881">
        <v>9</v>
      </c>
      <c r="B69" s="3275"/>
      <c r="C69" s="817" t="s">
        <v>631</v>
      </c>
      <c r="D69" s="817" t="s">
        <v>632</v>
      </c>
      <c r="E69" s="894">
        <v>0.2</v>
      </c>
      <c r="F69" s="881">
        <v>30</v>
      </c>
    </row>
    <row r="70" spans="1:6" s="877" customFormat="1" ht="48">
      <c r="A70" s="881">
        <v>10</v>
      </c>
      <c r="B70" s="3275"/>
      <c r="C70" s="817" t="s">
        <v>633</v>
      </c>
      <c r="D70" s="817" t="s">
        <v>634</v>
      </c>
      <c r="E70" s="894">
        <v>0.2</v>
      </c>
      <c r="F70" s="881">
        <v>30</v>
      </c>
    </row>
    <row r="71" spans="1:6" s="877" customFormat="1" ht="48">
      <c r="A71" s="881">
        <v>11</v>
      </c>
      <c r="B71" s="3275"/>
      <c r="C71" s="817" t="s">
        <v>635</v>
      </c>
      <c r="D71" s="817" t="s">
        <v>636</v>
      </c>
      <c r="E71" s="894">
        <v>0.2</v>
      </c>
      <c r="F71" s="881">
        <v>30</v>
      </c>
    </row>
    <row r="72" spans="1:6" s="877" customFormat="1" ht="36">
      <c r="A72" s="881">
        <v>12</v>
      </c>
      <c r="B72" s="3275"/>
      <c r="C72" s="817" t="s">
        <v>637</v>
      </c>
      <c r="D72" s="817" t="s">
        <v>638</v>
      </c>
      <c r="E72" s="894">
        <v>0.5</v>
      </c>
      <c r="F72" s="881">
        <v>80</v>
      </c>
    </row>
    <row r="73" spans="1:6" s="877" customFormat="1" ht="24">
      <c r="A73" s="881">
        <v>13</v>
      </c>
      <c r="B73" s="3275"/>
      <c r="C73" s="817" t="s">
        <v>639</v>
      </c>
      <c r="D73" s="817" t="s">
        <v>640</v>
      </c>
      <c r="E73" s="894">
        <v>0.4</v>
      </c>
      <c r="F73" s="881">
        <v>60</v>
      </c>
    </row>
    <row r="74" spans="1:6" s="877" customFormat="1" ht="24">
      <c r="A74" s="881">
        <v>14</v>
      </c>
      <c r="B74" s="3275"/>
      <c r="C74" s="817" t="s">
        <v>641</v>
      </c>
      <c r="D74" s="817" t="s">
        <v>642</v>
      </c>
      <c r="E74" s="894">
        <v>0.2</v>
      </c>
      <c r="F74" s="881">
        <v>30</v>
      </c>
    </row>
    <row r="75" spans="1:6" s="877" customFormat="1" ht="24">
      <c r="A75" s="881">
        <v>15</v>
      </c>
      <c r="B75" s="3275"/>
      <c r="C75" s="817" t="s">
        <v>643</v>
      </c>
      <c r="D75" s="817" t="s">
        <v>644</v>
      </c>
      <c r="E75" s="894">
        <v>0.2</v>
      </c>
      <c r="F75" s="881">
        <v>30</v>
      </c>
    </row>
    <row r="76" spans="1:6" s="877" customFormat="1" ht="24">
      <c r="A76" s="881">
        <v>16</v>
      </c>
      <c r="B76" s="3275" t="s">
        <v>645</v>
      </c>
      <c r="C76" s="817" t="s">
        <v>646</v>
      </c>
      <c r="D76" s="817" t="s">
        <v>647</v>
      </c>
      <c r="E76" s="894">
        <v>0.5</v>
      </c>
      <c r="F76" s="881">
        <v>80</v>
      </c>
    </row>
    <row r="77" spans="1:6" s="877" customFormat="1" ht="24">
      <c r="A77" s="881">
        <v>17</v>
      </c>
      <c r="B77" s="3275"/>
      <c r="C77" s="817" t="s">
        <v>648</v>
      </c>
      <c r="D77" s="817" t="s">
        <v>649</v>
      </c>
      <c r="E77" s="894">
        <v>0.5</v>
      </c>
      <c r="F77" s="881">
        <v>80</v>
      </c>
    </row>
    <row r="78" spans="1:6" s="877" customFormat="1" ht="24">
      <c r="A78" s="881">
        <v>18</v>
      </c>
      <c r="B78" s="3275"/>
      <c r="C78" s="817" t="s">
        <v>650</v>
      </c>
      <c r="D78" s="817" t="s">
        <v>651</v>
      </c>
      <c r="E78" s="894">
        <v>0.2</v>
      </c>
      <c r="F78" s="881">
        <v>30</v>
      </c>
    </row>
    <row r="79" spans="1:6" s="877" customFormat="1" ht="24">
      <c r="A79" s="881">
        <v>19</v>
      </c>
      <c r="B79" s="3275"/>
      <c r="C79" s="817" t="s">
        <v>652</v>
      </c>
      <c r="D79" s="817" t="s">
        <v>653</v>
      </c>
      <c r="E79" s="894">
        <v>0.5</v>
      </c>
      <c r="F79" s="881">
        <v>80</v>
      </c>
    </row>
    <row r="80" spans="1:6" s="877" customFormat="1" ht="36">
      <c r="A80" s="881">
        <v>20</v>
      </c>
      <c r="B80" s="3275"/>
      <c r="C80" s="817" t="s">
        <v>654</v>
      </c>
      <c r="D80" s="817" t="s">
        <v>655</v>
      </c>
      <c r="E80" s="894">
        <v>0.2</v>
      </c>
      <c r="F80" s="881">
        <v>30</v>
      </c>
    </row>
    <row r="81" spans="1:6" s="877" customFormat="1" ht="36">
      <c r="A81" s="881">
        <v>21</v>
      </c>
      <c r="B81" s="3275"/>
      <c r="C81" s="817" t="s">
        <v>656</v>
      </c>
      <c r="D81" s="817" t="s">
        <v>657</v>
      </c>
      <c r="E81" s="894">
        <v>0.2</v>
      </c>
      <c r="F81" s="881">
        <v>30</v>
      </c>
    </row>
    <row r="82" spans="1:6" s="877" customFormat="1" ht="48">
      <c r="A82" s="881">
        <v>22</v>
      </c>
      <c r="B82" s="3275"/>
      <c r="C82" s="817" t="s">
        <v>658</v>
      </c>
      <c r="D82" s="817" t="s">
        <v>659</v>
      </c>
      <c r="E82" s="894">
        <v>0.2</v>
      </c>
      <c r="F82" s="881">
        <v>30</v>
      </c>
    </row>
    <row r="83" spans="1:6" s="877" customFormat="1" ht="48">
      <c r="A83" s="881">
        <v>23</v>
      </c>
      <c r="B83" s="3275"/>
      <c r="C83" s="817" t="s">
        <v>660</v>
      </c>
      <c r="D83" s="817" t="s">
        <v>661</v>
      </c>
      <c r="E83" s="894">
        <v>0.2</v>
      </c>
      <c r="F83" s="881">
        <v>30</v>
      </c>
    </row>
    <row r="84" spans="1:6" s="877" customFormat="1" ht="36">
      <c r="A84" s="881">
        <v>24</v>
      </c>
      <c r="B84" s="3275"/>
      <c r="C84" s="817" t="s">
        <v>662</v>
      </c>
      <c r="D84" s="817" t="s">
        <v>663</v>
      </c>
      <c r="E84" s="894">
        <v>0.2</v>
      </c>
      <c r="F84" s="881">
        <v>30</v>
      </c>
    </row>
    <row r="85" spans="1:6" s="877" customFormat="1" ht="36">
      <c r="A85" s="881">
        <v>25</v>
      </c>
      <c r="B85" s="3275"/>
      <c r="C85" s="817" t="s">
        <v>664</v>
      </c>
      <c r="D85" s="817" t="s">
        <v>665</v>
      </c>
      <c r="E85" s="894">
        <v>0.5</v>
      </c>
      <c r="F85" s="881">
        <v>80</v>
      </c>
    </row>
    <row r="86" spans="1:6" s="877" customFormat="1" ht="36">
      <c r="A86" s="881">
        <v>26</v>
      </c>
      <c r="B86" s="3275"/>
      <c r="C86" s="817" t="s">
        <v>666</v>
      </c>
      <c r="D86" s="817" t="s">
        <v>667</v>
      </c>
      <c r="E86" s="894">
        <v>0.2</v>
      </c>
      <c r="F86" s="881">
        <v>30</v>
      </c>
    </row>
    <row r="87" spans="1:6" s="877" customFormat="1" ht="36">
      <c r="A87" s="881">
        <v>27</v>
      </c>
      <c r="B87" s="3275"/>
      <c r="C87" s="817" t="s">
        <v>668</v>
      </c>
      <c r="D87" s="817" t="s">
        <v>669</v>
      </c>
      <c r="E87" s="894">
        <v>0.2</v>
      </c>
      <c r="F87" s="881">
        <v>30</v>
      </c>
    </row>
    <row r="88" spans="1:6" s="877" customFormat="1" ht="36">
      <c r="A88" s="881">
        <v>28</v>
      </c>
      <c r="B88" s="3275"/>
      <c r="C88" s="817" t="s">
        <v>670</v>
      </c>
      <c r="D88" s="817" t="s">
        <v>671</v>
      </c>
      <c r="E88" s="894">
        <v>0.2</v>
      </c>
      <c r="F88" s="881">
        <v>30</v>
      </c>
    </row>
    <row r="89" spans="1:6" s="877" customFormat="1" ht="24">
      <c r="A89" s="881">
        <v>29</v>
      </c>
      <c r="B89" s="3275"/>
      <c r="C89" s="817" t="s">
        <v>672</v>
      </c>
      <c r="D89" s="817" t="s">
        <v>673</v>
      </c>
      <c r="E89" s="894">
        <v>0.2</v>
      </c>
      <c r="F89" s="881">
        <v>30</v>
      </c>
    </row>
    <row r="90" spans="1:6" s="877" customFormat="1" ht="24">
      <c r="A90" s="881">
        <v>30</v>
      </c>
      <c r="B90" s="3275"/>
      <c r="C90" s="817" t="s">
        <v>674</v>
      </c>
      <c r="D90" s="817" t="s">
        <v>675</v>
      </c>
      <c r="E90" s="894">
        <v>0.2</v>
      </c>
      <c r="F90" s="881">
        <v>30</v>
      </c>
    </row>
    <row r="91" spans="1:6" s="877" customFormat="1" ht="36">
      <c r="A91" s="881">
        <v>31</v>
      </c>
      <c r="B91" s="3275"/>
      <c r="C91" s="817" t="s">
        <v>676</v>
      </c>
      <c r="D91" s="817" t="s">
        <v>677</v>
      </c>
      <c r="E91" s="894">
        <v>0.2</v>
      </c>
      <c r="F91" s="881">
        <v>30</v>
      </c>
    </row>
    <row r="92" spans="1:6" s="877" customFormat="1" ht="24">
      <c r="A92" s="881">
        <v>32</v>
      </c>
      <c r="B92" s="3275" t="s">
        <v>678</v>
      </c>
      <c r="C92" s="881" t="s">
        <v>679</v>
      </c>
      <c r="D92" s="817" t="s">
        <v>680</v>
      </c>
      <c r="E92" s="894">
        <v>0.2</v>
      </c>
      <c r="F92" s="881">
        <v>30</v>
      </c>
    </row>
    <row r="93" spans="1:6" s="877" customFormat="1" ht="36">
      <c r="A93" s="881">
        <v>33</v>
      </c>
      <c r="B93" s="3275"/>
      <c r="C93" s="881" t="s">
        <v>681</v>
      </c>
      <c r="D93" s="817" t="s">
        <v>682</v>
      </c>
      <c r="E93" s="894">
        <v>0.2</v>
      </c>
      <c r="F93" s="881">
        <v>30</v>
      </c>
    </row>
    <row r="94" spans="1:6" s="877" customFormat="1" ht="48">
      <c r="A94" s="881">
        <v>34</v>
      </c>
      <c r="B94" s="3275"/>
      <c r="C94" s="881" t="s">
        <v>683</v>
      </c>
      <c r="D94" s="817" t="s">
        <v>684</v>
      </c>
      <c r="E94" s="894">
        <v>0.2</v>
      </c>
      <c r="F94" s="881">
        <v>30</v>
      </c>
    </row>
    <row r="95" spans="1:6" s="877" customFormat="1" ht="36">
      <c r="A95" s="881">
        <v>35</v>
      </c>
      <c r="B95" s="3275"/>
      <c r="C95" s="881" t="s">
        <v>685</v>
      </c>
      <c r="D95" s="817" t="s">
        <v>686</v>
      </c>
      <c r="E95" s="894">
        <v>0.2</v>
      </c>
      <c r="F95" s="881">
        <v>30</v>
      </c>
    </row>
    <row r="96" spans="1:6" s="877" customFormat="1" ht="48">
      <c r="A96" s="881">
        <v>36</v>
      </c>
      <c r="B96" s="3275"/>
      <c r="C96" s="817" t="s">
        <v>687</v>
      </c>
      <c r="D96" s="817" t="s">
        <v>688</v>
      </c>
      <c r="E96" s="894">
        <v>0.2</v>
      </c>
      <c r="F96" s="881">
        <v>30</v>
      </c>
    </row>
    <row r="97" spans="1:6" s="877" customFormat="1" ht="36">
      <c r="A97" s="881">
        <v>37</v>
      </c>
      <c r="B97" s="3275"/>
      <c r="C97" s="881" t="s">
        <v>689</v>
      </c>
      <c r="D97" s="817" t="s">
        <v>690</v>
      </c>
      <c r="E97" s="894">
        <v>0.2</v>
      </c>
      <c r="F97" s="881">
        <v>30</v>
      </c>
    </row>
    <row r="98" spans="1:6" s="877" customFormat="1" ht="36">
      <c r="A98" s="881">
        <v>38</v>
      </c>
      <c r="B98" s="3275"/>
      <c r="C98" s="881" t="s">
        <v>691</v>
      </c>
      <c r="D98" s="817" t="s">
        <v>692</v>
      </c>
      <c r="E98" s="894">
        <v>0.2</v>
      </c>
      <c r="F98" s="881">
        <v>30</v>
      </c>
    </row>
    <row r="99" spans="1:6" s="877" customFormat="1" ht="36">
      <c r="A99" s="881">
        <v>39</v>
      </c>
      <c r="B99" s="3275" t="s">
        <v>693</v>
      </c>
      <c r="C99" s="881" t="s">
        <v>694</v>
      </c>
      <c r="D99" s="817" t="s">
        <v>695</v>
      </c>
      <c r="E99" s="894">
        <v>0.3</v>
      </c>
      <c r="F99" s="881">
        <v>50</v>
      </c>
    </row>
    <row r="100" spans="1:6" s="877" customFormat="1" ht="24">
      <c r="A100" s="881">
        <v>40</v>
      </c>
      <c r="B100" s="3275"/>
      <c r="C100" s="881" t="s">
        <v>696</v>
      </c>
      <c r="D100" s="817" t="s">
        <v>697</v>
      </c>
      <c r="E100" s="894">
        <v>0.2</v>
      </c>
      <c r="F100" s="881">
        <v>30</v>
      </c>
    </row>
    <row r="101" spans="1:6" s="877" customFormat="1" ht="36">
      <c r="A101" s="881">
        <v>41</v>
      </c>
      <c r="B101" s="327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5" t="s">
        <v>708</v>
      </c>
      <c r="C105" s="881" t="s">
        <v>709</v>
      </c>
      <c r="D105" s="817" t="s">
        <v>710</v>
      </c>
      <c r="E105" s="894">
        <v>0.2</v>
      </c>
      <c r="F105" s="881">
        <v>30</v>
      </c>
    </row>
    <row r="106" spans="1:6" s="877" customFormat="1" ht="36">
      <c r="A106" s="881">
        <v>46</v>
      </c>
      <c r="B106" s="3275"/>
      <c r="C106" s="881" t="s">
        <v>711</v>
      </c>
      <c r="D106" s="817" t="s">
        <v>712</v>
      </c>
      <c r="E106" s="894">
        <v>0.2</v>
      </c>
      <c r="F106" s="881">
        <v>30</v>
      </c>
    </row>
    <row r="107" spans="1:6" s="877" customFormat="1" ht="36">
      <c r="A107" s="881">
        <v>47</v>
      </c>
      <c r="B107" s="3275" t="s">
        <v>713</v>
      </c>
      <c r="C107" s="881" t="s">
        <v>714</v>
      </c>
      <c r="D107" s="817" t="s">
        <v>715</v>
      </c>
      <c r="E107" s="894">
        <v>0.3</v>
      </c>
      <c r="F107" s="881">
        <v>50</v>
      </c>
    </row>
    <row r="108" spans="1:6" s="877" customFormat="1" ht="36">
      <c r="A108" s="881">
        <v>48</v>
      </c>
      <c r="B108" s="327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5" t="s">
        <v>724</v>
      </c>
      <c r="C111" s="881" t="s">
        <v>725</v>
      </c>
      <c r="D111" s="817" t="s">
        <v>726</v>
      </c>
      <c r="E111" s="894">
        <v>0.2</v>
      </c>
      <c r="F111" s="881">
        <v>30</v>
      </c>
    </row>
    <row r="112" spans="1:6" s="877" customFormat="1" ht="24">
      <c r="A112" s="881">
        <v>52</v>
      </c>
      <c r="B112" s="3275"/>
      <c r="C112" s="881" t="s">
        <v>727</v>
      </c>
      <c r="D112" s="817" t="s">
        <v>728</v>
      </c>
      <c r="E112" s="894">
        <v>0.2</v>
      </c>
      <c r="F112" s="881">
        <v>30</v>
      </c>
    </row>
    <row r="113" spans="1:6" s="877" customFormat="1" ht="24">
      <c r="A113" s="881">
        <v>53</v>
      </c>
      <c r="B113" s="327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5" t="s">
        <v>737</v>
      </c>
      <c r="C116" s="881" t="s">
        <v>738</v>
      </c>
      <c r="D116" s="817" t="s">
        <v>739</v>
      </c>
      <c r="E116" s="894">
        <v>0.2</v>
      </c>
      <c r="F116" s="881">
        <v>30</v>
      </c>
    </row>
    <row r="117" spans="1:6" ht="36">
      <c r="A117" s="881">
        <v>57</v>
      </c>
      <c r="B117" s="327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2999</v>
      </c>
    </row>
    <row r="2" spans="1:5" ht="15.75">
      <c r="A2" s="2911" t="s">
        <v>2991</v>
      </c>
      <c r="B2" s="2912" t="e">
        <f ca="1">SUMIF(B6:B13,"&lt;&gt;#ref!",B6:B13)</f>
        <v>#DIV/0!</v>
      </c>
      <c r="C2" s="2911" t="s">
        <v>2992</v>
      </c>
      <c r="D2" s="2911" t="s">
        <v>2993</v>
      </c>
      <c r="E2" s="2912">
        <f ca="1">SUMIF(E6:E13,"&lt;&gt;#ref!",E6:E13)</f>
        <v>0</v>
      </c>
    </row>
    <row r="3" spans="1:5" ht="15.75">
      <c r="A3" s="2911" t="s">
        <v>2994</v>
      </c>
      <c r="B3" s="2912" t="e">
        <f ca="1">ROUND(B2*10000/E2,0)</f>
        <v>#DIV/0!</v>
      </c>
      <c r="C3" s="2911" t="s">
        <v>3000</v>
      </c>
      <c r="D3" s="2913"/>
      <c r="E3" s="2913"/>
    </row>
    <row r="4" spans="1:5" ht="15.75">
      <c r="A4" s="2914"/>
      <c r="B4" s="2913"/>
      <c r="C4" s="2913"/>
      <c r="D4" s="2913"/>
      <c r="E4" s="2913"/>
    </row>
    <row r="5" spans="1:5" ht="28.5">
      <c r="A5" s="2915" t="s">
        <v>2995</v>
      </c>
      <c r="B5" s="2911" t="s">
        <v>2996</v>
      </c>
      <c r="C5" s="2912"/>
      <c r="D5" s="2913"/>
      <c r="E5" s="2911" t="s">
        <v>2997</v>
      </c>
    </row>
    <row r="6" spans="1:5" ht="15.75">
      <c r="A6" s="2916" t="s">
        <v>2998</v>
      </c>
      <c r="B6" s="2912" t="e">
        <f ca="1">SUMIF(INDIRECT("'"&amp;A6&amp;"'"&amp;"!A:A"),"总价",INDIRECT("'"&amp;A6&amp;"'"&amp;"!B:B"))</f>
        <v>#DIV/0!</v>
      </c>
      <c r="C6" s="2911" t="s">
        <v>2992</v>
      </c>
      <c r="D6" s="2913"/>
      <c r="E6" s="2576">
        <f ca="1">SUMIF(INDIRECT("'"&amp;A6&amp;"'"&amp;"!C:C"),"建筑面积",INDIRECT("'"&amp;A6&amp;"'"&amp;"!D:D"))</f>
        <v>0</v>
      </c>
    </row>
    <row r="7" spans="1:5" ht="15.75">
      <c r="A7" s="2916"/>
      <c r="B7" s="2912" t="e">
        <f ca="1">SUMIF(INDIRECT("'"&amp;A7&amp;"'"&amp;"!A:A"),"总价",INDIRECT("'"&amp;A7&amp;"'"&amp;"!B:B"))</f>
        <v>#REF!</v>
      </c>
      <c r="C7" s="2911" t="s">
        <v>2992</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2992</v>
      </c>
      <c r="D8" s="2913"/>
      <c r="E8" s="2576" t="e">
        <f t="shared" ca="1" si="0"/>
        <v>#REF!</v>
      </c>
    </row>
    <row r="9" spans="1:5" ht="15.75">
      <c r="A9" s="2916"/>
      <c r="B9" s="2912" t="e">
        <f t="shared" ca="1" si="1"/>
        <v>#REF!</v>
      </c>
      <c r="C9" s="2911" t="s">
        <v>2992</v>
      </c>
      <c r="D9" s="2913"/>
      <c r="E9" s="2576" t="e">
        <f t="shared" ca="1" si="0"/>
        <v>#REF!</v>
      </c>
    </row>
    <row r="10" spans="1:5" ht="15.75">
      <c r="A10" s="2916"/>
      <c r="B10" s="2912" t="e">
        <f t="shared" ca="1" si="1"/>
        <v>#REF!</v>
      </c>
      <c r="C10" s="2911" t="s">
        <v>2992</v>
      </c>
      <c r="D10" s="2913"/>
      <c r="E10" s="2576" t="e">
        <f t="shared" ca="1" si="0"/>
        <v>#REF!</v>
      </c>
    </row>
    <row r="11" spans="1:5" ht="15.75">
      <c r="A11" s="2916"/>
      <c r="B11" s="2912" t="e">
        <f t="shared" ca="1" si="1"/>
        <v>#REF!</v>
      </c>
      <c r="C11" s="2911" t="s">
        <v>2992</v>
      </c>
      <c r="D11" s="2913"/>
      <c r="E11" s="2576" t="e">
        <f t="shared" ca="1" si="0"/>
        <v>#REF!</v>
      </c>
    </row>
    <row r="12" spans="1:5" ht="15.75">
      <c r="A12" s="2916"/>
      <c r="B12" s="2912" t="e">
        <f t="shared" ca="1" si="1"/>
        <v>#REF!</v>
      </c>
      <c r="C12" s="2911" t="s">
        <v>2992</v>
      </c>
      <c r="D12" s="2913"/>
      <c r="E12" s="2576" t="e">
        <f t="shared" ca="1" si="0"/>
        <v>#REF!</v>
      </c>
    </row>
    <row r="13" spans="1:5" ht="15.75">
      <c r="A13" s="2916"/>
      <c r="B13" s="2912" t="e">
        <f t="shared" ca="1" si="1"/>
        <v>#REF!</v>
      </c>
      <c r="C13" s="2911" t="s">
        <v>2992</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7"/>
  <sheetViews>
    <sheetView zoomScale="80" zoomScaleNormal="80" workbookViewId="0">
      <selection activeCell="W30" sqref="W30"/>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1" t="s">
        <v>1146</v>
      </c>
      <c r="C1" s="3281"/>
      <c r="D1" s="3281"/>
      <c r="E1" s="3281"/>
      <c r="F1" s="3281"/>
      <c r="G1" s="3277" t="s">
        <v>1147</v>
      </c>
      <c r="H1" s="3277"/>
      <c r="I1" s="3277"/>
      <c r="J1" s="3277"/>
      <c r="K1" s="3277"/>
      <c r="L1" s="3277"/>
      <c r="N1" s="3277" t="s">
        <v>1148</v>
      </c>
      <c r="O1" s="3277"/>
      <c r="P1" s="3277"/>
      <c r="Q1" s="3277"/>
      <c r="R1" s="1448"/>
      <c r="S1" s="3277" t="s">
        <v>1149</v>
      </c>
      <c r="T1" s="3277"/>
      <c r="U1" s="3277"/>
      <c r="V1" s="3277"/>
      <c r="X1" s="3276" t="s">
        <v>1150</v>
      </c>
      <c r="Y1" s="3277"/>
      <c r="Z1" s="3277"/>
      <c r="AA1" s="3277"/>
      <c r="AB1" s="3277"/>
      <c r="AD1" s="3276" t="s">
        <v>1151</v>
      </c>
      <c r="AE1" s="3277"/>
      <c r="AF1" s="3277"/>
      <c r="AG1" s="3277"/>
      <c r="AH1" s="3277"/>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0" customFormat="1" ht="14.25">
      <c r="A3" s="2939" t="s">
        <v>3031</v>
      </c>
      <c r="B3" s="2931"/>
      <c r="C3" s="2931"/>
      <c r="D3" s="2932"/>
      <c r="E3" s="2932"/>
      <c r="F3" s="2931"/>
      <c r="G3" s="2933"/>
      <c r="H3" s="2934"/>
      <c r="I3" s="2935">
        <f>ROUND(AVERAGE($I4:$I24),2)</f>
        <v>2.19</v>
      </c>
      <c r="J3" s="2935">
        <f>ROUND(AVERAGE($J4:$J24),2)</f>
        <v>1.53</v>
      </c>
      <c r="K3" s="2935">
        <f>ROUND(AVERAGE($K4:$K24),2)</f>
        <v>2.41</v>
      </c>
      <c r="L3" s="2935">
        <f>ROUND(AVERAGE($L4:$L24),2)</f>
        <v>1.42</v>
      </c>
      <c r="N3" s="2933"/>
      <c r="O3" s="2936"/>
      <c r="P3" s="2936"/>
      <c r="Q3" s="2936"/>
      <c r="R3" s="2936"/>
      <c r="S3" s="2933"/>
      <c r="T3" s="2936"/>
      <c r="U3" s="2936"/>
      <c r="V3" s="2936"/>
      <c r="W3" s="2928"/>
      <c r="X3" s="2937">
        <f>ROUND(SUMPRODUCT(PRODUCT(1+N3:N$23)),4)</f>
        <v>1.4956</v>
      </c>
      <c r="Y3" s="2937">
        <f>ROUND(SUMPRODUCT(PRODUCT(1+O3:O$23)),4)</f>
        <v>1.3237000000000001</v>
      </c>
      <c r="Z3" s="2937">
        <f t="shared" ref="Z3:Z21" si="0">Y3</f>
        <v>1.3237000000000001</v>
      </c>
      <c r="AA3" s="2937">
        <f>ROUND(SUMPRODUCT(PRODUCT(1+P3:P$23)),4)</f>
        <v>1.554</v>
      </c>
      <c r="AB3" s="2937">
        <f>ROUND(SUMPRODUCT(PRODUCT(1+Q3:Q$23)),4)</f>
        <v>1.3087</v>
      </c>
      <c r="AD3" s="2938">
        <f>ROUND(AVERAGE(I3:I$24)/100,4)</f>
        <v>2.1899999999999999E-2</v>
      </c>
      <c r="AE3" s="2938">
        <f>ROUND(AVERAGE(J3:J$24)/100,4)</f>
        <v>1.5299999999999999E-2</v>
      </c>
      <c r="AF3" s="2938">
        <f t="shared" ref="AF3:AF22" si="1">AE3</f>
        <v>1.5299999999999999E-2</v>
      </c>
      <c r="AG3" s="2938">
        <f>ROUND(AVERAGE(K3:K$24)/100,4)</f>
        <v>2.41E-2</v>
      </c>
      <c r="AH3" s="2938">
        <f>ROUND(AVERAGE(L3:L$24)/100,4)</f>
        <v>1.4200000000000001E-2</v>
      </c>
    </row>
    <row r="4" spans="1:34" s="1455" customFormat="1" ht="14.25">
      <c r="B4" s="1456"/>
      <c r="C4" s="1456"/>
      <c r="D4" s="1457"/>
      <c r="E4" s="1457"/>
      <c r="F4" s="1456"/>
      <c r="G4" s="1458"/>
      <c r="H4" s="1459"/>
      <c r="I4" s="2924"/>
      <c r="J4" s="2924"/>
      <c r="K4" s="2924"/>
      <c r="L4" s="2924"/>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3038</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2">
        <v>2018</v>
      </c>
      <c r="H5" s="1732">
        <v>4</v>
      </c>
      <c r="I5" s="2925">
        <v>0</v>
      </c>
      <c r="J5" s="2925">
        <v>0</v>
      </c>
      <c r="K5" s="2925">
        <v>0</v>
      </c>
      <c r="L5" s="2925">
        <v>0</v>
      </c>
      <c r="N5" s="1469">
        <f>I5/100</f>
        <v>0</v>
      </c>
      <c r="O5" s="1469">
        <f t="shared" ref="O5" si="7">J5/100</f>
        <v>0</v>
      </c>
      <c r="P5" s="1469">
        <f t="shared" ref="P5" si="8">K5/100</f>
        <v>0</v>
      </c>
      <c r="Q5" s="1469">
        <f t="shared" ref="Q5" si="9">L5/100</f>
        <v>0</v>
      </c>
      <c r="R5" s="1734"/>
      <c r="S5" s="1735"/>
      <c r="T5" s="1734"/>
      <c r="U5" s="1734"/>
      <c r="V5" s="1734"/>
      <c r="W5" s="2929" t="s">
        <v>3032</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3039</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0"/>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3037</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0"/>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3030</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0"/>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3027</v>
      </c>
      <c r="B9" s="1471">
        <v>439</v>
      </c>
      <c r="C9" s="1471">
        <v>327</v>
      </c>
      <c r="D9" s="1471">
        <f>C9</f>
        <v>327</v>
      </c>
      <c r="E9" s="1471">
        <v>627</v>
      </c>
      <c r="F9" s="1472">
        <v>283</v>
      </c>
      <c r="G9" s="2927">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3028</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3"/>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22"/>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1157</v>
      </c>
      <c r="B12" s="1479">
        <f>B13*(1+N12)</f>
        <v>405.524</v>
      </c>
      <c r="C12" s="1479">
        <f>C13*(1+O12)</f>
        <v>307.79840000000002</v>
      </c>
      <c r="D12" s="1479">
        <f>C12</f>
        <v>307.79840000000002</v>
      </c>
      <c r="E12" s="1479">
        <f>E13*(1+P12)</f>
        <v>574.67759999999998</v>
      </c>
      <c r="F12" s="1479">
        <f>F13*(1+Q12)</f>
        <v>270.20280000000002</v>
      </c>
      <c r="G12" s="2923"/>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82">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79"/>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79"/>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80"/>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78">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79"/>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79"/>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80"/>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78">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79"/>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79"/>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80"/>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1159</v>
      </c>
      <c r="B25" s="1471">
        <v>299</v>
      </c>
      <c r="C25" s="1471">
        <v>252</v>
      </c>
      <c r="D25" s="1471">
        <f t="shared" si="64"/>
        <v>252</v>
      </c>
      <c r="E25" s="1471">
        <v>409</v>
      </c>
      <c r="F25" s="1472">
        <v>227</v>
      </c>
      <c r="G25" s="3283">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84"/>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84"/>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85"/>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1163</v>
      </c>
      <c r="B29" s="1513">
        <v>278</v>
      </c>
      <c r="C29" s="1513">
        <v>234</v>
      </c>
      <c r="D29" s="1513">
        <f t="shared" si="64"/>
        <v>234</v>
      </c>
      <c r="E29" s="1513">
        <v>379</v>
      </c>
      <c r="F29" s="1514">
        <v>220</v>
      </c>
      <c r="G29" s="3278">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79"/>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79"/>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1166</v>
      </c>
      <c r="B32" s="1479">
        <f>B31/(1+N31)</f>
        <v>275.19025476197027</v>
      </c>
      <c r="C32" s="1515">
        <v>232</v>
      </c>
      <c r="D32" s="1515">
        <f t="shared" si="64"/>
        <v>232</v>
      </c>
      <c r="E32" s="1479">
        <f t="shared" si="75"/>
        <v>375.65990977608692</v>
      </c>
      <c r="F32" s="1479">
        <f t="shared" si="75"/>
        <v>214.12518283971252</v>
      </c>
      <c r="G32" s="3280"/>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1167</v>
      </c>
      <c r="B33" s="1471">
        <v>275</v>
      </c>
      <c r="C33" s="1471">
        <v>232</v>
      </c>
      <c r="D33" s="1471">
        <f t="shared" si="64"/>
        <v>232</v>
      </c>
      <c r="E33" s="1471">
        <v>376</v>
      </c>
      <c r="F33" s="1472">
        <v>213</v>
      </c>
      <c r="G33" s="3278">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79">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79">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80">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1171</v>
      </c>
      <c r="B37" s="1471">
        <v>269</v>
      </c>
      <c r="C37" s="1471">
        <v>221</v>
      </c>
      <c r="D37" s="1471">
        <f t="shared" si="64"/>
        <v>221</v>
      </c>
      <c r="E37" s="1471">
        <v>373</v>
      </c>
      <c r="F37" s="1472">
        <v>196</v>
      </c>
      <c r="G37" s="3278">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79">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79">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80">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1175</v>
      </c>
      <c r="B41" s="1471">
        <v>220</v>
      </c>
      <c r="C41" s="1471">
        <v>187</v>
      </c>
      <c r="D41" s="1471">
        <f t="shared" si="64"/>
        <v>187</v>
      </c>
      <c r="E41" s="1471">
        <v>301</v>
      </c>
      <c r="F41" s="1472">
        <v>168</v>
      </c>
      <c r="G41" s="3278">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79">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79">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80">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1179</v>
      </c>
      <c r="B45" s="1513">
        <v>214</v>
      </c>
      <c r="C45" s="1513">
        <v>188</v>
      </c>
      <c r="D45" s="1513">
        <f t="shared" si="64"/>
        <v>188</v>
      </c>
      <c r="E45" s="1513">
        <v>289</v>
      </c>
      <c r="F45" s="1514">
        <v>166</v>
      </c>
      <c r="G45" s="3278">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79">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79">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80">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1183</v>
      </c>
      <c r="B49" s="1471">
        <v>188</v>
      </c>
      <c r="C49" s="1471">
        <v>165</v>
      </c>
      <c r="D49" s="1471">
        <f t="shared" si="64"/>
        <v>165</v>
      </c>
      <c r="E49" s="1471">
        <v>254</v>
      </c>
      <c r="F49" s="1472">
        <v>148</v>
      </c>
      <c r="G49" s="3278">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79">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79">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80">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1187</v>
      </c>
      <c r="B53" s="1492">
        <v>159</v>
      </c>
      <c r="C53" s="1492">
        <v>141</v>
      </c>
      <c r="D53" s="1492">
        <f t="shared" si="64"/>
        <v>141</v>
      </c>
      <c r="E53" s="1492">
        <v>195</v>
      </c>
      <c r="F53" s="1493">
        <v>122</v>
      </c>
      <c r="G53" s="3278">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79">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79">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80">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1191</v>
      </c>
      <c r="B57" s="1492">
        <v>138</v>
      </c>
      <c r="C57" s="1492">
        <v>131</v>
      </c>
      <c r="D57" s="1492">
        <f t="shared" si="64"/>
        <v>131</v>
      </c>
      <c r="E57" s="1492">
        <v>155</v>
      </c>
      <c r="F57" s="1493">
        <v>114</v>
      </c>
      <c r="G57" s="3278">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79">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79">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80">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1195</v>
      </c>
      <c r="B61" s="1513">
        <v>121</v>
      </c>
      <c r="C61" s="1513">
        <v>122</v>
      </c>
      <c r="D61" s="1513">
        <f t="shared" si="64"/>
        <v>122</v>
      </c>
      <c r="E61" s="1513">
        <v>124</v>
      </c>
      <c r="F61" s="1514">
        <v>107</v>
      </c>
      <c r="G61" s="3278">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79">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79">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80">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1199</v>
      </c>
      <c r="B65" s="1534">
        <v>111</v>
      </c>
      <c r="C65" s="1534">
        <v>114</v>
      </c>
      <c r="D65" s="1534">
        <f t="shared" si="64"/>
        <v>114</v>
      </c>
      <c r="E65" s="1534">
        <v>108</v>
      </c>
      <c r="F65" s="1535">
        <v>104</v>
      </c>
      <c r="G65" s="3278">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79">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79">
        <v>2003</v>
      </c>
      <c r="H67" s="1467">
        <v>2</v>
      </c>
      <c r="I67" s="1536"/>
      <c r="J67" s="1536"/>
      <c r="K67" s="1536"/>
      <c r="L67" s="1536"/>
      <c r="X67" s="1528"/>
      <c r="Y67" s="1528"/>
      <c r="Z67" s="1528"/>
    </row>
    <row r="68" spans="1:26" ht="13.5" thickBot="1">
      <c r="A68" s="1463" t="s">
        <v>1202</v>
      </c>
      <c r="B68" s="1538">
        <f t="shared" si="100"/>
        <v>107.25</v>
      </c>
      <c r="C68" s="1538">
        <f t="shared" si="100"/>
        <v>108.75</v>
      </c>
      <c r="D68" s="1538">
        <f t="shared" si="64"/>
        <v>108.75</v>
      </c>
      <c r="E68" s="1538">
        <f t="shared" si="101"/>
        <v>105.75</v>
      </c>
      <c r="F68" s="1538">
        <f t="shared" si="101"/>
        <v>102.5</v>
      </c>
      <c r="G68" s="3280">
        <v>2003</v>
      </c>
      <c r="H68" s="1539">
        <v>1</v>
      </c>
      <c r="I68" s="1536"/>
      <c r="J68" s="1536"/>
      <c r="K68" s="1536"/>
      <c r="L68" s="1536"/>
      <c r="S68" s="1474"/>
      <c r="T68" s="1475"/>
      <c r="U68" s="1475"/>
      <c r="X68" s="1528"/>
      <c r="Y68" s="1528"/>
      <c r="Z68" s="1528"/>
    </row>
    <row r="69" spans="1:26" ht="13.5" thickBot="1">
      <c r="A69" s="1463" t="s">
        <v>1203</v>
      </c>
      <c r="B69" s="1540">
        <v>106</v>
      </c>
      <c r="C69" s="1540">
        <v>107</v>
      </c>
      <c r="D69" s="1540">
        <f t="shared" si="64"/>
        <v>107</v>
      </c>
      <c r="E69" s="1540">
        <v>105</v>
      </c>
      <c r="F69" s="1541">
        <v>102</v>
      </c>
      <c r="G69" s="3278">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79">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79">
        <v>2002</v>
      </c>
      <c r="H71" s="1467">
        <v>2</v>
      </c>
      <c r="I71" s="1536"/>
      <c r="J71" s="1536"/>
      <c r="K71" s="1536"/>
      <c r="L71" s="1536"/>
      <c r="X71" s="1528"/>
      <c r="Y71" s="1528"/>
      <c r="Z71" s="1528"/>
    </row>
    <row r="72" spans="1:26" s="1500" customFormat="1" ht="13.5" thickBot="1">
      <c r="A72" s="1496" t="s">
        <v>1206</v>
      </c>
      <c r="B72" s="1542">
        <f t="shared" si="102"/>
        <v>103</v>
      </c>
      <c r="C72" s="1542">
        <f t="shared" si="102"/>
        <v>104</v>
      </c>
      <c r="D72" s="1542">
        <f t="shared" si="64"/>
        <v>104</v>
      </c>
      <c r="E72" s="1542">
        <f t="shared" si="103"/>
        <v>103.5</v>
      </c>
      <c r="F72" s="1542">
        <f t="shared" si="103"/>
        <v>100.5</v>
      </c>
      <c r="G72" s="3280">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5"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H34" sqref="H34"/>
    </sheetView>
  </sheetViews>
  <sheetFormatPr defaultColWidth="9" defaultRowHeight="12.75"/>
  <cols>
    <col min="1" max="1" width="38.5" style="138" customWidth="1"/>
    <col min="2" max="2" width="9.25" style="27" customWidth="1"/>
    <col min="3" max="3" width="5" style="27" customWidth="1"/>
    <col min="4" max="4" width="12.125" style="27" bestFit="1" customWidth="1"/>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3001</v>
      </c>
      <c r="C1" s="3287" t="s">
        <v>3002</v>
      </c>
      <c r="D1" s="3288"/>
      <c r="E1" s="3288"/>
      <c r="F1" s="3288"/>
      <c r="G1" s="3288"/>
      <c r="H1" s="3288"/>
      <c r="I1" s="3288"/>
      <c r="J1" s="3288"/>
      <c r="K1" s="3288"/>
      <c r="L1" s="3288"/>
      <c r="M1" s="3288"/>
      <c r="N1" s="3288"/>
      <c r="O1" s="3288"/>
      <c r="P1" s="3288"/>
      <c r="Q1" s="3288"/>
      <c r="R1" s="3288"/>
      <c r="S1" s="3289"/>
      <c r="T1" s="1206" t="s">
        <v>3003</v>
      </c>
    </row>
    <row r="2" spans="1:45" s="706" customFormat="1" ht="38.25">
      <c r="A2" s="1207"/>
      <c r="B2" s="702" t="s">
        <v>3004</v>
      </c>
      <c r="C2" s="703" t="str">
        <f t="shared" ref="C2:L2" si="0">C3&amp;"(含)"&amp;"-"&amp;D3</f>
        <v>0(含)-200</v>
      </c>
      <c r="D2" s="704" t="str">
        <f t="shared" si="0"/>
        <v>200(含)-500</v>
      </c>
      <c r="E2" s="704" t="str">
        <f t="shared" si="0"/>
        <v>500(含)-1000</v>
      </c>
      <c r="F2" s="704" t="str">
        <f t="shared" si="0"/>
        <v>1000(含)-2000</v>
      </c>
      <c r="G2" s="704" t="str">
        <f t="shared" si="0"/>
        <v>2000(含)-5000</v>
      </c>
      <c r="H2" s="704" t="str">
        <f t="shared" si="0"/>
        <v>5000(含)-10000</v>
      </c>
      <c r="I2" s="704" t="str">
        <f t="shared" si="0"/>
        <v>10000(含)-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500</v>
      </c>
      <c r="F3" s="1706">
        <v>1000</v>
      </c>
      <c r="G3" s="1706">
        <v>2000</v>
      </c>
      <c r="H3" s="1706">
        <v>5000</v>
      </c>
      <c r="I3" s="1706">
        <v>10000</v>
      </c>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98</v>
      </c>
      <c r="E4" s="1213">
        <v>96</v>
      </c>
      <c r="F4" s="1213">
        <v>94</v>
      </c>
      <c r="G4" s="1213">
        <v>92</v>
      </c>
      <c r="H4" s="1213">
        <v>90</v>
      </c>
      <c r="I4" s="1213">
        <v>88</v>
      </c>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t="24">
      <c r="A5" s="1217"/>
      <c r="B5" s="2969" t="s">
        <v>3107</v>
      </c>
      <c r="C5" s="2970" t="s">
        <v>3109</v>
      </c>
      <c r="D5" s="2971" t="s">
        <v>3111</v>
      </c>
      <c r="E5" s="2971" t="s">
        <v>3112</v>
      </c>
      <c r="F5" s="1713"/>
      <c r="G5" s="1713"/>
      <c r="H5" s="1713"/>
      <c r="I5" s="1713"/>
      <c r="J5" s="1713"/>
      <c r="K5" s="1713"/>
      <c r="L5" s="1714"/>
      <c r="M5" s="1715"/>
      <c r="N5" s="1715"/>
      <c r="O5" s="1713"/>
      <c r="P5" s="1713"/>
      <c r="Q5" s="1713"/>
      <c r="R5" s="1713"/>
      <c r="S5" s="1716"/>
      <c r="T5" s="1221">
        <v>20</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80</v>
      </c>
      <c r="E6" s="1121">
        <f t="shared" ref="E6:S6" si="7">D6-$T5</f>
        <v>60</v>
      </c>
      <c r="F6" s="1717">
        <f t="shared" si="7"/>
        <v>40</v>
      </c>
      <c r="G6" s="1717">
        <f t="shared" si="7"/>
        <v>20</v>
      </c>
      <c r="H6" s="1717">
        <f t="shared" si="7"/>
        <v>0</v>
      </c>
      <c r="I6" s="1717">
        <f t="shared" si="7"/>
        <v>-20</v>
      </c>
      <c r="J6" s="1717">
        <f t="shared" si="7"/>
        <v>-40</v>
      </c>
      <c r="K6" s="1717">
        <f t="shared" si="7"/>
        <v>-60</v>
      </c>
      <c r="L6" s="1717">
        <f t="shared" si="7"/>
        <v>-80</v>
      </c>
      <c r="M6" s="1717">
        <f t="shared" si="7"/>
        <v>-100</v>
      </c>
      <c r="N6" s="1717">
        <f t="shared" si="7"/>
        <v>-120</v>
      </c>
      <c r="O6" s="1717">
        <f t="shared" si="7"/>
        <v>-140</v>
      </c>
      <c r="P6" s="1717">
        <f t="shared" si="7"/>
        <v>-160</v>
      </c>
      <c r="Q6" s="1717">
        <f t="shared" si="7"/>
        <v>-180</v>
      </c>
      <c r="R6" s="1717">
        <f t="shared" si="7"/>
        <v>-200</v>
      </c>
      <c r="S6" s="1717">
        <f t="shared" si="7"/>
        <v>-220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3005</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3006</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3007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3008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3009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7" t="s">
        <v>3010</v>
      </c>
      <c r="B17" s="2918" t="s">
        <v>3011</v>
      </c>
      <c r="C17" s="1233" t="s">
        <v>3101</v>
      </c>
      <c r="D17" s="1234" t="s">
        <v>3102</v>
      </c>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f>(100+75+65)/3</f>
        <v>80</v>
      </c>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9" t="s">
        <v>3012</v>
      </c>
      <c r="E19" s="1794"/>
      <c r="F19" s="1794"/>
      <c r="G19" s="1794"/>
      <c r="H19" s="1282"/>
      <c r="I19" s="167"/>
      <c r="J19" s="167"/>
      <c r="K19" s="167"/>
      <c r="L19" s="167"/>
      <c r="M19" s="167"/>
      <c r="N19" s="167"/>
      <c r="O19" s="167"/>
      <c r="P19" s="167"/>
      <c r="Q19" s="167"/>
      <c r="R19" s="787"/>
      <c r="S19" s="137"/>
    </row>
    <row r="20" spans="1:45" ht="16.5" thickBot="1">
      <c r="A20" s="714" t="s">
        <v>3013</v>
      </c>
      <c r="B20" s="337">
        <f ca="1">IF(D20="——",S22,S22-F20)</f>
        <v>105209</v>
      </c>
      <c r="C20" s="167"/>
      <c r="D20" s="2920" t="s">
        <v>70</v>
      </c>
      <c r="E20" s="1795"/>
      <c r="F20" s="1206" t="e">
        <f ca="1">SUMIF(INDIRECT("'"&amp;H20&amp;"'"&amp;"!A:A"),"承租人权益价值",INDIRECT("'"&amp;H20&amp;"'"&amp;"!c:c"))</f>
        <v>#REF!</v>
      </c>
      <c r="G20" s="1206" t="s">
        <v>3014</v>
      </c>
      <c r="H20" s="2921"/>
      <c r="I20" s="167"/>
      <c r="J20" s="167"/>
      <c r="K20" s="167"/>
      <c r="L20" s="167"/>
      <c r="M20" s="167"/>
      <c r="N20" s="167"/>
      <c r="O20" s="167"/>
      <c r="P20" s="167"/>
      <c r="Q20" s="167"/>
      <c r="R20" s="787"/>
      <c r="S20" s="137"/>
    </row>
    <row r="21" spans="1:45" ht="15.75">
      <c r="A21" s="714" t="s">
        <v>3015</v>
      </c>
      <c r="B21" s="337">
        <f ca="1">R22</f>
        <v>33767</v>
      </c>
      <c r="C21" s="167"/>
      <c r="D21" s="167"/>
      <c r="E21" s="167"/>
      <c r="F21" s="167"/>
      <c r="G21" s="167"/>
      <c r="H21" s="167"/>
      <c r="I21" s="167"/>
      <c r="J21" s="167"/>
      <c r="K21" s="167"/>
      <c r="L21" s="167"/>
      <c r="M21" s="167"/>
      <c r="N21" s="167"/>
      <c r="O21" s="167"/>
      <c r="P21" s="167"/>
      <c r="Q21" s="167"/>
      <c r="R21" s="787"/>
      <c r="S21" s="137"/>
    </row>
    <row r="22" spans="1:45">
      <c r="A22" s="360" t="s">
        <v>3016</v>
      </c>
      <c r="B22" s="24">
        <f>SUM(B24:B10000)</f>
        <v>31156.999999999996</v>
      </c>
      <c r="C22" s="3070" t="s">
        <v>33</v>
      </c>
      <c r="D22" s="3071"/>
      <c r="E22" s="3071"/>
      <c r="F22" s="3071"/>
      <c r="G22" s="3071"/>
      <c r="H22" s="3071"/>
      <c r="I22" s="3071"/>
      <c r="J22" s="3071"/>
      <c r="K22" s="3071"/>
      <c r="L22" s="3071"/>
      <c r="M22" s="3071"/>
      <c r="N22" s="3071"/>
      <c r="O22" s="3071"/>
      <c r="P22" s="3071"/>
      <c r="Q22" s="3286"/>
      <c r="R22" s="715">
        <f ca="1">ROUND(S22*10000/B22,0)</f>
        <v>33767</v>
      </c>
      <c r="S22" s="24">
        <f ca="1">SUM(S24:S10000)</f>
        <v>105209</v>
      </c>
    </row>
    <row r="23" spans="1:45" s="12" customFormat="1" ht="24">
      <c r="A23" s="11" t="s">
        <v>3017</v>
      </c>
      <c r="B23" s="11" t="s">
        <v>3018</v>
      </c>
      <c r="C23" s="11" t="s">
        <v>3019</v>
      </c>
      <c r="D23" s="11" t="str">
        <f>B5</f>
        <v>商业类型</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Sheet1!C3</f>
        <v>听锦路45.49.53-55（号）单</v>
      </c>
      <c r="B24" s="717">
        <f>Sheet1!E3</f>
        <v>287.93</v>
      </c>
      <c r="C24" s="718">
        <v>1</v>
      </c>
      <c r="D24" s="719" t="s">
        <v>3110</v>
      </c>
      <c r="E24" s="718">
        <v>1</v>
      </c>
      <c r="F24" s="719"/>
      <c r="G24" s="718">
        <v>1</v>
      </c>
      <c r="H24" s="719"/>
      <c r="I24" s="718">
        <v>1</v>
      </c>
      <c r="J24" s="719"/>
      <c r="K24" s="718">
        <v>1</v>
      </c>
      <c r="L24" s="719"/>
      <c r="M24" s="718">
        <v>1</v>
      </c>
      <c r="N24" s="719"/>
      <c r="O24" s="718">
        <v>1</v>
      </c>
      <c r="P24" s="719" t="s">
        <v>3104</v>
      </c>
      <c r="Q24" s="718">
        <v>1</v>
      </c>
      <c r="R24" s="720">
        <f ca="1">结果表!G20</f>
        <v>36927</v>
      </c>
      <c r="S24" s="718">
        <f t="shared" ref="S24:S54" ca="1" si="11">ROUND(R24*B24/10000,0)</f>
        <v>1063</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t="str">
        <f>Sheet1!C4</f>
        <v>听民路843-851号（单），听锦路21-27号（单）</v>
      </c>
      <c r="B25" s="58">
        <f>Sheet1!E4</f>
        <v>486.52</v>
      </c>
      <c r="C25" s="24">
        <f>IF(B25="",1,(LOOKUP(B25,$3:$3,$4:$4)-LOOKUP($B$24,$3:$3,$4:$4)+100)/100)</f>
        <v>1</v>
      </c>
      <c r="D25" s="719" t="s">
        <v>3110</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3104</v>
      </c>
      <c r="Q25" s="24">
        <f>(SUMIF($17:$17,P25,$18:$18)-SUMIF($17:$17,$P$24,$18:$18)+100)/100</f>
        <v>1</v>
      </c>
      <c r="R25" s="715">
        <f ca="1">IF(B25="",0,ROUND($R$24*C25*E25*G25*I25*K25*M25*O25*Q25,0))</f>
        <v>36927</v>
      </c>
      <c r="S25" s="360">
        <f t="shared" ca="1" si="11"/>
        <v>1797</v>
      </c>
    </row>
    <row r="26" spans="1:45">
      <c r="A26" s="158" t="str">
        <f>Sheet1!C5</f>
        <v>拱泰路42-50（号）双</v>
      </c>
      <c r="B26" s="58">
        <f>Sheet1!E5</f>
        <v>308.27</v>
      </c>
      <c r="C26" s="24">
        <f t="shared" ref="C26:C89" si="12">IF(B26="",1,(LOOKUP(B26,$3:$3,$4:$4)-LOOKUP($B$24,$3:$3,$4:$4)+100)/100)</f>
        <v>1</v>
      </c>
      <c r="D26" s="719" t="s">
        <v>3110</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3104</v>
      </c>
      <c r="Q26" s="24">
        <f t="shared" ref="Q26:Q89" si="19">(SUMIF($17:$17,P26,$18:$18)-SUMIF($17:$17,$P$24,$18:$18)+100)/100</f>
        <v>1</v>
      </c>
      <c r="R26" s="715">
        <f t="shared" ref="R26:R89" ca="1" si="20">IF(B26="",0,ROUND($R$24*C26*E26*G26*I26*K26*M26*O26*Q26,0))</f>
        <v>36927</v>
      </c>
      <c r="S26" s="360">
        <f t="shared" ca="1" si="11"/>
        <v>1138</v>
      </c>
    </row>
    <row r="27" spans="1:45">
      <c r="A27" s="158" t="str">
        <f>Sheet1!C6</f>
        <v>拱泰路60.64-68号（双）、听晓路800-808号（双）</v>
      </c>
      <c r="B27" s="58">
        <f>Sheet1!E6</f>
        <v>3877.92</v>
      </c>
      <c r="C27" s="24">
        <f t="shared" si="12"/>
        <v>0.94</v>
      </c>
      <c r="D27" s="719" t="s">
        <v>3108</v>
      </c>
      <c r="E27" s="24">
        <f t="shared" si="13"/>
        <v>1.2</v>
      </c>
      <c r="F27" s="719"/>
      <c r="G27" s="24">
        <f t="shared" si="14"/>
        <v>1</v>
      </c>
      <c r="H27" s="719"/>
      <c r="I27" s="24">
        <f t="shared" si="15"/>
        <v>1</v>
      </c>
      <c r="J27" s="719"/>
      <c r="K27" s="24">
        <f t="shared" si="16"/>
        <v>1</v>
      </c>
      <c r="L27" s="719"/>
      <c r="M27" s="24">
        <f t="shared" si="17"/>
        <v>1</v>
      </c>
      <c r="N27" s="719"/>
      <c r="O27" s="24">
        <f t="shared" si="18"/>
        <v>1</v>
      </c>
      <c r="P27" s="719" t="s">
        <v>3103</v>
      </c>
      <c r="Q27" s="24">
        <f t="shared" si="19"/>
        <v>0.8</v>
      </c>
      <c r="R27" s="715">
        <f t="shared" ca="1" si="20"/>
        <v>33323</v>
      </c>
      <c r="S27" s="360">
        <f t="shared" ca="1" si="11"/>
        <v>12922</v>
      </c>
    </row>
    <row r="28" spans="1:45">
      <c r="A28" s="158" t="str">
        <f>Sheet1!C7</f>
        <v>拱泰路20.22号</v>
      </c>
      <c r="B28" s="58">
        <f>Sheet1!E7</f>
        <v>125.89</v>
      </c>
      <c r="C28" s="24">
        <f t="shared" si="12"/>
        <v>1.02</v>
      </c>
      <c r="D28" s="719" t="s">
        <v>3110</v>
      </c>
      <c r="E28" s="24">
        <f t="shared" si="13"/>
        <v>1</v>
      </c>
      <c r="F28" s="719"/>
      <c r="G28" s="24">
        <f t="shared" si="14"/>
        <v>1</v>
      </c>
      <c r="H28" s="719"/>
      <c r="I28" s="24">
        <f t="shared" si="15"/>
        <v>1</v>
      </c>
      <c r="J28" s="719"/>
      <c r="K28" s="24">
        <f t="shared" si="16"/>
        <v>1</v>
      </c>
      <c r="L28" s="719"/>
      <c r="M28" s="24">
        <f t="shared" si="17"/>
        <v>1</v>
      </c>
      <c r="N28" s="719"/>
      <c r="O28" s="24">
        <f t="shared" si="18"/>
        <v>1</v>
      </c>
      <c r="P28" s="719" t="s">
        <v>3104</v>
      </c>
      <c r="Q28" s="24">
        <f t="shared" si="19"/>
        <v>1</v>
      </c>
      <c r="R28" s="715">
        <f t="shared" ca="1" si="20"/>
        <v>37666</v>
      </c>
      <c r="S28" s="360">
        <f t="shared" ca="1" si="11"/>
        <v>474</v>
      </c>
    </row>
    <row r="29" spans="1:45">
      <c r="A29" s="158" t="str">
        <f>Sheet1!C8</f>
        <v>听锦路67号，听晓路816-820.826.836号（双）</v>
      </c>
      <c r="B29" s="58">
        <f>Sheet1!E8</f>
        <v>4057.57</v>
      </c>
      <c r="C29" s="24">
        <f t="shared" si="12"/>
        <v>0.94</v>
      </c>
      <c r="D29" s="719" t="s">
        <v>3108</v>
      </c>
      <c r="E29" s="24">
        <f t="shared" si="13"/>
        <v>1.2</v>
      </c>
      <c r="F29" s="719"/>
      <c r="G29" s="24">
        <f t="shared" si="14"/>
        <v>1</v>
      </c>
      <c r="H29" s="719"/>
      <c r="I29" s="24">
        <f t="shared" si="15"/>
        <v>1</v>
      </c>
      <c r="J29" s="719"/>
      <c r="K29" s="24">
        <f t="shared" si="16"/>
        <v>1</v>
      </c>
      <c r="L29" s="719"/>
      <c r="M29" s="24">
        <f t="shared" si="17"/>
        <v>1</v>
      </c>
      <c r="N29" s="719"/>
      <c r="O29" s="24">
        <f t="shared" si="18"/>
        <v>1</v>
      </c>
      <c r="P29" s="719" t="s">
        <v>3103</v>
      </c>
      <c r="Q29" s="24">
        <f t="shared" si="19"/>
        <v>0.8</v>
      </c>
      <c r="R29" s="715">
        <f t="shared" ca="1" si="20"/>
        <v>33323</v>
      </c>
      <c r="S29" s="360">
        <f t="shared" ca="1" si="11"/>
        <v>13521</v>
      </c>
    </row>
    <row r="30" spans="1:45">
      <c r="A30" s="158" t="str">
        <f>Sheet1!C10</f>
        <v>听民路909-921.925单号</v>
      </c>
      <c r="B30" s="58">
        <f>Sheet1!E10</f>
        <v>391.06</v>
      </c>
      <c r="C30" s="24">
        <f t="shared" si="12"/>
        <v>1</v>
      </c>
      <c r="D30" s="719" t="s">
        <v>3110</v>
      </c>
      <c r="E30" s="24">
        <f t="shared" si="13"/>
        <v>1</v>
      </c>
      <c r="F30" s="719"/>
      <c r="G30" s="24">
        <f t="shared" si="14"/>
        <v>1</v>
      </c>
      <c r="H30" s="719"/>
      <c r="I30" s="24">
        <f t="shared" si="15"/>
        <v>1</v>
      </c>
      <c r="J30" s="719"/>
      <c r="K30" s="24">
        <f t="shared" si="16"/>
        <v>1</v>
      </c>
      <c r="L30" s="719"/>
      <c r="M30" s="24">
        <f t="shared" si="17"/>
        <v>1</v>
      </c>
      <c r="N30" s="719"/>
      <c r="O30" s="24">
        <f t="shared" si="18"/>
        <v>1</v>
      </c>
      <c r="P30" s="719" t="s">
        <v>3104</v>
      </c>
      <c r="Q30" s="24">
        <f t="shared" si="19"/>
        <v>1</v>
      </c>
      <c r="R30" s="715">
        <f t="shared" ca="1" si="20"/>
        <v>36927</v>
      </c>
      <c r="S30" s="360">
        <f t="shared" ca="1" si="11"/>
        <v>1444</v>
      </c>
    </row>
    <row r="31" spans="1:45">
      <c r="A31" s="158" t="str">
        <f>Sheet1!C11</f>
        <v>听锦路46-52号（双)</v>
      </c>
      <c r="B31" s="58">
        <f>Sheet1!E11</f>
        <v>198.69</v>
      </c>
      <c r="C31" s="24">
        <f t="shared" si="12"/>
        <v>1.02</v>
      </c>
      <c r="D31" s="719" t="s">
        <v>3110</v>
      </c>
      <c r="E31" s="24">
        <f t="shared" si="13"/>
        <v>1</v>
      </c>
      <c r="F31" s="719"/>
      <c r="G31" s="24">
        <f t="shared" si="14"/>
        <v>1</v>
      </c>
      <c r="H31" s="719"/>
      <c r="I31" s="24">
        <f t="shared" si="15"/>
        <v>1</v>
      </c>
      <c r="J31" s="719"/>
      <c r="K31" s="24">
        <f t="shared" si="16"/>
        <v>1</v>
      </c>
      <c r="L31" s="719"/>
      <c r="M31" s="24">
        <f t="shared" si="17"/>
        <v>1</v>
      </c>
      <c r="N31" s="719"/>
      <c r="O31" s="24">
        <f t="shared" si="18"/>
        <v>1</v>
      </c>
      <c r="P31" s="719" t="s">
        <v>3104</v>
      </c>
      <c r="Q31" s="24">
        <f t="shared" si="19"/>
        <v>1</v>
      </c>
      <c r="R31" s="715">
        <f t="shared" ca="1" si="20"/>
        <v>37666</v>
      </c>
      <c r="S31" s="360">
        <f t="shared" ca="1" si="11"/>
        <v>748</v>
      </c>
    </row>
    <row r="32" spans="1:45">
      <c r="A32" s="158" t="str">
        <f>Sheet1!C12</f>
        <v>听惠路921-925.929号（单）</v>
      </c>
      <c r="B32" s="58">
        <f>Sheet1!E12</f>
        <v>252.28</v>
      </c>
      <c r="C32" s="24">
        <f t="shared" si="12"/>
        <v>1</v>
      </c>
      <c r="D32" s="719" t="s">
        <v>3110</v>
      </c>
      <c r="E32" s="24">
        <f t="shared" si="13"/>
        <v>1</v>
      </c>
      <c r="F32" s="719"/>
      <c r="G32" s="24">
        <f t="shared" si="14"/>
        <v>1</v>
      </c>
      <c r="H32" s="719"/>
      <c r="I32" s="24">
        <f t="shared" si="15"/>
        <v>1</v>
      </c>
      <c r="J32" s="719"/>
      <c r="K32" s="24">
        <f t="shared" si="16"/>
        <v>1</v>
      </c>
      <c r="L32" s="719"/>
      <c r="M32" s="24">
        <f t="shared" si="17"/>
        <v>1</v>
      </c>
      <c r="N32" s="719"/>
      <c r="O32" s="24">
        <f t="shared" si="18"/>
        <v>1</v>
      </c>
      <c r="P32" s="719" t="s">
        <v>3104</v>
      </c>
      <c r="Q32" s="24">
        <f t="shared" si="19"/>
        <v>1</v>
      </c>
      <c r="R32" s="715">
        <f t="shared" ca="1" si="20"/>
        <v>36927</v>
      </c>
      <c r="S32" s="360">
        <f t="shared" ca="1" si="11"/>
        <v>932</v>
      </c>
    </row>
    <row r="33" spans="1:19">
      <c r="A33" s="158" t="str">
        <f>Sheet1!C13</f>
        <v>听锦路64.66.70.72.76号</v>
      </c>
      <c r="B33" s="58">
        <f>Sheet1!E13</f>
        <v>4563.7</v>
      </c>
      <c r="C33" s="24">
        <f t="shared" si="12"/>
        <v>0.94</v>
      </c>
      <c r="D33" s="719" t="s">
        <v>3108</v>
      </c>
      <c r="E33" s="24">
        <f t="shared" si="13"/>
        <v>1.2</v>
      </c>
      <c r="F33" s="719"/>
      <c r="G33" s="24">
        <f t="shared" si="14"/>
        <v>1</v>
      </c>
      <c r="H33" s="719"/>
      <c r="I33" s="24">
        <f t="shared" si="15"/>
        <v>1</v>
      </c>
      <c r="J33" s="719"/>
      <c r="K33" s="24">
        <f t="shared" si="16"/>
        <v>1</v>
      </c>
      <c r="L33" s="719"/>
      <c r="M33" s="24">
        <f t="shared" si="17"/>
        <v>1</v>
      </c>
      <c r="N33" s="719"/>
      <c r="O33" s="24">
        <f t="shared" si="18"/>
        <v>1</v>
      </c>
      <c r="P33" s="719" t="s">
        <v>3103</v>
      </c>
      <c r="Q33" s="24">
        <f t="shared" si="19"/>
        <v>0.8</v>
      </c>
      <c r="R33" s="715">
        <f t="shared" ca="1" si="20"/>
        <v>33323</v>
      </c>
      <c r="S33" s="360">
        <f t="shared" ca="1" si="11"/>
        <v>15208</v>
      </c>
    </row>
    <row r="34" spans="1:19">
      <c r="A34" s="158" t="str">
        <f>Sheet1!C14</f>
        <v>听锦路24-28号（双）</v>
      </c>
      <c r="B34" s="58">
        <f>Sheet1!E14</f>
        <v>169.35</v>
      </c>
      <c r="C34" s="24">
        <f t="shared" si="12"/>
        <v>1.02</v>
      </c>
      <c r="D34" s="719" t="s">
        <v>3110</v>
      </c>
      <c r="E34" s="24">
        <f t="shared" si="13"/>
        <v>1</v>
      </c>
      <c r="F34" s="719"/>
      <c r="G34" s="24">
        <f t="shared" si="14"/>
        <v>1</v>
      </c>
      <c r="H34" s="719"/>
      <c r="I34" s="24">
        <f t="shared" si="15"/>
        <v>1</v>
      </c>
      <c r="J34" s="719"/>
      <c r="K34" s="24">
        <f t="shared" si="16"/>
        <v>1</v>
      </c>
      <c r="L34" s="719"/>
      <c r="M34" s="24">
        <f t="shared" si="17"/>
        <v>1</v>
      </c>
      <c r="N34" s="719"/>
      <c r="O34" s="24">
        <f t="shared" si="18"/>
        <v>1</v>
      </c>
      <c r="P34" s="719" t="s">
        <v>3104</v>
      </c>
      <c r="Q34" s="24">
        <f t="shared" si="19"/>
        <v>1</v>
      </c>
      <c r="R34" s="715">
        <f t="shared" ca="1" si="20"/>
        <v>37666</v>
      </c>
      <c r="S34" s="360">
        <f t="shared" ca="1" si="11"/>
        <v>638</v>
      </c>
    </row>
    <row r="35" spans="1:19">
      <c r="A35" s="158" t="str">
        <f>Sheet1!C15</f>
        <v>听惠路945.945-953号（单）</v>
      </c>
      <c r="B35" s="58">
        <f>Sheet1!E15</f>
        <v>3280.14</v>
      </c>
      <c r="C35" s="24">
        <f t="shared" si="12"/>
        <v>0.94</v>
      </c>
      <c r="D35" s="719" t="s">
        <v>3108</v>
      </c>
      <c r="E35" s="24">
        <f t="shared" si="13"/>
        <v>1.2</v>
      </c>
      <c r="F35" s="719"/>
      <c r="G35" s="24">
        <f t="shared" si="14"/>
        <v>1</v>
      </c>
      <c r="H35" s="719"/>
      <c r="I35" s="24">
        <f t="shared" si="15"/>
        <v>1</v>
      </c>
      <c r="J35" s="719"/>
      <c r="K35" s="24">
        <f t="shared" si="16"/>
        <v>1</v>
      </c>
      <c r="L35" s="719"/>
      <c r="M35" s="24">
        <f t="shared" si="17"/>
        <v>1</v>
      </c>
      <c r="N35" s="719"/>
      <c r="O35" s="24">
        <f t="shared" si="18"/>
        <v>1</v>
      </c>
      <c r="P35" s="719" t="s">
        <v>3103</v>
      </c>
      <c r="Q35" s="24">
        <f t="shared" si="19"/>
        <v>0.8</v>
      </c>
      <c r="R35" s="715">
        <f t="shared" ca="1" si="20"/>
        <v>33323</v>
      </c>
      <c r="S35" s="360">
        <f t="shared" ca="1" si="11"/>
        <v>10930</v>
      </c>
    </row>
    <row r="36" spans="1:19">
      <c r="A36" s="158" t="str">
        <f>Sheet1!C17</f>
        <v>听晓路690-694.698-704号（双）</v>
      </c>
      <c r="B36" s="58">
        <f>Sheet1!E17</f>
        <v>1062.28</v>
      </c>
      <c r="C36" s="24">
        <f t="shared" si="12"/>
        <v>0.96</v>
      </c>
      <c r="D36" s="719" t="s">
        <v>3110</v>
      </c>
      <c r="E36" s="24">
        <f t="shared" si="13"/>
        <v>1</v>
      </c>
      <c r="F36" s="719"/>
      <c r="G36" s="24">
        <f t="shared" si="14"/>
        <v>1</v>
      </c>
      <c r="H36" s="719"/>
      <c r="I36" s="24">
        <f t="shared" si="15"/>
        <v>1</v>
      </c>
      <c r="J36" s="719"/>
      <c r="K36" s="24">
        <f t="shared" si="16"/>
        <v>1</v>
      </c>
      <c r="L36" s="719"/>
      <c r="M36" s="24">
        <f t="shared" si="17"/>
        <v>1</v>
      </c>
      <c r="N36" s="719"/>
      <c r="O36" s="24">
        <f t="shared" si="18"/>
        <v>1</v>
      </c>
      <c r="P36" s="719" t="s">
        <v>3104</v>
      </c>
      <c r="Q36" s="24">
        <f t="shared" si="19"/>
        <v>1</v>
      </c>
      <c r="R36" s="715">
        <f t="shared" ca="1" si="20"/>
        <v>35450</v>
      </c>
      <c r="S36" s="360">
        <f t="shared" ca="1" si="11"/>
        <v>3766</v>
      </c>
    </row>
    <row r="37" spans="1:19">
      <c r="A37" s="158" t="str">
        <f>Sheet1!C18</f>
        <v>拱泰路39-47号（单）</v>
      </c>
      <c r="B37" s="58">
        <f>Sheet1!E18</f>
        <v>779.42</v>
      </c>
      <c r="C37" s="24">
        <f t="shared" si="12"/>
        <v>0.98</v>
      </c>
      <c r="D37" s="719" t="s">
        <v>3110</v>
      </c>
      <c r="E37" s="24">
        <f t="shared" si="13"/>
        <v>1</v>
      </c>
      <c r="F37" s="719"/>
      <c r="G37" s="24">
        <f t="shared" si="14"/>
        <v>1</v>
      </c>
      <c r="H37" s="719"/>
      <c r="I37" s="24">
        <f t="shared" si="15"/>
        <v>1</v>
      </c>
      <c r="J37" s="719"/>
      <c r="K37" s="24">
        <f t="shared" si="16"/>
        <v>1</v>
      </c>
      <c r="L37" s="719"/>
      <c r="M37" s="24">
        <f t="shared" si="17"/>
        <v>1</v>
      </c>
      <c r="N37" s="719"/>
      <c r="O37" s="24">
        <f t="shared" si="18"/>
        <v>1</v>
      </c>
      <c r="P37" s="719" t="s">
        <v>3104</v>
      </c>
      <c r="Q37" s="24">
        <f t="shared" si="19"/>
        <v>1</v>
      </c>
      <c r="R37" s="715">
        <f t="shared" ca="1" si="20"/>
        <v>36188</v>
      </c>
      <c r="S37" s="360">
        <f t="shared" ca="1" si="11"/>
        <v>2821</v>
      </c>
    </row>
    <row r="38" spans="1:19">
      <c r="A38" s="158" t="str">
        <f>Sheet1!C19</f>
        <v>拱泰路1.5.9.77号</v>
      </c>
      <c r="B38" s="58">
        <f>Sheet1!E19</f>
        <v>767.82</v>
      </c>
      <c r="C38" s="24">
        <f t="shared" si="12"/>
        <v>0.98</v>
      </c>
      <c r="D38" s="719" t="s">
        <v>3110</v>
      </c>
      <c r="E38" s="24">
        <f t="shared" si="13"/>
        <v>1</v>
      </c>
      <c r="F38" s="719"/>
      <c r="G38" s="24">
        <f t="shared" si="14"/>
        <v>1</v>
      </c>
      <c r="H38" s="719"/>
      <c r="I38" s="24">
        <f t="shared" si="15"/>
        <v>1</v>
      </c>
      <c r="J38" s="719"/>
      <c r="K38" s="24">
        <f t="shared" si="16"/>
        <v>1</v>
      </c>
      <c r="L38" s="719"/>
      <c r="M38" s="24">
        <f t="shared" si="17"/>
        <v>1</v>
      </c>
      <c r="N38" s="719"/>
      <c r="O38" s="24">
        <f t="shared" si="18"/>
        <v>1</v>
      </c>
      <c r="P38" s="719" t="s">
        <v>3104</v>
      </c>
      <c r="Q38" s="24">
        <f t="shared" si="19"/>
        <v>1</v>
      </c>
      <c r="R38" s="715">
        <f t="shared" ca="1" si="20"/>
        <v>36188</v>
      </c>
      <c r="S38" s="360">
        <f t="shared" ca="1" si="11"/>
        <v>2779</v>
      </c>
    </row>
    <row r="39" spans="1:19">
      <c r="A39" s="158" t="str">
        <f>Sheet1!C20</f>
        <v>听晓路662.666号</v>
      </c>
      <c r="B39" s="58">
        <f>Sheet1!E20</f>
        <v>4363.4399999999996</v>
      </c>
      <c r="C39" s="24">
        <f t="shared" si="12"/>
        <v>0.94</v>
      </c>
      <c r="D39" s="719" t="s">
        <v>3108</v>
      </c>
      <c r="E39" s="24">
        <f t="shared" si="13"/>
        <v>1.2</v>
      </c>
      <c r="F39" s="719"/>
      <c r="G39" s="24">
        <f t="shared" si="14"/>
        <v>1</v>
      </c>
      <c r="H39" s="719"/>
      <c r="I39" s="24">
        <f t="shared" si="15"/>
        <v>1</v>
      </c>
      <c r="J39" s="719"/>
      <c r="K39" s="24">
        <f t="shared" si="16"/>
        <v>1</v>
      </c>
      <c r="L39" s="719"/>
      <c r="M39" s="24">
        <f t="shared" si="17"/>
        <v>1</v>
      </c>
      <c r="N39" s="719"/>
      <c r="O39" s="24">
        <f t="shared" si="18"/>
        <v>1</v>
      </c>
      <c r="P39" s="719" t="s">
        <v>3103</v>
      </c>
      <c r="Q39" s="24">
        <f t="shared" si="19"/>
        <v>0.8</v>
      </c>
      <c r="R39" s="715">
        <f t="shared" ca="1" si="20"/>
        <v>33323</v>
      </c>
      <c r="S39" s="360">
        <f t="shared" ca="1" si="11"/>
        <v>14540</v>
      </c>
    </row>
    <row r="40" spans="1:19">
      <c r="A40" s="158" t="str">
        <f>Sheet1!C21</f>
        <v>听晓路712.716.718.722-728（双）号</v>
      </c>
      <c r="B40" s="58">
        <f>Sheet1!E21</f>
        <v>1117.5999999999999</v>
      </c>
      <c r="C40" s="24">
        <f t="shared" si="12"/>
        <v>0.96</v>
      </c>
      <c r="D40" s="719" t="s">
        <v>3110</v>
      </c>
      <c r="E40" s="24">
        <f t="shared" si="13"/>
        <v>1</v>
      </c>
      <c r="F40" s="719"/>
      <c r="G40" s="24">
        <f t="shared" si="14"/>
        <v>1</v>
      </c>
      <c r="H40" s="719"/>
      <c r="I40" s="24">
        <f t="shared" si="15"/>
        <v>1</v>
      </c>
      <c r="J40" s="719"/>
      <c r="K40" s="24">
        <f t="shared" si="16"/>
        <v>1</v>
      </c>
      <c r="L40" s="719"/>
      <c r="M40" s="24">
        <f t="shared" si="17"/>
        <v>1</v>
      </c>
      <c r="N40" s="719"/>
      <c r="O40" s="24">
        <f t="shared" si="18"/>
        <v>1</v>
      </c>
      <c r="P40" s="719" t="s">
        <v>3104</v>
      </c>
      <c r="Q40" s="24">
        <f t="shared" si="19"/>
        <v>1</v>
      </c>
      <c r="R40" s="715">
        <f t="shared" ca="1" si="20"/>
        <v>35450</v>
      </c>
      <c r="S40" s="360">
        <f t="shared" ca="1" si="11"/>
        <v>3962</v>
      </c>
    </row>
    <row r="41" spans="1:19">
      <c r="A41" s="158" t="str">
        <f>Sheet1!C22</f>
        <v>听晓路746号，拱泰路63.69号</v>
      </c>
      <c r="B41" s="58">
        <f>Sheet1!E22</f>
        <v>5067.12</v>
      </c>
      <c r="C41" s="24">
        <f t="shared" si="12"/>
        <v>0.92</v>
      </c>
      <c r="D41" s="719" t="s">
        <v>3108</v>
      </c>
      <c r="E41" s="24">
        <f t="shared" si="13"/>
        <v>1.2</v>
      </c>
      <c r="F41" s="719"/>
      <c r="G41" s="24">
        <f t="shared" si="14"/>
        <v>1</v>
      </c>
      <c r="H41" s="719"/>
      <c r="I41" s="24">
        <f t="shared" si="15"/>
        <v>1</v>
      </c>
      <c r="J41" s="719"/>
      <c r="K41" s="24">
        <f t="shared" si="16"/>
        <v>1</v>
      </c>
      <c r="L41" s="719"/>
      <c r="M41" s="24">
        <f t="shared" si="17"/>
        <v>1</v>
      </c>
      <c r="N41" s="719"/>
      <c r="O41" s="24">
        <f t="shared" si="18"/>
        <v>1</v>
      </c>
      <c r="P41" s="719" t="s">
        <v>3103</v>
      </c>
      <c r="Q41" s="24">
        <f t="shared" si="19"/>
        <v>0.8</v>
      </c>
      <c r="R41" s="715">
        <f t="shared" ca="1" si="20"/>
        <v>32614</v>
      </c>
      <c r="S41" s="360">
        <f t="shared" ca="1" si="11"/>
        <v>16526</v>
      </c>
    </row>
    <row r="42" spans="1:19">
      <c r="A42" s="158"/>
      <c r="B42" s="58"/>
      <c r="C42" s="24">
        <f t="shared" si="12"/>
        <v>1</v>
      </c>
      <c r="D42" s="719"/>
      <c r="E42" s="24">
        <f t="shared" si="13"/>
        <v>0.2</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0">
        <f t="shared" si="11"/>
        <v>0</v>
      </c>
    </row>
    <row r="43" spans="1:19">
      <c r="A43" s="158"/>
      <c r="B43" s="58"/>
      <c r="C43" s="24">
        <f t="shared" si="12"/>
        <v>1</v>
      </c>
      <c r="D43" s="719"/>
      <c r="E43" s="24">
        <f t="shared" si="13"/>
        <v>0.2</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0">
        <f t="shared" si="11"/>
        <v>0</v>
      </c>
    </row>
    <row r="44" spans="1:19">
      <c r="A44" s="158"/>
      <c r="B44" s="58"/>
      <c r="C44" s="24">
        <f t="shared" si="12"/>
        <v>1</v>
      </c>
      <c r="D44" s="719"/>
      <c r="E44" s="24">
        <f t="shared" si="13"/>
        <v>0.2</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0">
        <f t="shared" si="11"/>
        <v>0</v>
      </c>
    </row>
    <row r="45" spans="1:19">
      <c r="A45" s="158"/>
      <c r="B45" s="58"/>
      <c r="C45" s="24">
        <f t="shared" si="12"/>
        <v>1</v>
      </c>
      <c r="D45" s="719"/>
      <c r="E45" s="24">
        <f t="shared" si="13"/>
        <v>0.2</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0">
        <f t="shared" si="11"/>
        <v>0</v>
      </c>
    </row>
    <row r="46" spans="1:19">
      <c r="A46" s="158"/>
      <c r="B46" s="58"/>
      <c r="C46" s="24">
        <f t="shared" si="12"/>
        <v>1</v>
      </c>
      <c r="D46" s="719"/>
      <c r="E46" s="24">
        <f t="shared" si="13"/>
        <v>0.2</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0">
        <f t="shared" si="11"/>
        <v>0</v>
      </c>
    </row>
    <row r="47" spans="1:19">
      <c r="A47" s="158"/>
      <c r="B47" s="58"/>
      <c r="C47" s="24">
        <f t="shared" si="12"/>
        <v>1</v>
      </c>
      <c r="D47" s="719"/>
      <c r="E47" s="24">
        <f t="shared" si="13"/>
        <v>0.2</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0">
        <f t="shared" si="11"/>
        <v>0</v>
      </c>
    </row>
    <row r="48" spans="1:19">
      <c r="A48" s="158"/>
      <c r="B48" s="58"/>
      <c r="C48" s="24">
        <f t="shared" si="12"/>
        <v>1</v>
      </c>
      <c r="D48" s="719"/>
      <c r="E48" s="24">
        <f t="shared" si="13"/>
        <v>0.2</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0">
        <f t="shared" si="11"/>
        <v>0</v>
      </c>
    </row>
    <row r="49" spans="1:19">
      <c r="A49" s="158"/>
      <c r="B49" s="58"/>
      <c r="C49" s="24">
        <f t="shared" si="12"/>
        <v>1</v>
      </c>
      <c r="D49" s="719"/>
      <c r="E49" s="24">
        <f t="shared" si="13"/>
        <v>0.2</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0">
        <f t="shared" si="11"/>
        <v>0</v>
      </c>
    </row>
    <row r="50" spans="1:19">
      <c r="A50" s="158"/>
      <c r="B50" s="58"/>
      <c r="C50" s="24">
        <f t="shared" si="12"/>
        <v>1</v>
      </c>
      <c r="D50" s="719"/>
      <c r="E50" s="24">
        <f t="shared" si="13"/>
        <v>0.2</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0">
        <f t="shared" si="11"/>
        <v>0</v>
      </c>
    </row>
    <row r="51" spans="1:19">
      <c r="A51" s="158"/>
      <c r="B51" s="58"/>
      <c r="C51" s="24">
        <f t="shared" si="12"/>
        <v>1</v>
      </c>
      <c r="D51" s="719"/>
      <c r="E51" s="24">
        <f t="shared" si="13"/>
        <v>0.2</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0">
        <f t="shared" si="11"/>
        <v>0</v>
      </c>
    </row>
    <row r="52" spans="1:19">
      <c r="A52" s="158"/>
      <c r="B52" s="58"/>
      <c r="C52" s="24">
        <f t="shared" si="12"/>
        <v>1</v>
      </c>
      <c r="D52" s="719"/>
      <c r="E52" s="24">
        <f t="shared" si="13"/>
        <v>0.2</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0">
        <f t="shared" si="11"/>
        <v>0</v>
      </c>
    </row>
    <row r="53" spans="1:19">
      <c r="A53" s="158"/>
      <c r="B53" s="58"/>
      <c r="C53" s="24">
        <f t="shared" si="12"/>
        <v>1</v>
      </c>
      <c r="D53" s="719"/>
      <c r="E53" s="24">
        <f t="shared" si="13"/>
        <v>0.2</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0">
        <f t="shared" si="11"/>
        <v>0</v>
      </c>
    </row>
    <row r="54" spans="1:19">
      <c r="A54" s="158"/>
      <c r="B54" s="58"/>
      <c r="C54" s="24">
        <f t="shared" si="12"/>
        <v>1</v>
      </c>
      <c r="D54" s="719"/>
      <c r="E54" s="24">
        <f t="shared" si="13"/>
        <v>0.2</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0">
        <f t="shared" si="11"/>
        <v>0</v>
      </c>
    </row>
    <row r="55" spans="1:19">
      <c r="A55" s="158"/>
      <c r="B55" s="58"/>
      <c r="C55" s="24">
        <f t="shared" si="12"/>
        <v>1</v>
      </c>
      <c r="D55" s="719"/>
      <c r="E55" s="24">
        <f t="shared" si="13"/>
        <v>0.2</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0">
        <f t="shared" ref="S55:S77" si="21">ROUND(R55*B55/10000,0)</f>
        <v>0</v>
      </c>
    </row>
    <row r="56" spans="1:19">
      <c r="A56" s="158"/>
      <c r="B56" s="58"/>
      <c r="C56" s="24">
        <f t="shared" si="12"/>
        <v>1</v>
      </c>
      <c r="D56" s="719"/>
      <c r="E56" s="24">
        <f t="shared" si="13"/>
        <v>0.2</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0">
        <f t="shared" si="21"/>
        <v>0</v>
      </c>
    </row>
    <row r="57" spans="1:19">
      <c r="A57" s="158"/>
      <c r="B57" s="58"/>
      <c r="C57" s="24">
        <f t="shared" si="12"/>
        <v>1</v>
      </c>
      <c r="D57" s="719"/>
      <c r="E57" s="24">
        <f t="shared" si="13"/>
        <v>0.2</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0">
        <f t="shared" si="21"/>
        <v>0</v>
      </c>
    </row>
    <row r="58" spans="1:19">
      <c r="A58" s="158"/>
      <c r="B58" s="58"/>
      <c r="C58" s="24">
        <f t="shared" si="12"/>
        <v>1</v>
      </c>
      <c r="D58" s="719"/>
      <c r="E58" s="24">
        <f t="shared" si="13"/>
        <v>0.2</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0">
        <f t="shared" si="21"/>
        <v>0</v>
      </c>
    </row>
    <row r="59" spans="1:19">
      <c r="A59" s="158"/>
      <c r="B59" s="58"/>
      <c r="C59" s="24">
        <f t="shared" si="12"/>
        <v>1</v>
      </c>
      <c r="D59" s="719"/>
      <c r="E59" s="24">
        <f t="shared" si="13"/>
        <v>0.2</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0">
        <f t="shared" si="21"/>
        <v>0</v>
      </c>
    </row>
    <row r="60" spans="1:19">
      <c r="A60" s="158"/>
      <c r="B60" s="58"/>
      <c r="C60" s="24">
        <f t="shared" si="12"/>
        <v>1</v>
      </c>
      <c r="D60" s="719"/>
      <c r="E60" s="24">
        <f t="shared" si="13"/>
        <v>0.2</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0">
        <f t="shared" si="21"/>
        <v>0</v>
      </c>
    </row>
    <row r="61" spans="1:19">
      <c r="A61" s="158"/>
      <c r="B61" s="58"/>
      <c r="C61" s="24">
        <f t="shared" si="12"/>
        <v>1</v>
      </c>
      <c r="D61" s="719"/>
      <c r="E61" s="24">
        <f t="shared" si="13"/>
        <v>0.2</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0">
        <f t="shared" si="21"/>
        <v>0</v>
      </c>
    </row>
    <row r="62" spans="1:19">
      <c r="A62" s="158"/>
      <c r="B62" s="58"/>
      <c r="C62" s="24">
        <f t="shared" si="12"/>
        <v>1</v>
      </c>
      <c r="D62" s="719"/>
      <c r="E62" s="24">
        <f t="shared" si="13"/>
        <v>0.2</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0">
        <f t="shared" si="21"/>
        <v>0</v>
      </c>
    </row>
    <row r="63" spans="1:19">
      <c r="A63" s="158"/>
      <c r="B63" s="58"/>
      <c r="C63" s="24">
        <f t="shared" si="12"/>
        <v>1</v>
      </c>
      <c r="D63" s="719"/>
      <c r="E63" s="24">
        <f t="shared" si="13"/>
        <v>0.2</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0">
        <f t="shared" si="21"/>
        <v>0</v>
      </c>
    </row>
    <row r="64" spans="1:19">
      <c r="A64" s="158"/>
      <c r="B64" s="58"/>
      <c r="C64" s="24">
        <f t="shared" si="12"/>
        <v>1</v>
      </c>
      <c r="D64" s="719"/>
      <c r="E64" s="24">
        <f t="shared" si="13"/>
        <v>0.2</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0">
        <f t="shared" si="21"/>
        <v>0</v>
      </c>
    </row>
    <row r="65" spans="1:19">
      <c r="A65" s="158"/>
      <c r="B65" s="58"/>
      <c r="C65" s="24">
        <f t="shared" si="12"/>
        <v>1</v>
      </c>
      <c r="D65" s="719"/>
      <c r="E65" s="24">
        <f t="shared" si="13"/>
        <v>0.2</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0">
        <f t="shared" si="21"/>
        <v>0</v>
      </c>
    </row>
    <row r="66" spans="1:19">
      <c r="A66" s="158"/>
      <c r="B66" s="58"/>
      <c r="C66" s="24">
        <f t="shared" si="12"/>
        <v>1</v>
      </c>
      <c r="D66" s="719"/>
      <c r="E66" s="24">
        <f t="shared" si="13"/>
        <v>0.2</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0">
        <f t="shared" si="21"/>
        <v>0</v>
      </c>
    </row>
    <row r="67" spans="1:19">
      <c r="A67" s="158"/>
      <c r="B67" s="58"/>
      <c r="C67" s="24">
        <f t="shared" si="12"/>
        <v>1</v>
      </c>
      <c r="D67" s="719"/>
      <c r="E67" s="24">
        <f t="shared" si="13"/>
        <v>0.2</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0">
        <f t="shared" si="21"/>
        <v>0</v>
      </c>
    </row>
    <row r="68" spans="1:19">
      <c r="A68" s="158"/>
      <c r="B68" s="58"/>
      <c r="C68" s="24">
        <f t="shared" si="12"/>
        <v>1</v>
      </c>
      <c r="D68" s="719"/>
      <c r="E68" s="24">
        <f t="shared" si="13"/>
        <v>0.2</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0">
        <f t="shared" si="21"/>
        <v>0</v>
      </c>
    </row>
    <row r="69" spans="1:19">
      <c r="A69" s="158"/>
      <c r="B69" s="58"/>
      <c r="C69" s="24">
        <f t="shared" si="12"/>
        <v>1</v>
      </c>
      <c r="D69" s="719"/>
      <c r="E69" s="24">
        <f t="shared" si="13"/>
        <v>0.2</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0">
        <f t="shared" si="21"/>
        <v>0</v>
      </c>
    </row>
    <row r="70" spans="1:19">
      <c r="A70" s="158"/>
      <c r="B70" s="58"/>
      <c r="C70" s="24">
        <f t="shared" si="12"/>
        <v>1</v>
      </c>
      <c r="D70" s="719"/>
      <c r="E70" s="24">
        <f t="shared" si="13"/>
        <v>0.2</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0">
        <f t="shared" si="21"/>
        <v>0</v>
      </c>
    </row>
    <row r="71" spans="1:19">
      <c r="A71" s="158"/>
      <c r="B71" s="58"/>
      <c r="C71" s="24">
        <f t="shared" si="12"/>
        <v>1</v>
      </c>
      <c r="D71" s="719"/>
      <c r="E71" s="24">
        <f t="shared" si="13"/>
        <v>0.2</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0">
        <f t="shared" si="21"/>
        <v>0</v>
      </c>
    </row>
    <row r="72" spans="1:19">
      <c r="A72" s="158"/>
      <c r="B72" s="58"/>
      <c r="C72" s="24">
        <f t="shared" si="12"/>
        <v>1</v>
      </c>
      <c r="D72" s="719"/>
      <c r="E72" s="24">
        <f t="shared" si="13"/>
        <v>0.2</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0">
        <f t="shared" si="21"/>
        <v>0</v>
      </c>
    </row>
    <row r="73" spans="1:19">
      <c r="A73" s="158"/>
      <c r="B73" s="58"/>
      <c r="C73" s="24">
        <f t="shared" si="12"/>
        <v>1</v>
      </c>
      <c r="D73" s="719"/>
      <c r="E73" s="24">
        <f t="shared" si="13"/>
        <v>0.2</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0">
        <f t="shared" si="21"/>
        <v>0</v>
      </c>
    </row>
    <row r="74" spans="1:19">
      <c r="A74" s="158"/>
      <c r="B74" s="58"/>
      <c r="C74" s="24">
        <f t="shared" si="12"/>
        <v>1</v>
      </c>
      <c r="D74" s="719"/>
      <c r="E74" s="24">
        <f t="shared" si="13"/>
        <v>0.2</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0">
        <f t="shared" si="21"/>
        <v>0</v>
      </c>
    </row>
    <row r="75" spans="1:19">
      <c r="A75" s="158"/>
      <c r="B75" s="58"/>
      <c r="C75" s="24">
        <f t="shared" si="12"/>
        <v>1</v>
      </c>
      <c r="D75" s="719"/>
      <c r="E75" s="24">
        <f t="shared" si="13"/>
        <v>0.2</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0">
        <f t="shared" si="21"/>
        <v>0</v>
      </c>
    </row>
    <row r="76" spans="1:19">
      <c r="A76" s="158"/>
      <c r="B76" s="58"/>
      <c r="C76" s="24">
        <f t="shared" si="12"/>
        <v>1</v>
      </c>
      <c r="D76" s="719"/>
      <c r="E76" s="24">
        <f t="shared" si="13"/>
        <v>0.2</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0">
        <f t="shared" si="21"/>
        <v>0</v>
      </c>
    </row>
    <row r="77" spans="1:19">
      <c r="A77" s="158"/>
      <c r="B77" s="58"/>
      <c r="C77" s="24">
        <f t="shared" si="12"/>
        <v>1</v>
      </c>
      <c r="D77" s="719"/>
      <c r="E77" s="24">
        <f t="shared" si="13"/>
        <v>0.2</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0">
        <f t="shared" si="21"/>
        <v>0</v>
      </c>
    </row>
    <row r="78" spans="1:19">
      <c r="A78" s="158"/>
      <c r="B78" s="58"/>
      <c r="C78" s="24">
        <f t="shared" si="12"/>
        <v>1</v>
      </c>
      <c r="D78" s="719"/>
      <c r="E78" s="24">
        <f t="shared" si="13"/>
        <v>0.2</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0">
        <f t="shared" ref="S78:S122" si="22">ROUND(R78*B78/10000,0)</f>
        <v>0</v>
      </c>
    </row>
    <row r="79" spans="1:19">
      <c r="A79" s="158"/>
      <c r="B79" s="58"/>
      <c r="C79" s="24">
        <f t="shared" si="12"/>
        <v>1</v>
      </c>
      <c r="D79" s="719"/>
      <c r="E79" s="24">
        <f t="shared" si="13"/>
        <v>0.2</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0">
        <f t="shared" si="22"/>
        <v>0</v>
      </c>
    </row>
    <row r="80" spans="1:19">
      <c r="A80" s="158"/>
      <c r="B80" s="58"/>
      <c r="C80" s="24">
        <f t="shared" si="12"/>
        <v>1</v>
      </c>
      <c r="D80" s="719"/>
      <c r="E80" s="24">
        <f t="shared" si="13"/>
        <v>0.2</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0">
        <f t="shared" si="22"/>
        <v>0</v>
      </c>
    </row>
    <row r="81" spans="1:19">
      <c r="A81" s="158"/>
      <c r="B81" s="58"/>
      <c r="C81" s="24">
        <f t="shared" si="12"/>
        <v>1</v>
      </c>
      <c r="D81" s="719"/>
      <c r="E81" s="24">
        <f t="shared" si="13"/>
        <v>0.2</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0">
        <f t="shared" si="22"/>
        <v>0</v>
      </c>
    </row>
    <row r="82" spans="1:19">
      <c r="A82" s="158"/>
      <c r="B82" s="58"/>
      <c r="C82" s="24">
        <f t="shared" si="12"/>
        <v>1</v>
      </c>
      <c r="D82" s="719"/>
      <c r="E82" s="24">
        <f t="shared" si="13"/>
        <v>0.2</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0">
        <f t="shared" si="22"/>
        <v>0</v>
      </c>
    </row>
    <row r="83" spans="1:19">
      <c r="A83" s="158"/>
      <c r="B83" s="58"/>
      <c r="C83" s="24">
        <f t="shared" si="12"/>
        <v>1</v>
      </c>
      <c r="D83" s="719"/>
      <c r="E83" s="24">
        <f t="shared" si="13"/>
        <v>0.2</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0">
        <f t="shared" si="22"/>
        <v>0</v>
      </c>
    </row>
    <row r="84" spans="1:19">
      <c r="A84" s="158"/>
      <c r="B84" s="58"/>
      <c r="C84" s="24">
        <f t="shared" si="12"/>
        <v>1</v>
      </c>
      <c r="D84" s="719"/>
      <c r="E84" s="24">
        <f t="shared" si="13"/>
        <v>0.2</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0">
        <f t="shared" si="22"/>
        <v>0</v>
      </c>
    </row>
    <row r="85" spans="1:19">
      <c r="A85" s="158"/>
      <c r="B85" s="58"/>
      <c r="C85" s="24">
        <f t="shared" si="12"/>
        <v>1</v>
      </c>
      <c r="D85" s="719"/>
      <c r="E85" s="24">
        <f t="shared" si="13"/>
        <v>0.2</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0">
        <f t="shared" si="22"/>
        <v>0</v>
      </c>
    </row>
    <row r="86" spans="1:19">
      <c r="A86" s="158"/>
      <c r="B86" s="58"/>
      <c r="C86" s="24">
        <f t="shared" si="12"/>
        <v>1</v>
      </c>
      <c r="D86" s="719"/>
      <c r="E86" s="24">
        <f t="shared" si="13"/>
        <v>0.2</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0">
        <f t="shared" si="22"/>
        <v>0</v>
      </c>
    </row>
    <row r="87" spans="1:19">
      <c r="A87" s="158"/>
      <c r="B87" s="58"/>
      <c r="C87" s="24">
        <f t="shared" si="12"/>
        <v>1</v>
      </c>
      <c r="D87" s="719"/>
      <c r="E87" s="24">
        <f t="shared" si="13"/>
        <v>0.2</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0">
        <f t="shared" si="22"/>
        <v>0</v>
      </c>
    </row>
    <row r="88" spans="1:19">
      <c r="A88" s="158"/>
      <c r="B88" s="58"/>
      <c r="C88" s="24">
        <f t="shared" si="12"/>
        <v>1</v>
      </c>
      <c r="D88" s="719"/>
      <c r="E88" s="24">
        <f t="shared" si="13"/>
        <v>0.2</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0">
        <f t="shared" si="22"/>
        <v>0</v>
      </c>
    </row>
    <row r="89" spans="1:19">
      <c r="A89" s="158"/>
      <c r="B89" s="58"/>
      <c r="C89" s="24">
        <f t="shared" si="12"/>
        <v>1</v>
      </c>
      <c r="D89" s="719"/>
      <c r="E89" s="24">
        <f t="shared" si="13"/>
        <v>0.2</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0">
        <f t="shared" si="22"/>
        <v>0</v>
      </c>
    </row>
    <row r="90" spans="1:19">
      <c r="A90" s="158"/>
      <c r="B90" s="58"/>
      <c r="C90" s="24">
        <f t="shared" ref="C90:C153" si="23">IF(B90="",1,(LOOKUP(B90,$3:$3,$4:$4)-LOOKUP($B$24,$3:$3,$4:$4)+100)/100)</f>
        <v>1</v>
      </c>
      <c r="D90" s="719"/>
      <c r="E90" s="24">
        <f t="shared" ref="E90:E153" si="24">(SUMIF($5:$5,D90,$6:$6)-SUMIF($5:$5,$D$24,$6:$6)+100)/100</f>
        <v>0.2</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0">
        <f t="shared" si="22"/>
        <v>0</v>
      </c>
    </row>
    <row r="91" spans="1:19">
      <c r="A91" s="158"/>
      <c r="B91" s="58"/>
      <c r="C91" s="24">
        <f t="shared" si="23"/>
        <v>1</v>
      </c>
      <c r="D91" s="719"/>
      <c r="E91" s="24">
        <f t="shared" si="24"/>
        <v>0.2</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0">
        <f t="shared" si="22"/>
        <v>0</v>
      </c>
    </row>
    <row r="92" spans="1:19">
      <c r="A92" s="158"/>
      <c r="B92" s="58"/>
      <c r="C92" s="24">
        <f t="shared" si="23"/>
        <v>1</v>
      </c>
      <c r="D92" s="719"/>
      <c r="E92" s="24">
        <f t="shared" si="24"/>
        <v>0.2</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0">
        <f t="shared" si="22"/>
        <v>0</v>
      </c>
    </row>
    <row r="93" spans="1:19">
      <c r="A93" s="158"/>
      <c r="B93" s="58"/>
      <c r="C93" s="24">
        <f t="shared" si="23"/>
        <v>1</v>
      </c>
      <c r="D93" s="719"/>
      <c r="E93" s="24">
        <f t="shared" si="24"/>
        <v>0.2</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0">
        <f t="shared" si="22"/>
        <v>0</v>
      </c>
    </row>
    <row r="94" spans="1:19">
      <c r="A94" s="158"/>
      <c r="B94" s="58"/>
      <c r="C94" s="24">
        <f t="shared" si="23"/>
        <v>1</v>
      </c>
      <c r="D94" s="719"/>
      <c r="E94" s="24">
        <f t="shared" si="24"/>
        <v>0.2</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0">
        <f t="shared" si="22"/>
        <v>0</v>
      </c>
    </row>
    <row r="95" spans="1:19">
      <c r="A95" s="158"/>
      <c r="B95" s="58"/>
      <c r="C95" s="24">
        <f t="shared" si="23"/>
        <v>1</v>
      </c>
      <c r="D95" s="719"/>
      <c r="E95" s="24">
        <f t="shared" si="24"/>
        <v>0.2</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0">
        <f t="shared" si="22"/>
        <v>0</v>
      </c>
    </row>
    <row r="96" spans="1:19">
      <c r="A96" s="158"/>
      <c r="B96" s="58"/>
      <c r="C96" s="24">
        <f t="shared" si="23"/>
        <v>1</v>
      </c>
      <c r="D96" s="719"/>
      <c r="E96" s="24">
        <f t="shared" si="24"/>
        <v>0.2</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0">
        <f t="shared" si="22"/>
        <v>0</v>
      </c>
    </row>
    <row r="97" spans="1:19">
      <c r="A97" s="158"/>
      <c r="B97" s="58"/>
      <c r="C97" s="24">
        <f t="shared" si="23"/>
        <v>1</v>
      </c>
      <c r="D97" s="719"/>
      <c r="E97" s="24">
        <f t="shared" si="24"/>
        <v>0.2</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0">
        <f t="shared" si="22"/>
        <v>0</v>
      </c>
    </row>
    <row r="98" spans="1:19">
      <c r="A98" s="158"/>
      <c r="B98" s="58"/>
      <c r="C98" s="24">
        <f t="shared" si="23"/>
        <v>1</v>
      </c>
      <c r="D98" s="719"/>
      <c r="E98" s="24">
        <f t="shared" si="24"/>
        <v>0.2</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0">
        <f t="shared" si="22"/>
        <v>0</v>
      </c>
    </row>
    <row r="99" spans="1:19">
      <c r="A99" s="158"/>
      <c r="B99" s="58"/>
      <c r="C99" s="24">
        <f t="shared" si="23"/>
        <v>1</v>
      </c>
      <c r="D99" s="719"/>
      <c r="E99" s="24">
        <f t="shared" si="24"/>
        <v>0.2</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0">
        <f t="shared" si="22"/>
        <v>0</v>
      </c>
    </row>
    <row r="100" spans="1:19">
      <c r="A100" s="158"/>
      <c r="B100" s="58"/>
      <c r="C100" s="24">
        <f t="shared" si="23"/>
        <v>1</v>
      </c>
      <c r="D100" s="719"/>
      <c r="E100" s="24">
        <f t="shared" si="24"/>
        <v>0.2</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0">
        <f t="shared" si="22"/>
        <v>0</v>
      </c>
    </row>
    <row r="101" spans="1:19">
      <c r="A101" s="158"/>
      <c r="B101" s="58"/>
      <c r="C101" s="24">
        <f t="shared" si="23"/>
        <v>1</v>
      </c>
      <c r="D101" s="719"/>
      <c r="E101" s="24">
        <f t="shared" si="24"/>
        <v>0.2</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0">
        <f t="shared" si="22"/>
        <v>0</v>
      </c>
    </row>
    <row r="102" spans="1:19">
      <c r="A102" s="158"/>
      <c r="B102" s="58"/>
      <c r="C102" s="24">
        <f t="shared" si="23"/>
        <v>1</v>
      </c>
      <c r="D102" s="719"/>
      <c r="E102" s="24">
        <f t="shared" si="24"/>
        <v>0.2</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0">
        <f t="shared" si="22"/>
        <v>0</v>
      </c>
    </row>
    <row r="103" spans="1:19">
      <c r="A103" s="158"/>
      <c r="B103" s="58"/>
      <c r="C103" s="24">
        <f t="shared" si="23"/>
        <v>1</v>
      </c>
      <c r="D103" s="719"/>
      <c r="E103" s="24">
        <f t="shared" si="24"/>
        <v>0.2</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0">
        <f t="shared" si="22"/>
        <v>0</v>
      </c>
    </row>
    <row r="104" spans="1:19">
      <c r="A104" s="158"/>
      <c r="B104" s="58"/>
      <c r="C104" s="24">
        <f t="shared" si="23"/>
        <v>1</v>
      </c>
      <c r="D104" s="719"/>
      <c r="E104" s="24">
        <f t="shared" si="24"/>
        <v>0.2</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0">
        <f t="shared" si="22"/>
        <v>0</v>
      </c>
    </row>
    <row r="105" spans="1:19">
      <c r="A105" s="158"/>
      <c r="B105" s="58"/>
      <c r="C105" s="24">
        <f t="shared" si="23"/>
        <v>1</v>
      </c>
      <c r="D105" s="719"/>
      <c r="E105" s="24">
        <f t="shared" si="24"/>
        <v>0.2</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0">
        <f t="shared" si="22"/>
        <v>0</v>
      </c>
    </row>
    <row r="106" spans="1:19">
      <c r="A106" s="158"/>
      <c r="B106" s="58"/>
      <c r="C106" s="24">
        <f t="shared" si="23"/>
        <v>1</v>
      </c>
      <c r="D106" s="719"/>
      <c r="E106" s="24">
        <f t="shared" si="24"/>
        <v>0.2</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0">
        <f t="shared" si="22"/>
        <v>0</v>
      </c>
    </row>
    <row r="107" spans="1:19">
      <c r="A107" s="158"/>
      <c r="B107" s="58"/>
      <c r="C107" s="24">
        <f t="shared" si="23"/>
        <v>1</v>
      </c>
      <c r="D107" s="719"/>
      <c r="E107" s="24">
        <f t="shared" si="24"/>
        <v>0.2</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0">
        <f t="shared" si="22"/>
        <v>0</v>
      </c>
    </row>
    <row r="108" spans="1:19">
      <c r="A108" s="158"/>
      <c r="B108" s="58"/>
      <c r="C108" s="24">
        <f t="shared" si="23"/>
        <v>1</v>
      </c>
      <c r="D108" s="719"/>
      <c r="E108" s="24">
        <f t="shared" si="24"/>
        <v>0.2</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0">
        <f t="shared" si="22"/>
        <v>0</v>
      </c>
    </row>
    <row r="109" spans="1:19">
      <c r="A109" s="158"/>
      <c r="B109" s="58"/>
      <c r="C109" s="24">
        <f t="shared" si="23"/>
        <v>1</v>
      </c>
      <c r="D109" s="719"/>
      <c r="E109" s="24">
        <f t="shared" si="24"/>
        <v>0.2</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0">
        <f t="shared" si="22"/>
        <v>0</v>
      </c>
    </row>
    <row r="110" spans="1:19">
      <c r="A110" s="158"/>
      <c r="B110" s="58"/>
      <c r="C110" s="24">
        <f t="shared" si="23"/>
        <v>1</v>
      </c>
      <c r="D110" s="719"/>
      <c r="E110" s="24">
        <f t="shared" si="24"/>
        <v>0.2</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0">
        <f t="shared" si="22"/>
        <v>0</v>
      </c>
    </row>
    <row r="111" spans="1:19">
      <c r="A111" s="158"/>
      <c r="B111" s="58"/>
      <c r="C111" s="24">
        <f t="shared" si="23"/>
        <v>1</v>
      </c>
      <c r="D111" s="719"/>
      <c r="E111" s="24">
        <f t="shared" si="24"/>
        <v>0.2</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0">
        <f t="shared" si="22"/>
        <v>0</v>
      </c>
    </row>
    <row r="112" spans="1:19">
      <c r="A112" s="158"/>
      <c r="B112" s="58"/>
      <c r="C112" s="24">
        <f t="shared" si="23"/>
        <v>1</v>
      </c>
      <c r="D112" s="719"/>
      <c r="E112" s="24">
        <f t="shared" si="24"/>
        <v>0.2</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0">
        <f t="shared" si="22"/>
        <v>0</v>
      </c>
    </row>
    <row r="113" spans="1:19">
      <c r="A113" s="158"/>
      <c r="B113" s="58"/>
      <c r="C113" s="24">
        <f t="shared" si="23"/>
        <v>1</v>
      </c>
      <c r="D113" s="719"/>
      <c r="E113" s="24">
        <f t="shared" si="24"/>
        <v>0.2</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0">
        <f t="shared" si="22"/>
        <v>0</v>
      </c>
    </row>
    <row r="114" spans="1:19">
      <c r="A114" s="158"/>
      <c r="B114" s="58"/>
      <c r="C114" s="24">
        <f t="shared" si="23"/>
        <v>1</v>
      </c>
      <c r="D114" s="719"/>
      <c r="E114" s="24">
        <f t="shared" si="24"/>
        <v>0.2</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0">
        <f t="shared" si="22"/>
        <v>0</v>
      </c>
    </row>
    <row r="115" spans="1:19">
      <c r="A115" s="158"/>
      <c r="B115" s="58"/>
      <c r="C115" s="24">
        <f t="shared" si="23"/>
        <v>1</v>
      </c>
      <c r="D115" s="719"/>
      <c r="E115" s="24">
        <f t="shared" si="24"/>
        <v>0.2</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0">
        <f t="shared" si="22"/>
        <v>0</v>
      </c>
    </row>
    <row r="116" spans="1:19">
      <c r="A116" s="158"/>
      <c r="B116" s="58"/>
      <c r="C116" s="24">
        <f t="shared" si="23"/>
        <v>1</v>
      </c>
      <c r="D116" s="719"/>
      <c r="E116" s="24">
        <f t="shared" si="24"/>
        <v>0.2</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0">
        <f t="shared" si="22"/>
        <v>0</v>
      </c>
    </row>
    <row r="117" spans="1:19">
      <c r="A117" s="158"/>
      <c r="B117" s="58"/>
      <c r="C117" s="24">
        <f t="shared" si="23"/>
        <v>1</v>
      </c>
      <c r="D117" s="719"/>
      <c r="E117" s="24">
        <f t="shared" si="24"/>
        <v>0.2</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0">
        <f t="shared" si="22"/>
        <v>0</v>
      </c>
    </row>
    <row r="118" spans="1:19">
      <c r="A118" s="158"/>
      <c r="B118" s="58"/>
      <c r="C118" s="24">
        <f t="shared" si="23"/>
        <v>1</v>
      </c>
      <c r="D118" s="719"/>
      <c r="E118" s="24">
        <f t="shared" si="24"/>
        <v>0.2</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0">
        <f t="shared" si="22"/>
        <v>0</v>
      </c>
    </row>
    <row r="119" spans="1:19">
      <c r="A119" s="158"/>
      <c r="B119" s="58"/>
      <c r="C119" s="24">
        <f t="shared" si="23"/>
        <v>1</v>
      </c>
      <c r="D119" s="719"/>
      <c r="E119" s="24">
        <f t="shared" si="24"/>
        <v>0.2</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0">
        <f t="shared" si="22"/>
        <v>0</v>
      </c>
    </row>
    <row r="120" spans="1:19">
      <c r="A120" s="158"/>
      <c r="B120" s="58"/>
      <c r="C120" s="24">
        <f t="shared" si="23"/>
        <v>1</v>
      </c>
      <c r="D120" s="719"/>
      <c r="E120" s="24">
        <f t="shared" si="24"/>
        <v>0.2</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0">
        <f t="shared" si="22"/>
        <v>0</v>
      </c>
    </row>
    <row r="121" spans="1:19">
      <c r="A121" s="158"/>
      <c r="B121" s="58"/>
      <c r="C121" s="24">
        <f t="shared" si="23"/>
        <v>1</v>
      </c>
      <c r="D121" s="719"/>
      <c r="E121" s="24">
        <f t="shared" si="24"/>
        <v>0.2</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0">
        <f t="shared" si="22"/>
        <v>0</v>
      </c>
    </row>
    <row r="122" spans="1:19">
      <c r="A122" s="158"/>
      <c r="B122" s="58"/>
      <c r="C122" s="24">
        <f t="shared" si="23"/>
        <v>1</v>
      </c>
      <c r="D122" s="719"/>
      <c r="E122" s="24">
        <f t="shared" si="24"/>
        <v>0.2</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0">
        <f t="shared" si="22"/>
        <v>0</v>
      </c>
    </row>
    <row r="123" spans="1:19">
      <c r="A123" s="158"/>
      <c r="B123" s="58"/>
      <c r="C123" s="24">
        <f t="shared" si="23"/>
        <v>1</v>
      </c>
      <c r="D123" s="719"/>
      <c r="E123" s="24">
        <f t="shared" si="24"/>
        <v>0.2</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0">
        <f t="shared" ref="S123:S186" si="32">ROUND(R123*B123/10000,0)</f>
        <v>0</v>
      </c>
    </row>
    <row r="124" spans="1:19">
      <c r="A124" s="158"/>
      <c r="B124" s="58"/>
      <c r="C124" s="24">
        <f t="shared" si="23"/>
        <v>1</v>
      </c>
      <c r="D124" s="719"/>
      <c r="E124" s="24">
        <f t="shared" si="24"/>
        <v>0.2</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0">
        <f t="shared" si="32"/>
        <v>0</v>
      </c>
    </row>
    <row r="125" spans="1:19">
      <c r="A125" s="158"/>
      <c r="B125" s="58"/>
      <c r="C125" s="24">
        <f t="shared" si="23"/>
        <v>1</v>
      </c>
      <c r="D125" s="719"/>
      <c r="E125" s="24">
        <f t="shared" si="24"/>
        <v>0.2</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0">
        <f t="shared" si="32"/>
        <v>0</v>
      </c>
    </row>
    <row r="126" spans="1:19">
      <c r="A126" s="158"/>
      <c r="B126" s="58"/>
      <c r="C126" s="24">
        <f t="shared" si="23"/>
        <v>1</v>
      </c>
      <c r="D126" s="719"/>
      <c r="E126" s="24">
        <f t="shared" si="24"/>
        <v>0.2</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0">
        <f t="shared" si="32"/>
        <v>0</v>
      </c>
    </row>
    <row r="127" spans="1:19">
      <c r="A127" s="158"/>
      <c r="B127" s="58"/>
      <c r="C127" s="24">
        <f t="shared" si="23"/>
        <v>1</v>
      </c>
      <c r="D127" s="719"/>
      <c r="E127" s="24">
        <f t="shared" si="24"/>
        <v>0.2</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0">
        <f t="shared" si="32"/>
        <v>0</v>
      </c>
    </row>
    <row r="128" spans="1:19">
      <c r="A128" s="158"/>
      <c r="B128" s="58"/>
      <c r="C128" s="24">
        <f t="shared" si="23"/>
        <v>1</v>
      </c>
      <c r="D128" s="719"/>
      <c r="E128" s="24">
        <f t="shared" si="24"/>
        <v>0.2</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0">
        <f t="shared" si="32"/>
        <v>0</v>
      </c>
    </row>
    <row r="129" spans="1:19">
      <c r="A129" s="158"/>
      <c r="B129" s="58"/>
      <c r="C129" s="24">
        <f t="shared" si="23"/>
        <v>1</v>
      </c>
      <c r="D129" s="719"/>
      <c r="E129" s="24">
        <f t="shared" si="24"/>
        <v>0.2</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0">
        <f t="shared" si="32"/>
        <v>0</v>
      </c>
    </row>
    <row r="130" spans="1:19">
      <c r="A130" s="158"/>
      <c r="B130" s="58"/>
      <c r="C130" s="24">
        <f t="shared" si="23"/>
        <v>1</v>
      </c>
      <c r="D130" s="719"/>
      <c r="E130" s="24">
        <f t="shared" si="24"/>
        <v>0.2</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0">
        <f t="shared" si="32"/>
        <v>0</v>
      </c>
    </row>
    <row r="131" spans="1:19">
      <c r="A131" s="158"/>
      <c r="B131" s="58"/>
      <c r="C131" s="24">
        <f t="shared" si="23"/>
        <v>1</v>
      </c>
      <c r="D131" s="719"/>
      <c r="E131" s="24">
        <f t="shared" si="24"/>
        <v>0.2</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0">
        <f t="shared" si="32"/>
        <v>0</v>
      </c>
    </row>
    <row r="132" spans="1:19">
      <c r="A132" s="158"/>
      <c r="B132" s="58"/>
      <c r="C132" s="24">
        <f t="shared" si="23"/>
        <v>1</v>
      </c>
      <c r="D132" s="719"/>
      <c r="E132" s="24">
        <f t="shared" si="24"/>
        <v>0.2</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0">
        <f t="shared" si="32"/>
        <v>0</v>
      </c>
    </row>
    <row r="133" spans="1:19">
      <c r="A133" s="158"/>
      <c r="B133" s="58"/>
      <c r="C133" s="24">
        <f t="shared" si="23"/>
        <v>1</v>
      </c>
      <c r="D133" s="719"/>
      <c r="E133" s="24">
        <f t="shared" si="24"/>
        <v>0.2</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0">
        <f t="shared" si="32"/>
        <v>0</v>
      </c>
    </row>
    <row r="134" spans="1:19">
      <c r="A134" s="158"/>
      <c r="B134" s="58"/>
      <c r="C134" s="24">
        <f t="shared" si="23"/>
        <v>1</v>
      </c>
      <c r="D134" s="719"/>
      <c r="E134" s="24">
        <f t="shared" si="24"/>
        <v>0.2</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0">
        <f t="shared" si="32"/>
        <v>0</v>
      </c>
    </row>
    <row r="135" spans="1:19">
      <c r="A135" s="158"/>
      <c r="B135" s="58"/>
      <c r="C135" s="24">
        <f t="shared" si="23"/>
        <v>1</v>
      </c>
      <c r="D135" s="719"/>
      <c r="E135" s="24">
        <f t="shared" si="24"/>
        <v>0.2</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0">
        <f t="shared" si="32"/>
        <v>0</v>
      </c>
    </row>
    <row r="136" spans="1:19">
      <c r="A136" s="158"/>
      <c r="B136" s="58"/>
      <c r="C136" s="24">
        <f t="shared" si="23"/>
        <v>1</v>
      </c>
      <c r="D136" s="719"/>
      <c r="E136" s="24">
        <f t="shared" si="24"/>
        <v>0.2</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0">
        <f t="shared" si="32"/>
        <v>0</v>
      </c>
    </row>
    <row r="137" spans="1:19">
      <c r="A137" s="158"/>
      <c r="B137" s="58"/>
      <c r="C137" s="24">
        <f t="shared" si="23"/>
        <v>1</v>
      </c>
      <c r="D137" s="719"/>
      <c r="E137" s="24">
        <f t="shared" si="24"/>
        <v>0.2</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0">
        <f t="shared" si="32"/>
        <v>0</v>
      </c>
    </row>
    <row r="138" spans="1:19">
      <c r="A138" s="158"/>
      <c r="B138" s="58"/>
      <c r="C138" s="24">
        <f t="shared" si="23"/>
        <v>1</v>
      </c>
      <c r="D138" s="719"/>
      <c r="E138" s="24">
        <f t="shared" si="24"/>
        <v>0.2</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0">
        <f t="shared" si="32"/>
        <v>0</v>
      </c>
    </row>
    <row r="139" spans="1:19">
      <c r="A139" s="158"/>
      <c r="B139" s="58"/>
      <c r="C139" s="24">
        <f t="shared" si="23"/>
        <v>1</v>
      </c>
      <c r="D139" s="719"/>
      <c r="E139" s="24">
        <f t="shared" si="24"/>
        <v>0.2</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0">
        <f t="shared" si="32"/>
        <v>0</v>
      </c>
    </row>
    <row r="140" spans="1:19">
      <c r="A140" s="158"/>
      <c r="B140" s="58"/>
      <c r="C140" s="24">
        <f t="shared" si="23"/>
        <v>1</v>
      </c>
      <c r="D140" s="719"/>
      <c r="E140" s="24">
        <f t="shared" si="24"/>
        <v>0.2</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0">
        <f t="shared" si="32"/>
        <v>0</v>
      </c>
    </row>
    <row r="141" spans="1:19">
      <c r="A141" s="158"/>
      <c r="B141" s="58"/>
      <c r="C141" s="24">
        <f t="shared" si="23"/>
        <v>1</v>
      </c>
      <c r="D141" s="719"/>
      <c r="E141" s="24">
        <f t="shared" si="24"/>
        <v>0.2</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0">
        <f t="shared" si="32"/>
        <v>0</v>
      </c>
    </row>
    <row r="142" spans="1:19">
      <c r="A142" s="158"/>
      <c r="B142" s="58"/>
      <c r="C142" s="24">
        <f t="shared" si="23"/>
        <v>1</v>
      </c>
      <c r="D142" s="719"/>
      <c r="E142" s="24">
        <f t="shared" si="24"/>
        <v>0.2</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0">
        <f t="shared" si="32"/>
        <v>0</v>
      </c>
    </row>
    <row r="143" spans="1:19">
      <c r="A143" s="158"/>
      <c r="B143" s="58"/>
      <c r="C143" s="24">
        <f t="shared" si="23"/>
        <v>1</v>
      </c>
      <c r="D143" s="719"/>
      <c r="E143" s="24">
        <f t="shared" si="24"/>
        <v>0.2</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0">
        <f t="shared" si="32"/>
        <v>0</v>
      </c>
    </row>
    <row r="144" spans="1:19">
      <c r="A144" s="158"/>
      <c r="B144" s="58"/>
      <c r="C144" s="24">
        <f t="shared" si="23"/>
        <v>1</v>
      </c>
      <c r="D144" s="719"/>
      <c r="E144" s="24">
        <f t="shared" si="24"/>
        <v>0.2</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0">
        <f t="shared" si="32"/>
        <v>0</v>
      </c>
    </row>
    <row r="145" spans="1:19">
      <c r="A145" s="158"/>
      <c r="B145" s="58"/>
      <c r="C145" s="24">
        <f t="shared" si="23"/>
        <v>1</v>
      </c>
      <c r="D145" s="719"/>
      <c r="E145" s="24">
        <f t="shared" si="24"/>
        <v>0.2</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0">
        <f t="shared" si="32"/>
        <v>0</v>
      </c>
    </row>
    <row r="146" spans="1:19">
      <c r="A146" s="158"/>
      <c r="B146" s="58"/>
      <c r="C146" s="24">
        <f t="shared" si="23"/>
        <v>1</v>
      </c>
      <c r="D146" s="719"/>
      <c r="E146" s="24">
        <f t="shared" si="24"/>
        <v>0.2</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0">
        <f t="shared" si="32"/>
        <v>0</v>
      </c>
    </row>
    <row r="147" spans="1:19">
      <c r="A147" s="158"/>
      <c r="B147" s="58"/>
      <c r="C147" s="24">
        <f t="shared" si="23"/>
        <v>1</v>
      </c>
      <c r="D147" s="719"/>
      <c r="E147" s="24">
        <f t="shared" si="24"/>
        <v>0.2</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0">
        <f t="shared" si="32"/>
        <v>0</v>
      </c>
    </row>
    <row r="148" spans="1:19">
      <c r="A148" s="158"/>
      <c r="B148" s="58"/>
      <c r="C148" s="24">
        <f t="shared" si="23"/>
        <v>1</v>
      </c>
      <c r="D148" s="719"/>
      <c r="E148" s="24">
        <f t="shared" si="24"/>
        <v>0.2</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0">
        <f t="shared" si="32"/>
        <v>0</v>
      </c>
    </row>
    <row r="149" spans="1:19">
      <c r="A149" s="158"/>
      <c r="B149" s="58"/>
      <c r="C149" s="24">
        <f t="shared" si="23"/>
        <v>1</v>
      </c>
      <c r="D149" s="719"/>
      <c r="E149" s="24">
        <f t="shared" si="24"/>
        <v>0.2</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0">
        <f t="shared" si="32"/>
        <v>0</v>
      </c>
    </row>
    <row r="150" spans="1:19">
      <c r="A150" s="158"/>
      <c r="B150" s="58"/>
      <c r="C150" s="24">
        <f t="shared" si="23"/>
        <v>1</v>
      </c>
      <c r="D150" s="719"/>
      <c r="E150" s="24">
        <f t="shared" si="24"/>
        <v>0.2</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0">
        <f t="shared" si="32"/>
        <v>0</v>
      </c>
    </row>
    <row r="151" spans="1:19">
      <c r="A151" s="158"/>
      <c r="B151" s="58"/>
      <c r="C151" s="24">
        <f t="shared" si="23"/>
        <v>1</v>
      </c>
      <c r="D151" s="719"/>
      <c r="E151" s="24">
        <f t="shared" si="24"/>
        <v>0.2</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0">
        <f t="shared" si="32"/>
        <v>0</v>
      </c>
    </row>
    <row r="152" spans="1:19">
      <c r="A152" s="158"/>
      <c r="B152" s="58"/>
      <c r="C152" s="24">
        <f t="shared" si="23"/>
        <v>1</v>
      </c>
      <c r="D152" s="719"/>
      <c r="E152" s="24">
        <f t="shared" si="24"/>
        <v>0.2</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0">
        <f t="shared" si="32"/>
        <v>0</v>
      </c>
    </row>
    <row r="153" spans="1:19">
      <c r="A153" s="158"/>
      <c r="B153" s="58"/>
      <c r="C153" s="24">
        <f t="shared" si="23"/>
        <v>1</v>
      </c>
      <c r="D153" s="719"/>
      <c r="E153" s="24">
        <f t="shared" si="24"/>
        <v>0.2</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0">
        <f t="shared" si="32"/>
        <v>0</v>
      </c>
    </row>
    <row r="154" spans="1:19">
      <c r="A154" s="158"/>
      <c r="B154" s="58"/>
      <c r="C154" s="24">
        <f t="shared" ref="C154:C217" si="33">IF(B154="",1,(LOOKUP(B154,$3:$3,$4:$4)-LOOKUP($B$24,$3:$3,$4:$4)+100)/100)</f>
        <v>1</v>
      </c>
      <c r="D154" s="719"/>
      <c r="E154" s="24">
        <f t="shared" ref="E154:E217" si="34">(SUMIF($5:$5,D154,$6:$6)-SUMIF($5:$5,$D$24,$6:$6)+100)/100</f>
        <v>0.2</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0">
        <f t="shared" si="32"/>
        <v>0</v>
      </c>
    </row>
    <row r="155" spans="1:19">
      <c r="A155" s="158"/>
      <c r="B155" s="58"/>
      <c r="C155" s="24">
        <f t="shared" si="33"/>
        <v>1</v>
      </c>
      <c r="D155" s="719"/>
      <c r="E155" s="24">
        <f t="shared" si="34"/>
        <v>0.2</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0">
        <f t="shared" si="32"/>
        <v>0</v>
      </c>
    </row>
    <row r="156" spans="1:19">
      <c r="A156" s="158"/>
      <c r="B156" s="58"/>
      <c r="C156" s="24">
        <f t="shared" si="33"/>
        <v>1</v>
      </c>
      <c r="D156" s="719"/>
      <c r="E156" s="24">
        <f t="shared" si="34"/>
        <v>0.2</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0">
        <f t="shared" si="32"/>
        <v>0</v>
      </c>
    </row>
    <row r="157" spans="1:19">
      <c r="A157" s="158"/>
      <c r="B157" s="58"/>
      <c r="C157" s="24">
        <f t="shared" si="33"/>
        <v>1</v>
      </c>
      <c r="D157" s="719"/>
      <c r="E157" s="24">
        <f t="shared" si="34"/>
        <v>0.2</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0">
        <f t="shared" si="32"/>
        <v>0</v>
      </c>
    </row>
    <row r="158" spans="1:19">
      <c r="A158" s="158"/>
      <c r="B158" s="58"/>
      <c r="C158" s="24">
        <f t="shared" si="33"/>
        <v>1</v>
      </c>
      <c r="D158" s="719"/>
      <c r="E158" s="24">
        <f t="shared" si="34"/>
        <v>0.2</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0">
        <f t="shared" si="32"/>
        <v>0</v>
      </c>
    </row>
    <row r="159" spans="1:19">
      <c r="A159" s="158"/>
      <c r="B159" s="58"/>
      <c r="C159" s="24">
        <f t="shared" si="33"/>
        <v>1</v>
      </c>
      <c r="D159" s="719"/>
      <c r="E159" s="24">
        <f t="shared" si="34"/>
        <v>0.2</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0">
        <f t="shared" si="32"/>
        <v>0</v>
      </c>
    </row>
    <row r="160" spans="1:19">
      <c r="A160" s="158"/>
      <c r="B160" s="58"/>
      <c r="C160" s="24">
        <f t="shared" si="33"/>
        <v>1</v>
      </c>
      <c r="D160" s="719"/>
      <c r="E160" s="24">
        <f t="shared" si="34"/>
        <v>0.2</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0">
        <f t="shared" si="32"/>
        <v>0</v>
      </c>
    </row>
    <row r="161" spans="1:19">
      <c r="A161" s="158"/>
      <c r="B161" s="58"/>
      <c r="C161" s="24">
        <f t="shared" si="33"/>
        <v>1</v>
      </c>
      <c r="D161" s="719"/>
      <c r="E161" s="24">
        <f t="shared" si="34"/>
        <v>0.2</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0">
        <f t="shared" si="32"/>
        <v>0</v>
      </c>
    </row>
    <row r="162" spans="1:19">
      <c r="A162" s="158"/>
      <c r="B162" s="58"/>
      <c r="C162" s="24">
        <f t="shared" si="33"/>
        <v>1</v>
      </c>
      <c r="D162" s="719"/>
      <c r="E162" s="24">
        <f t="shared" si="34"/>
        <v>0.2</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0">
        <f t="shared" si="32"/>
        <v>0</v>
      </c>
    </row>
    <row r="163" spans="1:19">
      <c r="A163" s="158"/>
      <c r="B163" s="58"/>
      <c r="C163" s="24">
        <f t="shared" si="33"/>
        <v>1</v>
      </c>
      <c r="D163" s="719"/>
      <c r="E163" s="24">
        <f t="shared" si="34"/>
        <v>0.2</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0">
        <f t="shared" si="32"/>
        <v>0</v>
      </c>
    </row>
    <row r="164" spans="1:19">
      <c r="A164" s="158"/>
      <c r="B164" s="58"/>
      <c r="C164" s="24">
        <f t="shared" si="33"/>
        <v>1</v>
      </c>
      <c r="D164" s="719"/>
      <c r="E164" s="24">
        <f t="shared" si="34"/>
        <v>0.2</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0">
        <f t="shared" si="32"/>
        <v>0</v>
      </c>
    </row>
    <row r="165" spans="1:19">
      <c r="A165" s="158"/>
      <c r="B165" s="58"/>
      <c r="C165" s="24">
        <f t="shared" si="33"/>
        <v>1</v>
      </c>
      <c r="D165" s="719"/>
      <c r="E165" s="24">
        <f t="shared" si="34"/>
        <v>0.2</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0">
        <f t="shared" si="32"/>
        <v>0</v>
      </c>
    </row>
    <row r="166" spans="1:19">
      <c r="A166" s="158"/>
      <c r="B166" s="58"/>
      <c r="C166" s="24">
        <f t="shared" si="33"/>
        <v>1</v>
      </c>
      <c r="D166" s="719"/>
      <c r="E166" s="24">
        <f t="shared" si="34"/>
        <v>0.2</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0">
        <f t="shared" si="32"/>
        <v>0</v>
      </c>
    </row>
    <row r="167" spans="1:19">
      <c r="A167" s="158"/>
      <c r="B167" s="58"/>
      <c r="C167" s="24">
        <f t="shared" si="33"/>
        <v>1</v>
      </c>
      <c r="D167" s="719"/>
      <c r="E167" s="24">
        <f t="shared" si="34"/>
        <v>0.2</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0">
        <f t="shared" si="32"/>
        <v>0</v>
      </c>
    </row>
    <row r="168" spans="1:19">
      <c r="A168" s="158"/>
      <c r="B168" s="58"/>
      <c r="C168" s="24">
        <f t="shared" si="33"/>
        <v>1</v>
      </c>
      <c r="D168" s="719"/>
      <c r="E168" s="24">
        <f t="shared" si="34"/>
        <v>0.2</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0">
        <f t="shared" si="32"/>
        <v>0</v>
      </c>
    </row>
    <row r="169" spans="1:19">
      <c r="A169" s="158"/>
      <c r="B169" s="58"/>
      <c r="C169" s="24">
        <f t="shared" si="33"/>
        <v>1</v>
      </c>
      <c r="D169" s="719"/>
      <c r="E169" s="24">
        <f t="shared" si="34"/>
        <v>0.2</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0">
        <f t="shared" si="32"/>
        <v>0</v>
      </c>
    </row>
    <row r="170" spans="1:19">
      <c r="A170" s="158"/>
      <c r="B170" s="58"/>
      <c r="C170" s="24">
        <f t="shared" si="33"/>
        <v>1</v>
      </c>
      <c r="D170" s="719"/>
      <c r="E170" s="24">
        <f t="shared" si="34"/>
        <v>0.2</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0">
        <f t="shared" si="32"/>
        <v>0</v>
      </c>
    </row>
    <row r="171" spans="1:19">
      <c r="A171" s="158"/>
      <c r="B171" s="58"/>
      <c r="C171" s="24">
        <f t="shared" si="33"/>
        <v>1</v>
      </c>
      <c r="D171" s="719"/>
      <c r="E171" s="24">
        <f t="shared" si="34"/>
        <v>0.2</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0">
        <f t="shared" si="32"/>
        <v>0</v>
      </c>
    </row>
    <row r="172" spans="1:19">
      <c r="A172" s="158"/>
      <c r="B172" s="58"/>
      <c r="C172" s="24">
        <f t="shared" si="33"/>
        <v>1</v>
      </c>
      <c r="D172" s="719"/>
      <c r="E172" s="24">
        <f t="shared" si="34"/>
        <v>0.2</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0">
        <f t="shared" si="32"/>
        <v>0</v>
      </c>
    </row>
    <row r="173" spans="1:19">
      <c r="A173" s="158"/>
      <c r="B173" s="58"/>
      <c r="C173" s="24">
        <f t="shared" si="33"/>
        <v>1</v>
      </c>
      <c r="D173" s="719"/>
      <c r="E173" s="24">
        <f t="shared" si="34"/>
        <v>0.2</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0">
        <f t="shared" si="32"/>
        <v>0</v>
      </c>
    </row>
    <row r="174" spans="1:19">
      <c r="A174" s="158"/>
      <c r="B174" s="58"/>
      <c r="C174" s="24">
        <f t="shared" si="33"/>
        <v>1</v>
      </c>
      <c r="D174" s="719"/>
      <c r="E174" s="24">
        <f t="shared" si="34"/>
        <v>0.2</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0">
        <f t="shared" si="32"/>
        <v>0</v>
      </c>
    </row>
    <row r="175" spans="1:19">
      <c r="A175" s="158"/>
      <c r="B175" s="58"/>
      <c r="C175" s="24">
        <f t="shared" si="33"/>
        <v>1</v>
      </c>
      <c r="D175" s="719"/>
      <c r="E175" s="24">
        <f t="shared" si="34"/>
        <v>0.2</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0">
        <f t="shared" si="32"/>
        <v>0</v>
      </c>
    </row>
    <row r="176" spans="1:19">
      <c r="A176" s="158"/>
      <c r="B176" s="58"/>
      <c r="C176" s="24">
        <f t="shared" si="33"/>
        <v>1</v>
      </c>
      <c r="D176" s="719"/>
      <c r="E176" s="24">
        <f t="shared" si="34"/>
        <v>0.2</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0">
        <f t="shared" si="32"/>
        <v>0</v>
      </c>
    </row>
    <row r="177" spans="1:19">
      <c r="A177" s="158"/>
      <c r="B177" s="58"/>
      <c r="C177" s="24">
        <f t="shared" si="33"/>
        <v>1</v>
      </c>
      <c r="D177" s="719"/>
      <c r="E177" s="24">
        <f t="shared" si="34"/>
        <v>0.2</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0">
        <f t="shared" si="32"/>
        <v>0</v>
      </c>
    </row>
    <row r="178" spans="1:19">
      <c r="A178" s="158"/>
      <c r="B178" s="58"/>
      <c r="C178" s="24">
        <f t="shared" si="33"/>
        <v>1</v>
      </c>
      <c r="D178" s="719"/>
      <c r="E178" s="24">
        <f t="shared" si="34"/>
        <v>0.2</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0">
        <f t="shared" si="32"/>
        <v>0</v>
      </c>
    </row>
    <row r="179" spans="1:19">
      <c r="A179" s="158"/>
      <c r="B179" s="58"/>
      <c r="C179" s="24">
        <f t="shared" si="33"/>
        <v>1</v>
      </c>
      <c r="D179" s="719"/>
      <c r="E179" s="24">
        <f t="shared" si="34"/>
        <v>0.2</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0">
        <f t="shared" si="32"/>
        <v>0</v>
      </c>
    </row>
    <row r="180" spans="1:19">
      <c r="A180" s="158"/>
      <c r="B180" s="58"/>
      <c r="C180" s="24">
        <f t="shared" si="33"/>
        <v>1</v>
      </c>
      <c r="D180" s="719"/>
      <c r="E180" s="24">
        <f t="shared" si="34"/>
        <v>0.2</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0">
        <f t="shared" si="32"/>
        <v>0</v>
      </c>
    </row>
    <row r="181" spans="1:19">
      <c r="A181" s="158"/>
      <c r="B181" s="58"/>
      <c r="C181" s="24">
        <f t="shared" si="33"/>
        <v>1</v>
      </c>
      <c r="D181" s="719"/>
      <c r="E181" s="24">
        <f t="shared" si="34"/>
        <v>0.2</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0">
        <f t="shared" si="32"/>
        <v>0</v>
      </c>
    </row>
    <row r="182" spans="1:19">
      <c r="A182" s="158"/>
      <c r="B182" s="58"/>
      <c r="C182" s="24">
        <f t="shared" si="33"/>
        <v>1</v>
      </c>
      <c r="D182" s="719"/>
      <c r="E182" s="24">
        <f t="shared" si="34"/>
        <v>0.2</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0">
        <f t="shared" si="32"/>
        <v>0</v>
      </c>
    </row>
    <row r="183" spans="1:19">
      <c r="A183" s="158"/>
      <c r="B183" s="58"/>
      <c r="C183" s="24">
        <f t="shared" si="33"/>
        <v>1</v>
      </c>
      <c r="D183" s="719"/>
      <c r="E183" s="24">
        <f t="shared" si="34"/>
        <v>0.2</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0">
        <f t="shared" si="32"/>
        <v>0</v>
      </c>
    </row>
    <row r="184" spans="1:19">
      <c r="A184" s="158"/>
      <c r="B184" s="58"/>
      <c r="C184" s="24">
        <f t="shared" si="33"/>
        <v>1</v>
      </c>
      <c r="D184" s="719"/>
      <c r="E184" s="24">
        <f t="shared" si="34"/>
        <v>0.2</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0">
        <f t="shared" si="32"/>
        <v>0</v>
      </c>
    </row>
    <row r="185" spans="1:19">
      <c r="A185" s="158"/>
      <c r="B185" s="58"/>
      <c r="C185" s="24">
        <f t="shared" si="33"/>
        <v>1</v>
      </c>
      <c r="D185" s="719"/>
      <c r="E185" s="24">
        <f t="shared" si="34"/>
        <v>0.2</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0">
        <f t="shared" si="32"/>
        <v>0</v>
      </c>
    </row>
    <row r="186" spans="1:19">
      <c r="A186" s="158"/>
      <c r="B186" s="58"/>
      <c r="C186" s="24">
        <f t="shared" si="33"/>
        <v>1</v>
      </c>
      <c r="D186" s="719"/>
      <c r="E186" s="24">
        <f t="shared" si="34"/>
        <v>0.2</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0">
        <f t="shared" si="32"/>
        <v>0</v>
      </c>
    </row>
    <row r="187" spans="1:19">
      <c r="A187" s="158"/>
      <c r="B187" s="58"/>
      <c r="C187" s="24">
        <f t="shared" si="33"/>
        <v>1</v>
      </c>
      <c r="D187" s="719"/>
      <c r="E187" s="24">
        <f t="shared" si="34"/>
        <v>0.2</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0">
        <f t="shared" ref="S187:S222" si="42">ROUND(R187*B187/10000,0)</f>
        <v>0</v>
      </c>
    </row>
    <row r="188" spans="1:19">
      <c r="A188" s="158"/>
      <c r="B188" s="58"/>
      <c r="C188" s="24">
        <f t="shared" si="33"/>
        <v>1</v>
      </c>
      <c r="D188" s="719"/>
      <c r="E188" s="24">
        <f t="shared" si="34"/>
        <v>0.2</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0">
        <f t="shared" si="42"/>
        <v>0</v>
      </c>
    </row>
    <row r="189" spans="1:19">
      <c r="A189" s="158"/>
      <c r="B189" s="58"/>
      <c r="C189" s="24">
        <f t="shared" si="33"/>
        <v>1</v>
      </c>
      <c r="D189" s="719"/>
      <c r="E189" s="24">
        <f t="shared" si="34"/>
        <v>0.2</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0">
        <f t="shared" si="42"/>
        <v>0</v>
      </c>
    </row>
    <row r="190" spans="1:19">
      <c r="A190" s="158"/>
      <c r="B190" s="58"/>
      <c r="C190" s="24">
        <f t="shared" si="33"/>
        <v>1</v>
      </c>
      <c r="D190" s="719"/>
      <c r="E190" s="24">
        <f t="shared" si="34"/>
        <v>0.2</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0">
        <f t="shared" si="42"/>
        <v>0</v>
      </c>
    </row>
    <row r="191" spans="1:19">
      <c r="A191" s="158"/>
      <c r="B191" s="58"/>
      <c r="C191" s="24">
        <f t="shared" si="33"/>
        <v>1</v>
      </c>
      <c r="D191" s="719"/>
      <c r="E191" s="24">
        <f t="shared" si="34"/>
        <v>0.2</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0">
        <f t="shared" si="42"/>
        <v>0</v>
      </c>
    </row>
    <row r="192" spans="1:19">
      <c r="A192" s="158"/>
      <c r="B192" s="58"/>
      <c r="C192" s="24">
        <f t="shared" si="33"/>
        <v>1</v>
      </c>
      <c r="D192" s="719"/>
      <c r="E192" s="24">
        <f t="shared" si="34"/>
        <v>0.2</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0">
        <f t="shared" si="42"/>
        <v>0</v>
      </c>
    </row>
    <row r="193" spans="1:19">
      <c r="A193" s="158"/>
      <c r="B193" s="58"/>
      <c r="C193" s="24">
        <f t="shared" si="33"/>
        <v>1</v>
      </c>
      <c r="D193" s="719"/>
      <c r="E193" s="24">
        <f t="shared" si="34"/>
        <v>0.2</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0">
        <f t="shared" si="42"/>
        <v>0</v>
      </c>
    </row>
    <row r="194" spans="1:19">
      <c r="A194" s="158"/>
      <c r="B194" s="58"/>
      <c r="C194" s="24">
        <f t="shared" si="33"/>
        <v>1</v>
      </c>
      <c r="D194" s="719"/>
      <c r="E194" s="24">
        <f t="shared" si="34"/>
        <v>0.2</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0">
        <f t="shared" si="42"/>
        <v>0</v>
      </c>
    </row>
    <row r="195" spans="1:19">
      <c r="A195" s="158"/>
      <c r="B195" s="58"/>
      <c r="C195" s="24">
        <f t="shared" si="33"/>
        <v>1</v>
      </c>
      <c r="D195" s="719"/>
      <c r="E195" s="24">
        <f t="shared" si="34"/>
        <v>0.2</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0">
        <f t="shared" si="42"/>
        <v>0</v>
      </c>
    </row>
    <row r="196" spans="1:19">
      <c r="A196" s="158"/>
      <c r="B196" s="58"/>
      <c r="C196" s="24">
        <f t="shared" si="33"/>
        <v>1</v>
      </c>
      <c r="D196" s="719"/>
      <c r="E196" s="24">
        <f t="shared" si="34"/>
        <v>0.2</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0">
        <f t="shared" si="42"/>
        <v>0</v>
      </c>
    </row>
    <row r="197" spans="1:19">
      <c r="A197" s="158"/>
      <c r="B197" s="58"/>
      <c r="C197" s="24">
        <f t="shared" si="33"/>
        <v>1</v>
      </c>
      <c r="D197" s="719"/>
      <c r="E197" s="24">
        <f t="shared" si="34"/>
        <v>0.2</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0">
        <f t="shared" si="42"/>
        <v>0</v>
      </c>
    </row>
    <row r="198" spans="1:19">
      <c r="A198" s="158"/>
      <c r="B198" s="58"/>
      <c r="C198" s="24">
        <f t="shared" si="33"/>
        <v>1</v>
      </c>
      <c r="D198" s="719"/>
      <c r="E198" s="24">
        <f t="shared" si="34"/>
        <v>0.2</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0">
        <f t="shared" si="42"/>
        <v>0</v>
      </c>
    </row>
    <row r="199" spans="1:19">
      <c r="A199" s="158"/>
      <c r="B199" s="58"/>
      <c r="C199" s="24">
        <f t="shared" si="33"/>
        <v>1</v>
      </c>
      <c r="D199" s="719"/>
      <c r="E199" s="24">
        <f t="shared" si="34"/>
        <v>0.2</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0">
        <f t="shared" si="42"/>
        <v>0</v>
      </c>
    </row>
    <row r="200" spans="1:19">
      <c r="A200" s="158"/>
      <c r="B200" s="58"/>
      <c r="C200" s="24">
        <f t="shared" si="33"/>
        <v>1</v>
      </c>
      <c r="D200" s="719"/>
      <c r="E200" s="24">
        <f t="shared" si="34"/>
        <v>0.2</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0">
        <f t="shared" si="42"/>
        <v>0</v>
      </c>
    </row>
    <row r="201" spans="1:19">
      <c r="A201" s="158"/>
      <c r="B201" s="58"/>
      <c r="C201" s="24">
        <f t="shared" si="33"/>
        <v>1</v>
      </c>
      <c r="D201" s="719"/>
      <c r="E201" s="24">
        <f t="shared" si="34"/>
        <v>0.2</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0">
        <f t="shared" si="42"/>
        <v>0</v>
      </c>
    </row>
    <row r="202" spans="1:19">
      <c r="A202" s="158"/>
      <c r="B202" s="58"/>
      <c r="C202" s="24">
        <f t="shared" si="33"/>
        <v>1</v>
      </c>
      <c r="D202" s="719"/>
      <c r="E202" s="24">
        <f t="shared" si="34"/>
        <v>0.2</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0">
        <f t="shared" si="42"/>
        <v>0</v>
      </c>
    </row>
    <row r="203" spans="1:19">
      <c r="A203" s="158"/>
      <c r="B203" s="58"/>
      <c r="C203" s="24">
        <f t="shared" si="33"/>
        <v>1</v>
      </c>
      <c r="D203" s="719"/>
      <c r="E203" s="24">
        <f t="shared" si="34"/>
        <v>0.2</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0">
        <f t="shared" si="42"/>
        <v>0</v>
      </c>
    </row>
    <row r="204" spans="1:19">
      <c r="A204" s="158"/>
      <c r="B204" s="58"/>
      <c r="C204" s="24">
        <f t="shared" si="33"/>
        <v>1</v>
      </c>
      <c r="D204" s="719"/>
      <c r="E204" s="24">
        <f t="shared" si="34"/>
        <v>0.2</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0">
        <f t="shared" si="42"/>
        <v>0</v>
      </c>
    </row>
    <row r="205" spans="1:19">
      <c r="A205" s="158"/>
      <c r="B205" s="58"/>
      <c r="C205" s="24">
        <f t="shared" si="33"/>
        <v>1</v>
      </c>
      <c r="D205" s="719"/>
      <c r="E205" s="24">
        <f t="shared" si="34"/>
        <v>0.2</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0">
        <f t="shared" si="42"/>
        <v>0</v>
      </c>
    </row>
    <row r="206" spans="1:19">
      <c r="A206" s="158"/>
      <c r="B206" s="58"/>
      <c r="C206" s="24">
        <f t="shared" si="33"/>
        <v>1</v>
      </c>
      <c r="D206" s="719"/>
      <c r="E206" s="24">
        <f t="shared" si="34"/>
        <v>0.2</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0">
        <f t="shared" si="42"/>
        <v>0</v>
      </c>
    </row>
    <row r="207" spans="1:19">
      <c r="A207" s="158"/>
      <c r="B207" s="58"/>
      <c r="C207" s="24">
        <f t="shared" si="33"/>
        <v>1</v>
      </c>
      <c r="D207" s="719"/>
      <c r="E207" s="24">
        <f t="shared" si="34"/>
        <v>0.2</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0">
        <f t="shared" si="42"/>
        <v>0</v>
      </c>
    </row>
    <row r="208" spans="1:19">
      <c r="A208" s="158"/>
      <c r="B208" s="58"/>
      <c r="C208" s="24">
        <f t="shared" si="33"/>
        <v>1</v>
      </c>
      <c r="D208" s="719"/>
      <c r="E208" s="24">
        <f t="shared" si="34"/>
        <v>0.2</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0">
        <f t="shared" si="42"/>
        <v>0</v>
      </c>
    </row>
    <row r="209" spans="1:19">
      <c r="A209" s="158"/>
      <c r="B209" s="58"/>
      <c r="C209" s="24">
        <f t="shared" si="33"/>
        <v>1</v>
      </c>
      <c r="D209" s="719"/>
      <c r="E209" s="24">
        <f t="shared" si="34"/>
        <v>0.2</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0">
        <f t="shared" si="42"/>
        <v>0</v>
      </c>
    </row>
    <row r="210" spans="1:19">
      <c r="A210" s="158"/>
      <c r="B210" s="58"/>
      <c r="C210" s="24">
        <f t="shared" si="33"/>
        <v>1</v>
      </c>
      <c r="D210" s="719"/>
      <c r="E210" s="24">
        <f t="shared" si="34"/>
        <v>0.2</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0">
        <f t="shared" si="42"/>
        <v>0</v>
      </c>
    </row>
    <row r="211" spans="1:19">
      <c r="A211" s="158"/>
      <c r="B211" s="58"/>
      <c r="C211" s="24">
        <f t="shared" si="33"/>
        <v>1</v>
      </c>
      <c r="D211" s="719"/>
      <c r="E211" s="24">
        <f t="shared" si="34"/>
        <v>0.2</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0">
        <f t="shared" si="42"/>
        <v>0</v>
      </c>
    </row>
    <row r="212" spans="1:19">
      <c r="A212" s="158"/>
      <c r="B212" s="58"/>
      <c r="C212" s="24">
        <f t="shared" si="33"/>
        <v>1</v>
      </c>
      <c r="D212" s="719"/>
      <c r="E212" s="24">
        <f t="shared" si="34"/>
        <v>0.2</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0">
        <f t="shared" si="42"/>
        <v>0</v>
      </c>
    </row>
    <row r="213" spans="1:19">
      <c r="A213" s="158"/>
      <c r="B213" s="58"/>
      <c r="C213" s="24">
        <f t="shared" si="33"/>
        <v>1</v>
      </c>
      <c r="D213" s="719"/>
      <c r="E213" s="24">
        <f t="shared" si="34"/>
        <v>0.2</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0">
        <f t="shared" si="42"/>
        <v>0</v>
      </c>
    </row>
    <row r="214" spans="1:19">
      <c r="A214" s="158"/>
      <c r="B214" s="58"/>
      <c r="C214" s="24">
        <f t="shared" si="33"/>
        <v>1</v>
      </c>
      <c r="D214" s="719"/>
      <c r="E214" s="24">
        <f t="shared" si="34"/>
        <v>0.2</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0">
        <f t="shared" si="42"/>
        <v>0</v>
      </c>
    </row>
    <row r="215" spans="1:19">
      <c r="A215" s="158"/>
      <c r="B215" s="58"/>
      <c r="C215" s="24">
        <f t="shared" si="33"/>
        <v>1</v>
      </c>
      <c r="D215" s="719"/>
      <c r="E215" s="24">
        <f t="shared" si="34"/>
        <v>0.2</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0">
        <f t="shared" si="42"/>
        <v>0</v>
      </c>
    </row>
    <row r="216" spans="1:19">
      <c r="A216" s="158"/>
      <c r="B216" s="58"/>
      <c r="C216" s="24">
        <f t="shared" si="33"/>
        <v>1</v>
      </c>
      <c r="D216" s="719"/>
      <c r="E216" s="24">
        <f t="shared" si="34"/>
        <v>0.2</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0">
        <f t="shared" si="42"/>
        <v>0</v>
      </c>
    </row>
    <row r="217" spans="1:19">
      <c r="A217" s="158"/>
      <c r="B217" s="58"/>
      <c r="C217" s="24">
        <f t="shared" si="33"/>
        <v>1</v>
      </c>
      <c r="D217" s="719"/>
      <c r="E217" s="24">
        <f t="shared" si="34"/>
        <v>0.2</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0">
        <f t="shared" si="42"/>
        <v>0</v>
      </c>
    </row>
    <row r="218" spans="1:19">
      <c r="A218" s="158"/>
      <c r="B218" s="58"/>
      <c r="C218" s="24">
        <f t="shared" ref="C218:C281" si="43">IF(B218="",1,(LOOKUP(B218,$3:$3,$4:$4)-LOOKUP($B$24,$3:$3,$4:$4)+100)/100)</f>
        <v>1</v>
      </c>
      <c r="D218" s="719"/>
      <c r="E218" s="24">
        <f t="shared" ref="E218:E281" si="44">(SUMIF($5:$5,D218,$6:$6)-SUMIF($5:$5,$D$24,$6:$6)+100)/100</f>
        <v>0.2</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0">
        <f t="shared" si="42"/>
        <v>0</v>
      </c>
    </row>
    <row r="219" spans="1:19">
      <c r="A219" s="158"/>
      <c r="B219" s="58"/>
      <c r="C219" s="24">
        <f t="shared" si="43"/>
        <v>1</v>
      </c>
      <c r="D219" s="719"/>
      <c r="E219" s="24">
        <f t="shared" si="44"/>
        <v>0.2</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0">
        <f t="shared" si="42"/>
        <v>0</v>
      </c>
    </row>
    <row r="220" spans="1:19">
      <c r="A220" s="158"/>
      <c r="B220" s="58"/>
      <c r="C220" s="24">
        <f t="shared" si="43"/>
        <v>1</v>
      </c>
      <c r="D220" s="719"/>
      <c r="E220" s="24">
        <f t="shared" si="44"/>
        <v>0.2</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0">
        <f t="shared" si="42"/>
        <v>0</v>
      </c>
    </row>
    <row r="221" spans="1:19">
      <c r="A221" s="158"/>
      <c r="B221" s="58"/>
      <c r="C221" s="24">
        <f t="shared" si="43"/>
        <v>1</v>
      </c>
      <c r="D221" s="719"/>
      <c r="E221" s="24">
        <f t="shared" si="44"/>
        <v>0.2</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0">
        <f t="shared" si="42"/>
        <v>0</v>
      </c>
    </row>
    <row r="222" spans="1:19">
      <c r="A222" s="158"/>
      <c r="B222" s="58"/>
      <c r="C222" s="24">
        <f t="shared" si="43"/>
        <v>1</v>
      </c>
      <c r="D222" s="719"/>
      <c r="E222" s="24">
        <f t="shared" si="44"/>
        <v>0.2</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0">
        <f t="shared" si="42"/>
        <v>0</v>
      </c>
    </row>
    <row r="223" spans="1:19">
      <c r="A223" s="158"/>
      <c r="B223" s="58"/>
      <c r="C223" s="24">
        <f t="shared" si="43"/>
        <v>1</v>
      </c>
      <c r="D223" s="719"/>
      <c r="E223" s="24">
        <f t="shared" si="44"/>
        <v>0.2</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0">
        <f t="shared" ref="S223:S286" si="52">ROUND(R223*B223/10000,0)</f>
        <v>0</v>
      </c>
    </row>
    <row r="224" spans="1:19">
      <c r="A224" s="158"/>
      <c r="B224" s="58"/>
      <c r="C224" s="24">
        <f t="shared" si="43"/>
        <v>1</v>
      </c>
      <c r="D224" s="719"/>
      <c r="E224" s="24">
        <f t="shared" si="44"/>
        <v>0.2</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0">
        <f t="shared" si="52"/>
        <v>0</v>
      </c>
    </row>
    <row r="225" spans="1:19">
      <c r="A225" s="158"/>
      <c r="B225" s="58"/>
      <c r="C225" s="24">
        <f t="shared" si="43"/>
        <v>1</v>
      </c>
      <c r="D225" s="719"/>
      <c r="E225" s="24">
        <f t="shared" si="44"/>
        <v>0.2</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0">
        <f t="shared" si="52"/>
        <v>0</v>
      </c>
    </row>
    <row r="226" spans="1:19">
      <c r="A226" s="158"/>
      <c r="B226" s="58"/>
      <c r="C226" s="24">
        <f t="shared" si="43"/>
        <v>1</v>
      </c>
      <c r="D226" s="719"/>
      <c r="E226" s="24">
        <f t="shared" si="44"/>
        <v>0.2</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0">
        <f t="shared" si="52"/>
        <v>0</v>
      </c>
    </row>
    <row r="227" spans="1:19">
      <c r="A227" s="158"/>
      <c r="B227" s="58"/>
      <c r="C227" s="24">
        <f t="shared" si="43"/>
        <v>1</v>
      </c>
      <c r="D227" s="719"/>
      <c r="E227" s="24">
        <f t="shared" si="44"/>
        <v>0.2</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0">
        <f t="shared" si="52"/>
        <v>0</v>
      </c>
    </row>
    <row r="228" spans="1:19">
      <c r="A228" s="158"/>
      <c r="B228" s="58"/>
      <c r="C228" s="24">
        <f t="shared" si="43"/>
        <v>1</v>
      </c>
      <c r="D228" s="719"/>
      <c r="E228" s="24">
        <f t="shared" si="44"/>
        <v>0.2</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0">
        <f t="shared" si="52"/>
        <v>0</v>
      </c>
    </row>
    <row r="229" spans="1:19">
      <c r="A229" s="158"/>
      <c r="B229" s="58"/>
      <c r="C229" s="24">
        <f t="shared" si="43"/>
        <v>1</v>
      </c>
      <c r="D229" s="719"/>
      <c r="E229" s="24">
        <f t="shared" si="44"/>
        <v>0.2</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0">
        <f t="shared" si="52"/>
        <v>0</v>
      </c>
    </row>
    <row r="230" spans="1:19">
      <c r="A230" s="158"/>
      <c r="B230" s="58"/>
      <c r="C230" s="24">
        <f t="shared" si="43"/>
        <v>1</v>
      </c>
      <c r="D230" s="719"/>
      <c r="E230" s="24">
        <f t="shared" si="44"/>
        <v>0.2</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0">
        <f t="shared" si="52"/>
        <v>0</v>
      </c>
    </row>
    <row r="231" spans="1:19">
      <c r="A231" s="158"/>
      <c r="B231" s="58"/>
      <c r="C231" s="24">
        <f t="shared" si="43"/>
        <v>1</v>
      </c>
      <c r="D231" s="719"/>
      <c r="E231" s="24">
        <f t="shared" si="44"/>
        <v>0.2</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0">
        <f t="shared" si="52"/>
        <v>0</v>
      </c>
    </row>
    <row r="232" spans="1:19">
      <c r="A232" s="158"/>
      <c r="B232" s="58"/>
      <c r="C232" s="24">
        <f t="shared" si="43"/>
        <v>1</v>
      </c>
      <c r="D232" s="719"/>
      <c r="E232" s="24">
        <f t="shared" si="44"/>
        <v>0.2</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0">
        <f t="shared" si="52"/>
        <v>0</v>
      </c>
    </row>
    <row r="233" spans="1:19">
      <c r="A233" s="158"/>
      <c r="B233" s="58"/>
      <c r="C233" s="24">
        <f t="shared" si="43"/>
        <v>1</v>
      </c>
      <c r="D233" s="719"/>
      <c r="E233" s="24">
        <f t="shared" si="44"/>
        <v>0.2</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0">
        <f t="shared" si="52"/>
        <v>0</v>
      </c>
    </row>
    <row r="234" spans="1:19">
      <c r="A234" s="158"/>
      <c r="B234" s="58"/>
      <c r="C234" s="24">
        <f t="shared" si="43"/>
        <v>1</v>
      </c>
      <c r="D234" s="719"/>
      <c r="E234" s="24">
        <f t="shared" si="44"/>
        <v>0.2</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0">
        <f t="shared" si="52"/>
        <v>0</v>
      </c>
    </row>
    <row r="235" spans="1:19">
      <c r="A235" s="158"/>
      <c r="B235" s="58"/>
      <c r="C235" s="24">
        <f t="shared" si="43"/>
        <v>1</v>
      </c>
      <c r="D235" s="719"/>
      <c r="E235" s="24">
        <f t="shared" si="44"/>
        <v>0.2</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0">
        <f t="shared" si="52"/>
        <v>0</v>
      </c>
    </row>
    <row r="236" spans="1:19">
      <c r="A236" s="158"/>
      <c r="B236" s="58"/>
      <c r="C236" s="24">
        <f t="shared" si="43"/>
        <v>1</v>
      </c>
      <c r="D236" s="719"/>
      <c r="E236" s="24">
        <f t="shared" si="44"/>
        <v>0.2</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0">
        <f t="shared" si="52"/>
        <v>0</v>
      </c>
    </row>
    <row r="237" spans="1:19">
      <c r="A237" s="158"/>
      <c r="B237" s="58"/>
      <c r="C237" s="24">
        <f t="shared" si="43"/>
        <v>1</v>
      </c>
      <c r="D237" s="719"/>
      <c r="E237" s="24">
        <f t="shared" si="44"/>
        <v>0.2</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0">
        <f t="shared" si="52"/>
        <v>0</v>
      </c>
    </row>
    <row r="238" spans="1:19">
      <c r="A238" s="158"/>
      <c r="B238" s="58"/>
      <c r="C238" s="24">
        <f t="shared" si="43"/>
        <v>1</v>
      </c>
      <c r="D238" s="719"/>
      <c r="E238" s="24">
        <f t="shared" si="44"/>
        <v>0.2</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0">
        <f t="shared" si="52"/>
        <v>0</v>
      </c>
    </row>
    <row r="239" spans="1:19">
      <c r="A239" s="158"/>
      <c r="B239" s="58"/>
      <c r="C239" s="24">
        <f t="shared" si="43"/>
        <v>1</v>
      </c>
      <c r="D239" s="719"/>
      <c r="E239" s="24">
        <f t="shared" si="44"/>
        <v>0.2</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0">
        <f t="shared" si="52"/>
        <v>0</v>
      </c>
    </row>
    <row r="240" spans="1:19">
      <c r="A240" s="158"/>
      <c r="B240" s="58"/>
      <c r="C240" s="24">
        <f t="shared" si="43"/>
        <v>1</v>
      </c>
      <c r="D240" s="719"/>
      <c r="E240" s="24">
        <f t="shared" si="44"/>
        <v>0.2</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0">
        <f t="shared" si="52"/>
        <v>0</v>
      </c>
    </row>
    <row r="241" spans="1:19">
      <c r="A241" s="158"/>
      <c r="B241" s="58"/>
      <c r="C241" s="24">
        <f t="shared" si="43"/>
        <v>1</v>
      </c>
      <c r="D241" s="719"/>
      <c r="E241" s="24">
        <f t="shared" si="44"/>
        <v>0.2</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0">
        <f t="shared" si="52"/>
        <v>0</v>
      </c>
    </row>
    <row r="242" spans="1:19">
      <c r="A242" s="158"/>
      <c r="B242" s="58"/>
      <c r="C242" s="24">
        <f t="shared" si="43"/>
        <v>1</v>
      </c>
      <c r="D242" s="719"/>
      <c r="E242" s="24">
        <f t="shared" si="44"/>
        <v>0.2</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0">
        <f t="shared" si="52"/>
        <v>0</v>
      </c>
    </row>
    <row r="243" spans="1:19">
      <c r="A243" s="158"/>
      <c r="B243" s="58"/>
      <c r="C243" s="24">
        <f t="shared" si="43"/>
        <v>1</v>
      </c>
      <c r="D243" s="719"/>
      <c r="E243" s="24">
        <f t="shared" si="44"/>
        <v>0.2</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0">
        <f t="shared" si="52"/>
        <v>0</v>
      </c>
    </row>
    <row r="244" spans="1:19">
      <c r="A244" s="158"/>
      <c r="B244" s="58"/>
      <c r="C244" s="24">
        <f t="shared" si="43"/>
        <v>1</v>
      </c>
      <c r="D244" s="719"/>
      <c r="E244" s="24">
        <f t="shared" si="44"/>
        <v>0.2</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0">
        <f t="shared" si="52"/>
        <v>0</v>
      </c>
    </row>
    <row r="245" spans="1:19">
      <c r="A245" s="158"/>
      <c r="B245" s="58"/>
      <c r="C245" s="24">
        <f t="shared" si="43"/>
        <v>1</v>
      </c>
      <c r="D245" s="719"/>
      <c r="E245" s="24">
        <f t="shared" si="44"/>
        <v>0.2</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0">
        <f t="shared" si="52"/>
        <v>0</v>
      </c>
    </row>
    <row r="246" spans="1:19">
      <c r="A246" s="158"/>
      <c r="B246" s="58"/>
      <c r="C246" s="24">
        <f t="shared" si="43"/>
        <v>1</v>
      </c>
      <c r="D246" s="719"/>
      <c r="E246" s="24">
        <f t="shared" si="44"/>
        <v>0.2</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0">
        <f t="shared" si="52"/>
        <v>0</v>
      </c>
    </row>
    <row r="247" spans="1:19">
      <c r="A247" s="158"/>
      <c r="B247" s="58"/>
      <c r="C247" s="24">
        <f t="shared" si="43"/>
        <v>1</v>
      </c>
      <c r="D247" s="719"/>
      <c r="E247" s="24">
        <f t="shared" si="44"/>
        <v>0.2</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0">
        <f t="shared" si="52"/>
        <v>0</v>
      </c>
    </row>
    <row r="248" spans="1:19">
      <c r="A248" s="158"/>
      <c r="B248" s="58"/>
      <c r="C248" s="24">
        <f t="shared" si="43"/>
        <v>1</v>
      </c>
      <c r="D248" s="719"/>
      <c r="E248" s="24">
        <f t="shared" si="44"/>
        <v>0.2</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0">
        <f t="shared" si="52"/>
        <v>0</v>
      </c>
    </row>
    <row r="249" spans="1:19">
      <c r="A249" s="158"/>
      <c r="B249" s="58"/>
      <c r="C249" s="24">
        <f t="shared" si="43"/>
        <v>1</v>
      </c>
      <c r="D249" s="719"/>
      <c r="E249" s="24">
        <f t="shared" si="44"/>
        <v>0.2</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0">
        <f t="shared" si="52"/>
        <v>0</v>
      </c>
    </row>
    <row r="250" spans="1:19">
      <c r="A250" s="158"/>
      <c r="B250" s="58"/>
      <c r="C250" s="24">
        <f t="shared" si="43"/>
        <v>1</v>
      </c>
      <c r="D250" s="719"/>
      <c r="E250" s="24">
        <f t="shared" si="44"/>
        <v>0.2</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0">
        <f t="shared" si="52"/>
        <v>0</v>
      </c>
    </row>
    <row r="251" spans="1:19">
      <c r="A251" s="158"/>
      <c r="B251" s="58"/>
      <c r="C251" s="24">
        <f t="shared" si="43"/>
        <v>1</v>
      </c>
      <c r="D251" s="719"/>
      <c r="E251" s="24">
        <f t="shared" si="44"/>
        <v>0.2</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0">
        <f t="shared" si="52"/>
        <v>0</v>
      </c>
    </row>
    <row r="252" spans="1:19">
      <c r="A252" s="158"/>
      <c r="B252" s="58"/>
      <c r="C252" s="24">
        <f t="shared" si="43"/>
        <v>1</v>
      </c>
      <c r="D252" s="719"/>
      <c r="E252" s="24">
        <f t="shared" si="44"/>
        <v>0.2</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0">
        <f t="shared" si="52"/>
        <v>0</v>
      </c>
    </row>
    <row r="253" spans="1:19">
      <c r="A253" s="158"/>
      <c r="B253" s="58"/>
      <c r="C253" s="24">
        <f t="shared" si="43"/>
        <v>1</v>
      </c>
      <c r="D253" s="719"/>
      <c r="E253" s="24">
        <f t="shared" si="44"/>
        <v>0.2</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0">
        <f t="shared" si="52"/>
        <v>0</v>
      </c>
    </row>
    <row r="254" spans="1:19">
      <c r="A254" s="158"/>
      <c r="B254" s="58"/>
      <c r="C254" s="24">
        <f t="shared" si="43"/>
        <v>1</v>
      </c>
      <c r="D254" s="719"/>
      <c r="E254" s="24">
        <f t="shared" si="44"/>
        <v>0.2</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0">
        <f t="shared" si="52"/>
        <v>0</v>
      </c>
    </row>
    <row r="255" spans="1:19">
      <c r="A255" s="158"/>
      <c r="B255" s="58"/>
      <c r="C255" s="24">
        <f t="shared" si="43"/>
        <v>1</v>
      </c>
      <c r="D255" s="719"/>
      <c r="E255" s="24">
        <f t="shared" si="44"/>
        <v>0.2</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0">
        <f t="shared" si="52"/>
        <v>0</v>
      </c>
    </row>
    <row r="256" spans="1:19">
      <c r="A256" s="158"/>
      <c r="B256" s="58"/>
      <c r="C256" s="24">
        <f t="shared" si="43"/>
        <v>1</v>
      </c>
      <c r="D256" s="719"/>
      <c r="E256" s="24">
        <f t="shared" si="44"/>
        <v>0.2</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0">
        <f t="shared" si="52"/>
        <v>0</v>
      </c>
    </row>
    <row r="257" spans="1:19">
      <c r="A257" s="158"/>
      <c r="B257" s="58"/>
      <c r="C257" s="24">
        <f t="shared" si="43"/>
        <v>1</v>
      </c>
      <c r="D257" s="719"/>
      <c r="E257" s="24">
        <f t="shared" si="44"/>
        <v>0.2</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0">
        <f t="shared" si="52"/>
        <v>0</v>
      </c>
    </row>
    <row r="258" spans="1:19">
      <c r="A258" s="158"/>
      <c r="B258" s="58"/>
      <c r="C258" s="24">
        <f t="shared" si="43"/>
        <v>1</v>
      </c>
      <c r="D258" s="719"/>
      <c r="E258" s="24">
        <f t="shared" si="44"/>
        <v>0.2</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0">
        <f t="shared" si="52"/>
        <v>0</v>
      </c>
    </row>
    <row r="259" spans="1:19">
      <c r="A259" s="158"/>
      <c r="B259" s="58"/>
      <c r="C259" s="24">
        <f t="shared" si="43"/>
        <v>1</v>
      </c>
      <c r="D259" s="719"/>
      <c r="E259" s="24">
        <f t="shared" si="44"/>
        <v>0.2</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0">
        <f t="shared" si="52"/>
        <v>0</v>
      </c>
    </row>
    <row r="260" spans="1:19">
      <c r="A260" s="158"/>
      <c r="B260" s="58"/>
      <c r="C260" s="24">
        <f t="shared" si="43"/>
        <v>1</v>
      </c>
      <c r="D260" s="719"/>
      <c r="E260" s="24">
        <f t="shared" si="44"/>
        <v>0.2</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0">
        <f t="shared" si="52"/>
        <v>0</v>
      </c>
    </row>
    <row r="261" spans="1:19">
      <c r="A261" s="158"/>
      <c r="B261" s="58"/>
      <c r="C261" s="24">
        <f t="shared" si="43"/>
        <v>1</v>
      </c>
      <c r="D261" s="719"/>
      <c r="E261" s="24">
        <f t="shared" si="44"/>
        <v>0.2</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0">
        <f t="shared" si="52"/>
        <v>0</v>
      </c>
    </row>
    <row r="262" spans="1:19">
      <c r="A262" s="158"/>
      <c r="B262" s="58"/>
      <c r="C262" s="24">
        <f t="shared" si="43"/>
        <v>1</v>
      </c>
      <c r="D262" s="719"/>
      <c r="E262" s="24">
        <f t="shared" si="44"/>
        <v>0.2</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0">
        <f t="shared" si="52"/>
        <v>0</v>
      </c>
    </row>
    <row r="263" spans="1:19">
      <c r="A263" s="158"/>
      <c r="B263" s="58"/>
      <c r="C263" s="24">
        <f t="shared" si="43"/>
        <v>1</v>
      </c>
      <c r="D263" s="719"/>
      <c r="E263" s="24">
        <f t="shared" si="44"/>
        <v>0.2</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0">
        <f t="shared" si="52"/>
        <v>0</v>
      </c>
    </row>
    <row r="264" spans="1:19">
      <c r="A264" s="158"/>
      <c r="B264" s="58"/>
      <c r="C264" s="24">
        <f t="shared" si="43"/>
        <v>1</v>
      </c>
      <c r="D264" s="719"/>
      <c r="E264" s="24">
        <f t="shared" si="44"/>
        <v>0.2</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0">
        <f t="shared" si="52"/>
        <v>0</v>
      </c>
    </row>
    <row r="265" spans="1:19">
      <c r="A265" s="158"/>
      <c r="B265" s="58"/>
      <c r="C265" s="24">
        <f t="shared" si="43"/>
        <v>1</v>
      </c>
      <c r="D265" s="719"/>
      <c r="E265" s="24">
        <f t="shared" si="44"/>
        <v>0.2</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0">
        <f t="shared" si="52"/>
        <v>0</v>
      </c>
    </row>
    <row r="266" spans="1:19">
      <c r="A266" s="158"/>
      <c r="B266" s="58"/>
      <c r="C266" s="24">
        <f t="shared" si="43"/>
        <v>1</v>
      </c>
      <c r="D266" s="719"/>
      <c r="E266" s="24">
        <f t="shared" si="44"/>
        <v>0.2</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0">
        <f t="shared" si="52"/>
        <v>0</v>
      </c>
    </row>
    <row r="267" spans="1:19">
      <c r="A267" s="158"/>
      <c r="B267" s="58"/>
      <c r="C267" s="24">
        <f t="shared" si="43"/>
        <v>1</v>
      </c>
      <c r="D267" s="719"/>
      <c r="E267" s="24">
        <f t="shared" si="44"/>
        <v>0.2</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0">
        <f t="shared" si="52"/>
        <v>0</v>
      </c>
    </row>
    <row r="268" spans="1:19">
      <c r="A268" s="158"/>
      <c r="B268" s="58"/>
      <c r="C268" s="24">
        <f t="shared" si="43"/>
        <v>1</v>
      </c>
      <c r="D268" s="719"/>
      <c r="E268" s="24">
        <f t="shared" si="44"/>
        <v>0.2</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0">
        <f t="shared" si="52"/>
        <v>0</v>
      </c>
    </row>
    <row r="269" spans="1:19">
      <c r="A269" s="158"/>
      <c r="B269" s="58"/>
      <c r="C269" s="24">
        <f t="shared" si="43"/>
        <v>1</v>
      </c>
      <c r="D269" s="719"/>
      <c r="E269" s="24">
        <f t="shared" si="44"/>
        <v>0.2</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0">
        <f t="shared" si="52"/>
        <v>0</v>
      </c>
    </row>
    <row r="270" spans="1:19">
      <c r="A270" s="158"/>
      <c r="B270" s="58"/>
      <c r="C270" s="24">
        <f t="shared" si="43"/>
        <v>1</v>
      </c>
      <c r="D270" s="719"/>
      <c r="E270" s="24">
        <f t="shared" si="44"/>
        <v>0.2</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0">
        <f t="shared" si="52"/>
        <v>0</v>
      </c>
    </row>
    <row r="271" spans="1:19">
      <c r="A271" s="158"/>
      <c r="B271" s="58"/>
      <c r="C271" s="24">
        <f t="shared" si="43"/>
        <v>1</v>
      </c>
      <c r="D271" s="719"/>
      <c r="E271" s="24">
        <f t="shared" si="44"/>
        <v>0.2</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0">
        <f t="shared" si="52"/>
        <v>0</v>
      </c>
    </row>
    <row r="272" spans="1:19">
      <c r="A272" s="158"/>
      <c r="B272" s="58"/>
      <c r="C272" s="24">
        <f t="shared" si="43"/>
        <v>1</v>
      </c>
      <c r="D272" s="719"/>
      <c r="E272" s="24">
        <f t="shared" si="44"/>
        <v>0.2</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0">
        <f t="shared" si="52"/>
        <v>0</v>
      </c>
    </row>
    <row r="273" spans="1:19">
      <c r="A273" s="158"/>
      <c r="B273" s="58"/>
      <c r="C273" s="24">
        <f t="shared" si="43"/>
        <v>1</v>
      </c>
      <c r="D273" s="719"/>
      <c r="E273" s="24">
        <f t="shared" si="44"/>
        <v>0.2</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0">
        <f t="shared" si="52"/>
        <v>0</v>
      </c>
    </row>
    <row r="274" spans="1:19">
      <c r="A274" s="158"/>
      <c r="B274" s="58"/>
      <c r="C274" s="24">
        <f t="shared" si="43"/>
        <v>1</v>
      </c>
      <c r="D274" s="719"/>
      <c r="E274" s="24">
        <f t="shared" si="44"/>
        <v>0.2</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0">
        <f t="shared" si="52"/>
        <v>0</v>
      </c>
    </row>
    <row r="275" spans="1:19">
      <c r="A275" s="158"/>
      <c r="B275" s="58"/>
      <c r="C275" s="24">
        <f t="shared" si="43"/>
        <v>1</v>
      </c>
      <c r="D275" s="719"/>
      <c r="E275" s="24">
        <f t="shared" si="44"/>
        <v>0.2</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0">
        <f t="shared" si="52"/>
        <v>0</v>
      </c>
    </row>
    <row r="276" spans="1:19">
      <c r="A276" s="158"/>
      <c r="B276" s="58"/>
      <c r="C276" s="24">
        <f t="shared" si="43"/>
        <v>1</v>
      </c>
      <c r="D276" s="719"/>
      <c r="E276" s="24">
        <f t="shared" si="44"/>
        <v>0.2</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0">
        <f t="shared" si="52"/>
        <v>0</v>
      </c>
    </row>
    <row r="277" spans="1:19">
      <c r="A277" s="158"/>
      <c r="B277" s="58"/>
      <c r="C277" s="24">
        <f t="shared" si="43"/>
        <v>1</v>
      </c>
      <c r="D277" s="719"/>
      <c r="E277" s="24">
        <f t="shared" si="44"/>
        <v>0.2</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0">
        <f t="shared" si="52"/>
        <v>0</v>
      </c>
    </row>
    <row r="278" spans="1:19">
      <c r="A278" s="158"/>
      <c r="B278" s="58"/>
      <c r="C278" s="24">
        <f t="shared" si="43"/>
        <v>1</v>
      </c>
      <c r="D278" s="719"/>
      <c r="E278" s="24">
        <f t="shared" si="44"/>
        <v>0.2</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0">
        <f t="shared" si="52"/>
        <v>0</v>
      </c>
    </row>
    <row r="279" spans="1:19">
      <c r="A279" s="158"/>
      <c r="B279" s="58"/>
      <c r="C279" s="24">
        <f t="shared" si="43"/>
        <v>1</v>
      </c>
      <c r="D279" s="719"/>
      <c r="E279" s="24">
        <f t="shared" si="44"/>
        <v>0.2</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0">
        <f t="shared" si="52"/>
        <v>0</v>
      </c>
    </row>
    <row r="280" spans="1:19">
      <c r="A280" s="158"/>
      <c r="B280" s="58"/>
      <c r="C280" s="24">
        <f t="shared" si="43"/>
        <v>1</v>
      </c>
      <c r="D280" s="719"/>
      <c r="E280" s="24">
        <f t="shared" si="44"/>
        <v>0.2</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0">
        <f t="shared" si="52"/>
        <v>0</v>
      </c>
    </row>
    <row r="281" spans="1:19">
      <c r="A281" s="158"/>
      <c r="B281" s="58"/>
      <c r="C281" s="24">
        <f t="shared" si="43"/>
        <v>1</v>
      </c>
      <c r="D281" s="719"/>
      <c r="E281" s="24">
        <f t="shared" si="44"/>
        <v>0.2</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0">
        <f t="shared" si="52"/>
        <v>0</v>
      </c>
    </row>
    <row r="282" spans="1:19">
      <c r="A282" s="158"/>
      <c r="B282" s="58"/>
      <c r="C282" s="24">
        <f t="shared" ref="C282:C345" si="53">IF(B282="",1,(LOOKUP(B282,$3:$3,$4:$4)-LOOKUP($B$24,$3:$3,$4:$4)+100)/100)</f>
        <v>1</v>
      </c>
      <c r="D282" s="719"/>
      <c r="E282" s="24">
        <f t="shared" ref="E282:E345" si="54">(SUMIF($5:$5,D282,$6:$6)-SUMIF($5:$5,$D$24,$6:$6)+100)/100</f>
        <v>0.2</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0">
        <f t="shared" si="52"/>
        <v>0</v>
      </c>
    </row>
    <row r="283" spans="1:19">
      <c r="A283" s="158"/>
      <c r="B283" s="58"/>
      <c r="C283" s="24">
        <f t="shared" si="53"/>
        <v>1</v>
      </c>
      <c r="D283" s="719"/>
      <c r="E283" s="24">
        <f t="shared" si="54"/>
        <v>0.2</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0">
        <f t="shared" si="52"/>
        <v>0</v>
      </c>
    </row>
    <row r="284" spans="1:19">
      <c r="A284" s="158"/>
      <c r="B284" s="58"/>
      <c r="C284" s="24">
        <f t="shared" si="53"/>
        <v>1</v>
      </c>
      <c r="D284" s="719"/>
      <c r="E284" s="24">
        <f t="shared" si="54"/>
        <v>0.2</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0">
        <f t="shared" si="52"/>
        <v>0</v>
      </c>
    </row>
    <row r="285" spans="1:19">
      <c r="A285" s="158"/>
      <c r="B285" s="58"/>
      <c r="C285" s="24">
        <f t="shared" si="53"/>
        <v>1</v>
      </c>
      <c r="D285" s="719"/>
      <c r="E285" s="24">
        <f t="shared" si="54"/>
        <v>0.2</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0">
        <f t="shared" si="52"/>
        <v>0</v>
      </c>
    </row>
    <row r="286" spans="1:19">
      <c r="A286" s="158"/>
      <c r="B286" s="58"/>
      <c r="C286" s="24">
        <f t="shared" si="53"/>
        <v>1</v>
      </c>
      <c r="D286" s="719"/>
      <c r="E286" s="24">
        <f t="shared" si="54"/>
        <v>0.2</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0">
        <f t="shared" si="52"/>
        <v>0</v>
      </c>
    </row>
    <row r="287" spans="1:19">
      <c r="A287" s="158"/>
      <c r="B287" s="58"/>
      <c r="C287" s="24">
        <f t="shared" si="53"/>
        <v>1</v>
      </c>
      <c r="D287" s="719"/>
      <c r="E287" s="24">
        <f t="shared" si="54"/>
        <v>0.2</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0">
        <f t="shared" ref="S287:S320" si="62">ROUND(R287*B287/10000,0)</f>
        <v>0</v>
      </c>
    </row>
    <row r="288" spans="1:19">
      <c r="A288" s="158"/>
      <c r="B288" s="58"/>
      <c r="C288" s="24">
        <f t="shared" si="53"/>
        <v>1</v>
      </c>
      <c r="D288" s="719"/>
      <c r="E288" s="24">
        <f t="shared" si="54"/>
        <v>0.2</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0">
        <f t="shared" si="62"/>
        <v>0</v>
      </c>
    </row>
    <row r="289" spans="1:19">
      <c r="A289" s="158"/>
      <c r="B289" s="58"/>
      <c r="C289" s="24">
        <f t="shared" si="53"/>
        <v>1</v>
      </c>
      <c r="D289" s="719"/>
      <c r="E289" s="24">
        <f t="shared" si="54"/>
        <v>0.2</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0">
        <f t="shared" si="62"/>
        <v>0</v>
      </c>
    </row>
    <row r="290" spans="1:19">
      <c r="A290" s="158"/>
      <c r="B290" s="58"/>
      <c r="C290" s="24">
        <f t="shared" si="53"/>
        <v>1</v>
      </c>
      <c r="D290" s="719"/>
      <c r="E290" s="24">
        <f t="shared" si="54"/>
        <v>0.2</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0">
        <f t="shared" si="62"/>
        <v>0</v>
      </c>
    </row>
    <row r="291" spans="1:19">
      <c r="A291" s="158"/>
      <c r="B291" s="58"/>
      <c r="C291" s="24">
        <f t="shared" si="53"/>
        <v>1</v>
      </c>
      <c r="D291" s="719"/>
      <c r="E291" s="24">
        <f t="shared" si="54"/>
        <v>0.2</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0">
        <f t="shared" si="62"/>
        <v>0</v>
      </c>
    </row>
    <row r="292" spans="1:19">
      <c r="A292" s="158"/>
      <c r="B292" s="58"/>
      <c r="C292" s="24">
        <f t="shared" si="53"/>
        <v>1</v>
      </c>
      <c r="D292" s="719"/>
      <c r="E292" s="24">
        <f t="shared" si="54"/>
        <v>0.2</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0">
        <f t="shared" si="62"/>
        <v>0</v>
      </c>
    </row>
    <row r="293" spans="1:19">
      <c r="A293" s="158"/>
      <c r="B293" s="58"/>
      <c r="C293" s="24">
        <f t="shared" si="53"/>
        <v>1</v>
      </c>
      <c r="D293" s="719"/>
      <c r="E293" s="24">
        <f t="shared" si="54"/>
        <v>0.2</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0">
        <f t="shared" si="62"/>
        <v>0</v>
      </c>
    </row>
    <row r="294" spans="1:19">
      <c r="A294" s="158"/>
      <c r="B294" s="58"/>
      <c r="C294" s="24">
        <f t="shared" si="53"/>
        <v>1</v>
      </c>
      <c r="D294" s="719"/>
      <c r="E294" s="24">
        <f t="shared" si="54"/>
        <v>0.2</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0">
        <f t="shared" si="62"/>
        <v>0</v>
      </c>
    </row>
    <row r="295" spans="1:19">
      <c r="A295" s="158"/>
      <c r="B295" s="58"/>
      <c r="C295" s="24">
        <f t="shared" si="53"/>
        <v>1</v>
      </c>
      <c r="D295" s="719"/>
      <c r="E295" s="24">
        <f t="shared" si="54"/>
        <v>0.2</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0">
        <f t="shared" si="62"/>
        <v>0</v>
      </c>
    </row>
    <row r="296" spans="1:19">
      <c r="A296" s="158"/>
      <c r="B296" s="58"/>
      <c r="C296" s="24">
        <f t="shared" si="53"/>
        <v>1</v>
      </c>
      <c r="D296" s="719"/>
      <c r="E296" s="24">
        <f t="shared" si="54"/>
        <v>0.2</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0">
        <f t="shared" si="62"/>
        <v>0</v>
      </c>
    </row>
    <row r="297" spans="1:19">
      <c r="A297" s="158"/>
      <c r="B297" s="58"/>
      <c r="C297" s="24">
        <f t="shared" si="53"/>
        <v>1</v>
      </c>
      <c r="D297" s="719"/>
      <c r="E297" s="24">
        <f t="shared" si="54"/>
        <v>0.2</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0">
        <f t="shared" si="62"/>
        <v>0</v>
      </c>
    </row>
    <row r="298" spans="1:19">
      <c r="A298" s="158"/>
      <c r="B298" s="58"/>
      <c r="C298" s="24">
        <f t="shared" si="53"/>
        <v>1</v>
      </c>
      <c r="D298" s="719"/>
      <c r="E298" s="24">
        <f t="shared" si="54"/>
        <v>0.2</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0">
        <f t="shared" si="62"/>
        <v>0</v>
      </c>
    </row>
    <row r="299" spans="1:19">
      <c r="A299" s="158"/>
      <c r="B299" s="58"/>
      <c r="C299" s="24">
        <f t="shared" si="53"/>
        <v>1</v>
      </c>
      <c r="D299" s="719"/>
      <c r="E299" s="24">
        <f t="shared" si="54"/>
        <v>0.2</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0">
        <f t="shared" si="62"/>
        <v>0</v>
      </c>
    </row>
    <row r="300" spans="1:19">
      <c r="A300" s="158"/>
      <c r="B300" s="58"/>
      <c r="C300" s="24">
        <f t="shared" si="53"/>
        <v>1</v>
      </c>
      <c r="D300" s="719"/>
      <c r="E300" s="24">
        <f t="shared" si="54"/>
        <v>0.2</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0">
        <f t="shared" si="62"/>
        <v>0</v>
      </c>
    </row>
    <row r="301" spans="1:19">
      <c r="A301" s="158"/>
      <c r="B301" s="58"/>
      <c r="C301" s="24">
        <f t="shared" si="53"/>
        <v>1</v>
      </c>
      <c r="D301" s="719"/>
      <c r="E301" s="24">
        <f t="shared" si="54"/>
        <v>0.2</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0">
        <f t="shared" si="62"/>
        <v>0</v>
      </c>
    </row>
    <row r="302" spans="1:19">
      <c r="A302" s="158"/>
      <c r="B302" s="58"/>
      <c r="C302" s="24">
        <f t="shared" si="53"/>
        <v>1</v>
      </c>
      <c r="D302" s="719"/>
      <c r="E302" s="24">
        <f t="shared" si="54"/>
        <v>0.2</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0">
        <f t="shared" si="62"/>
        <v>0</v>
      </c>
    </row>
    <row r="303" spans="1:19">
      <c r="A303" s="158"/>
      <c r="B303" s="58"/>
      <c r="C303" s="24">
        <f t="shared" si="53"/>
        <v>1</v>
      </c>
      <c r="D303" s="719"/>
      <c r="E303" s="24">
        <f t="shared" si="54"/>
        <v>0.2</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0">
        <f t="shared" si="62"/>
        <v>0</v>
      </c>
    </row>
    <row r="304" spans="1:19">
      <c r="A304" s="158"/>
      <c r="B304" s="58"/>
      <c r="C304" s="24">
        <f t="shared" si="53"/>
        <v>1</v>
      </c>
      <c r="D304" s="719"/>
      <c r="E304" s="24">
        <f t="shared" si="54"/>
        <v>0.2</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0">
        <f t="shared" si="62"/>
        <v>0</v>
      </c>
    </row>
    <row r="305" spans="1:19">
      <c r="A305" s="158"/>
      <c r="B305" s="58"/>
      <c r="C305" s="24">
        <f t="shared" si="53"/>
        <v>1</v>
      </c>
      <c r="D305" s="719"/>
      <c r="E305" s="24">
        <f t="shared" si="54"/>
        <v>0.2</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0">
        <f t="shared" si="62"/>
        <v>0</v>
      </c>
    </row>
    <row r="306" spans="1:19">
      <c r="A306" s="158"/>
      <c r="B306" s="58"/>
      <c r="C306" s="24">
        <f t="shared" si="53"/>
        <v>1</v>
      </c>
      <c r="D306" s="719"/>
      <c r="E306" s="24">
        <f t="shared" si="54"/>
        <v>0.2</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0">
        <f t="shared" si="62"/>
        <v>0</v>
      </c>
    </row>
    <row r="307" spans="1:19">
      <c r="A307" s="158"/>
      <c r="B307" s="58"/>
      <c r="C307" s="24">
        <f t="shared" si="53"/>
        <v>1</v>
      </c>
      <c r="D307" s="719"/>
      <c r="E307" s="24">
        <f t="shared" si="54"/>
        <v>0.2</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0">
        <f t="shared" si="62"/>
        <v>0</v>
      </c>
    </row>
    <row r="308" spans="1:19">
      <c r="A308" s="158"/>
      <c r="B308" s="58"/>
      <c r="C308" s="24">
        <f t="shared" si="53"/>
        <v>1</v>
      </c>
      <c r="D308" s="719"/>
      <c r="E308" s="24">
        <f t="shared" si="54"/>
        <v>0.2</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0">
        <f t="shared" si="62"/>
        <v>0</v>
      </c>
    </row>
    <row r="309" spans="1:19">
      <c r="A309" s="158"/>
      <c r="B309" s="58"/>
      <c r="C309" s="24">
        <f t="shared" si="53"/>
        <v>1</v>
      </c>
      <c r="D309" s="719"/>
      <c r="E309" s="24">
        <f t="shared" si="54"/>
        <v>0.2</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0">
        <f t="shared" si="62"/>
        <v>0</v>
      </c>
    </row>
    <row r="310" spans="1:19">
      <c r="A310" s="158"/>
      <c r="B310" s="58"/>
      <c r="C310" s="24">
        <f t="shared" si="53"/>
        <v>1</v>
      </c>
      <c r="D310" s="719"/>
      <c r="E310" s="24">
        <f t="shared" si="54"/>
        <v>0.2</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0">
        <f t="shared" si="62"/>
        <v>0</v>
      </c>
    </row>
    <row r="311" spans="1:19">
      <c r="A311" s="158"/>
      <c r="B311" s="58"/>
      <c r="C311" s="24">
        <f t="shared" si="53"/>
        <v>1</v>
      </c>
      <c r="D311" s="719"/>
      <c r="E311" s="24">
        <f t="shared" si="54"/>
        <v>0.2</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0">
        <f t="shared" si="62"/>
        <v>0</v>
      </c>
    </row>
    <row r="312" spans="1:19">
      <c r="A312" s="158"/>
      <c r="B312" s="58"/>
      <c r="C312" s="24">
        <f t="shared" si="53"/>
        <v>1</v>
      </c>
      <c r="D312" s="719"/>
      <c r="E312" s="24">
        <f t="shared" si="54"/>
        <v>0.2</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0">
        <f t="shared" si="62"/>
        <v>0</v>
      </c>
    </row>
    <row r="313" spans="1:19">
      <c r="A313" s="158"/>
      <c r="B313" s="58"/>
      <c r="C313" s="24">
        <f t="shared" si="53"/>
        <v>1</v>
      </c>
      <c r="D313" s="719"/>
      <c r="E313" s="24">
        <f t="shared" si="54"/>
        <v>0.2</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0">
        <f t="shared" si="62"/>
        <v>0</v>
      </c>
    </row>
    <row r="314" spans="1:19">
      <c r="A314" s="158"/>
      <c r="B314" s="58"/>
      <c r="C314" s="24">
        <f t="shared" si="53"/>
        <v>1</v>
      </c>
      <c r="D314" s="719"/>
      <c r="E314" s="24">
        <f t="shared" si="54"/>
        <v>0.2</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0">
        <f t="shared" si="62"/>
        <v>0</v>
      </c>
    </row>
    <row r="315" spans="1:19">
      <c r="A315" s="158"/>
      <c r="B315" s="58"/>
      <c r="C315" s="24">
        <f t="shared" si="53"/>
        <v>1</v>
      </c>
      <c r="D315" s="719"/>
      <c r="E315" s="24">
        <f t="shared" si="54"/>
        <v>0.2</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0">
        <f t="shared" si="62"/>
        <v>0</v>
      </c>
    </row>
    <row r="316" spans="1:19">
      <c r="A316" s="158"/>
      <c r="B316" s="58"/>
      <c r="C316" s="24">
        <f t="shared" si="53"/>
        <v>1</v>
      </c>
      <c r="D316" s="719"/>
      <c r="E316" s="24">
        <f t="shared" si="54"/>
        <v>0.2</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0">
        <f t="shared" si="62"/>
        <v>0</v>
      </c>
    </row>
    <row r="317" spans="1:19">
      <c r="A317" s="158"/>
      <c r="B317" s="58"/>
      <c r="C317" s="24">
        <f t="shared" si="53"/>
        <v>1</v>
      </c>
      <c r="D317" s="719"/>
      <c r="E317" s="24">
        <f t="shared" si="54"/>
        <v>0.2</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0">
        <f t="shared" si="62"/>
        <v>0</v>
      </c>
    </row>
    <row r="318" spans="1:19">
      <c r="A318" s="158"/>
      <c r="B318" s="58"/>
      <c r="C318" s="24">
        <f t="shared" si="53"/>
        <v>1</v>
      </c>
      <c r="D318" s="719"/>
      <c r="E318" s="24">
        <f t="shared" si="54"/>
        <v>0.2</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0">
        <f t="shared" si="62"/>
        <v>0</v>
      </c>
    </row>
    <row r="319" spans="1:19">
      <c r="A319" s="158"/>
      <c r="B319" s="58"/>
      <c r="C319" s="24">
        <f t="shared" si="53"/>
        <v>1</v>
      </c>
      <c r="D319" s="719"/>
      <c r="E319" s="24">
        <f t="shared" si="54"/>
        <v>0.2</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0">
        <f t="shared" si="62"/>
        <v>0</v>
      </c>
    </row>
    <row r="320" spans="1:19">
      <c r="A320" s="158"/>
      <c r="B320" s="58"/>
      <c r="C320" s="24">
        <f t="shared" si="53"/>
        <v>1</v>
      </c>
      <c r="D320" s="719"/>
      <c r="E320" s="24">
        <f t="shared" si="54"/>
        <v>0.2</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0">
        <f t="shared" si="62"/>
        <v>0</v>
      </c>
    </row>
    <row r="321" spans="1:19">
      <c r="A321" s="158"/>
      <c r="B321" s="58"/>
      <c r="C321" s="24">
        <f t="shared" si="53"/>
        <v>1</v>
      </c>
      <c r="D321" s="719"/>
      <c r="E321" s="24">
        <f t="shared" si="54"/>
        <v>0.2</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0">
        <f t="shared" ref="S321:S384" si="63">ROUND(R321*B321/10000,0)</f>
        <v>0</v>
      </c>
    </row>
    <row r="322" spans="1:19">
      <c r="A322" s="158"/>
      <c r="B322" s="58"/>
      <c r="C322" s="24">
        <f t="shared" si="53"/>
        <v>1</v>
      </c>
      <c r="D322" s="719"/>
      <c r="E322" s="24">
        <f t="shared" si="54"/>
        <v>0.2</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0">
        <f t="shared" si="63"/>
        <v>0</v>
      </c>
    </row>
    <row r="323" spans="1:19">
      <c r="A323" s="158"/>
      <c r="B323" s="58"/>
      <c r="C323" s="24">
        <f t="shared" si="53"/>
        <v>1</v>
      </c>
      <c r="D323" s="719"/>
      <c r="E323" s="24">
        <f t="shared" si="54"/>
        <v>0.2</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0">
        <f t="shared" si="63"/>
        <v>0</v>
      </c>
    </row>
    <row r="324" spans="1:19">
      <c r="A324" s="158"/>
      <c r="B324" s="58"/>
      <c r="C324" s="24">
        <f t="shared" si="53"/>
        <v>1</v>
      </c>
      <c r="D324" s="719"/>
      <c r="E324" s="24">
        <f t="shared" si="54"/>
        <v>0.2</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0">
        <f t="shared" si="63"/>
        <v>0</v>
      </c>
    </row>
    <row r="325" spans="1:19">
      <c r="A325" s="158"/>
      <c r="B325" s="58"/>
      <c r="C325" s="24">
        <f t="shared" si="53"/>
        <v>1</v>
      </c>
      <c r="D325" s="719"/>
      <c r="E325" s="24">
        <f t="shared" si="54"/>
        <v>0.2</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0">
        <f t="shared" si="63"/>
        <v>0</v>
      </c>
    </row>
    <row r="326" spans="1:19">
      <c r="A326" s="158"/>
      <c r="B326" s="58"/>
      <c r="C326" s="24">
        <f t="shared" si="53"/>
        <v>1</v>
      </c>
      <c r="D326" s="719"/>
      <c r="E326" s="24">
        <f t="shared" si="54"/>
        <v>0.2</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0">
        <f t="shared" si="63"/>
        <v>0</v>
      </c>
    </row>
    <row r="327" spans="1:19">
      <c r="A327" s="158"/>
      <c r="B327" s="58"/>
      <c r="C327" s="24">
        <f t="shared" si="53"/>
        <v>1</v>
      </c>
      <c r="D327" s="719"/>
      <c r="E327" s="24">
        <f t="shared" si="54"/>
        <v>0.2</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0">
        <f t="shared" si="63"/>
        <v>0</v>
      </c>
    </row>
    <row r="328" spans="1:19">
      <c r="A328" s="158"/>
      <c r="B328" s="58"/>
      <c r="C328" s="24">
        <f t="shared" si="53"/>
        <v>1</v>
      </c>
      <c r="D328" s="719"/>
      <c r="E328" s="24">
        <f t="shared" si="54"/>
        <v>0.2</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0">
        <f t="shared" si="63"/>
        <v>0</v>
      </c>
    </row>
    <row r="329" spans="1:19">
      <c r="A329" s="158"/>
      <c r="B329" s="58"/>
      <c r="C329" s="24">
        <f t="shared" si="53"/>
        <v>1</v>
      </c>
      <c r="D329" s="719"/>
      <c r="E329" s="24">
        <f t="shared" si="54"/>
        <v>0.2</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0">
        <f t="shared" si="63"/>
        <v>0</v>
      </c>
    </row>
    <row r="330" spans="1:19">
      <c r="A330" s="158"/>
      <c r="B330" s="58"/>
      <c r="C330" s="24">
        <f t="shared" si="53"/>
        <v>1</v>
      </c>
      <c r="D330" s="719"/>
      <c r="E330" s="24">
        <f t="shared" si="54"/>
        <v>0.2</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0">
        <f t="shared" si="63"/>
        <v>0</v>
      </c>
    </row>
    <row r="331" spans="1:19">
      <c r="A331" s="158"/>
      <c r="B331" s="58"/>
      <c r="C331" s="24">
        <f t="shared" si="53"/>
        <v>1</v>
      </c>
      <c r="D331" s="719"/>
      <c r="E331" s="24">
        <f t="shared" si="54"/>
        <v>0.2</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0">
        <f t="shared" si="63"/>
        <v>0</v>
      </c>
    </row>
    <row r="332" spans="1:19">
      <c r="A332" s="158"/>
      <c r="B332" s="58"/>
      <c r="C332" s="24">
        <f t="shared" si="53"/>
        <v>1</v>
      </c>
      <c r="D332" s="719"/>
      <c r="E332" s="24">
        <f t="shared" si="54"/>
        <v>0.2</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0">
        <f t="shared" si="63"/>
        <v>0</v>
      </c>
    </row>
    <row r="333" spans="1:19">
      <c r="A333" s="158"/>
      <c r="B333" s="58"/>
      <c r="C333" s="24">
        <f t="shared" si="53"/>
        <v>1</v>
      </c>
      <c r="D333" s="719"/>
      <c r="E333" s="24">
        <f t="shared" si="54"/>
        <v>0.2</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0">
        <f t="shared" si="63"/>
        <v>0</v>
      </c>
    </row>
    <row r="334" spans="1:19">
      <c r="A334" s="158"/>
      <c r="B334" s="58"/>
      <c r="C334" s="24">
        <f t="shared" si="53"/>
        <v>1</v>
      </c>
      <c r="D334" s="719"/>
      <c r="E334" s="24">
        <f t="shared" si="54"/>
        <v>0.2</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0">
        <f t="shared" si="63"/>
        <v>0</v>
      </c>
    </row>
    <row r="335" spans="1:19">
      <c r="A335" s="158"/>
      <c r="B335" s="58"/>
      <c r="C335" s="24">
        <f t="shared" si="53"/>
        <v>1</v>
      </c>
      <c r="D335" s="719"/>
      <c r="E335" s="24">
        <f t="shared" si="54"/>
        <v>0.2</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0">
        <f t="shared" si="63"/>
        <v>0</v>
      </c>
    </row>
    <row r="336" spans="1:19">
      <c r="A336" s="158"/>
      <c r="B336" s="58"/>
      <c r="C336" s="24">
        <f t="shared" si="53"/>
        <v>1</v>
      </c>
      <c r="D336" s="719"/>
      <c r="E336" s="24">
        <f t="shared" si="54"/>
        <v>0.2</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0">
        <f t="shared" si="63"/>
        <v>0</v>
      </c>
    </row>
    <row r="337" spans="1:19">
      <c r="A337" s="158"/>
      <c r="B337" s="58"/>
      <c r="C337" s="24">
        <f t="shared" si="53"/>
        <v>1</v>
      </c>
      <c r="D337" s="719"/>
      <c r="E337" s="24">
        <f t="shared" si="54"/>
        <v>0.2</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0">
        <f t="shared" si="63"/>
        <v>0</v>
      </c>
    </row>
    <row r="338" spans="1:19">
      <c r="A338" s="158"/>
      <c r="B338" s="58"/>
      <c r="C338" s="24">
        <f t="shared" si="53"/>
        <v>1</v>
      </c>
      <c r="D338" s="719"/>
      <c r="E338" s="24">
        <f t="shared" si="54"/>
        <v>0.2</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0">
        <f t="shared" si="63"/>
        <v>0</v>
      </c>
    </row>
    <row r="339" spans="1:19">
      <c r="A339" s="158"/>
      <c r="B339" s="58"/>
      <c r="C339" s="24">
        <f t="shared" si="53"/>
        <v>1</v>
      </c>
      <c r="D339" s="719"/>
      <c r="E339" s="24">
        <f t="shared" si="54"/>
        <v>0.2</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0">
        <f t="shared" si="63"/>
        <v>0</v>
      </c>
    </row>
    <row r="340" spans="1:19">
      <c r="A340" s="158"/>
      <c r="B340" s="58"/>
      <c r="C340" s="24">
        <f t="shared" si="53"/>
        <v>1</v>
      </c>
      <c r="D340" s="719"/>
      <c r="E340" s="24">
        <f t="shared" si="54"/>
        <v>0.2</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0">
        <f t="shared" si="63"/>
        <v>0</v>
      </c>
    </row>
    <row r="341" spans="1:19">
      <c r="A341" s="158"/>
      <c r="B341" s="58"/>
      <c r="C341" s="24">
        <f t="shared" si="53"/>
        <v>1</v>
      </c>
      <c r="D341" s="719"/>
      <c r="E341" s="24">
        <f t="shared" si="54"/>
        <v>0.2</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0">
        <f t="shared" si="63"/>
        <v>0</v>
      </c>
    </row>
    <row r="342" spans="1:19">
      <c r="A342" s="158"/>
      <c r="B342" s="58"/>
      <c r="C342" s="24">
        <f t="shared" si="53"/>
        <v>1</v>
      </c>
      <c r="D342" s="719"/>
      <c r="E342" s="24">
        <f t="shared" si="54"/>
        <v>0.2</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0">
        <f t="shared" si="63"/>
        <v>0</v>
      </c>
    </row>
    <row r="343" spans="1:19">
      <c r="A343" s="158"/>
      <c r="B343" s="58"/>
      <c r="C343" s="24">
        <f t="shared" si="53"/>
        <v>1</v>
      </c>
      <c r="D343" s="719"/>
      <c r="E343" s="24">
        <f t="shared" si="54"/>
        <v>0.2</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0">
        <f t="shared" si="63"/>
        <v>0</v>
      </c>
    </row>
    <row r="344" spans="1:19">
      <c r="A344" s="158"/>
      <c r="B344" s="58"/>
      <c r="C344" s="24">
        <f t="shared" si="53"/>
        <v>1</v>
      </c>
      <c r="D344" s="719"/>
      <c r="E344" s="24">
        <f t="shared" si="54"/>
        <v>0.2</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0">
        <f t="shared" si="63"/>
        <v>0</v>
      </c>
    </row>
    <row r="345" spans="1:19">
      <c r="A345" s="158"/>
      <c r="B345" s="58"/>
      <c r="C345" s="24">
        <f t="shared" si="53"/>
        <v>1</v>
      </c>
      <c r="D345" s="719"/>
      <c r="E345" s="24">
        <f t="shared" si="54"/>
        <v>0.2</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0">
        <f t="shared" si="63"/>
        <v>0</v>
      </c>
    </row>
    <row r="346" spans="1:19">
      <c r="A346" s="158"/>
      <c r="B346" s="58"/>
      <c r="C346" s="24">
        <f t="shared" ref="C346:C409" si="64">IF(B346="",1,(LOOKUP(B346,$3:$3,$4:$4)-LOOKUP($B$24,$3:$3,$4:$4)+100)/100)</f>
        <v>1</v>
      </c>
      <c r="D346" s="719"/>
      <c r="E346" s="24">
        <f t="shared" ref="E346:E409" si="65">(SUMIF($5:$5,D346,$6:$6)-SUMIF($5:$5,$D$24,$6:$6)+100)/100</f>
        <v>0.2</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0">
        <f t="shared" si="63"/>
        <v>0</v>
      </c>
    </row>
    <row r="347" spans="1:19">
      <c r="A347" s="158"/>
      <c r="B347" s="58"/>
      <c r="C347" s="24">
        <f t="shared" si="64"/>
        <v>1</v>
      </c>
      <c r="D347" s="719"/>
      <c r="E347" s="24">
        <f t="shared" si="65"/>
        <v>0.2</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0">
        <f t="shared" si="63"/>
        <v>0</v>
      </c>
    </row>
    <row r="348" spans="1:19">
      <c r="A348" s="158"/>
      <c r="B348" s="58"/>
      <c r="C348" s="24">
        <f t="shared" si="64"/>
        <v>1</v>
      </c>
      <c r="D348" s="719"/>
      <c r="E348" s="24">
        <f t="shared" si="65"/>
        <v>0.2</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0">
        <f t="shared" si="63"/>
        <v>0</v>
      </c>
    </row>
    <row r="349" spans="1:19">
      <c r="A349" s="158"/>
      <c r="B349" s="58"/>
      <c r="C349" s="24">
        <f t="shared" si="64"/>
        <v>1</v>
      </c>
      <c r="D349" s="719"/>
      <c r="E349" s="24">
        <f t="shared" si="65"/>
        <v>0.2</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0">
        <f t="shared" si="63"/>
        <v>0</v>
      </c>
    </row>
    <row r="350" spans="1:19">
      <c r="A350" s="158"/>
      <c r="B350" s="58"/>
      <c r="C350" s="24">
        <f t="shared" si="64"/>
        <v>1</v>
      </c>
      <c r="D350" s="719"/>
      <c r="E350" s="24">
        <f t="shared" si="65"/>
        <v>0.2</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0">
        <f t="shared" si="63"/>
        <v>0</v>
      </c>
    </row>
    <row r="351" spans="1:19">
      <c r="A351" s="158"/>
      <c r="B351" s="58"/>
      <c r="C351" s="24">
        <f t="shared" si="64"/>
        <v>1</v>
      </c>
      <c r="D351" s="719"/>
      <c r="E351" s="24">
        <f t="shared" si="65"/>
        <v>0.2</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0">
        <f t="shared" si="63"/>
        <v>0</v>
      </c>
    </row>
    <row r="352" spans="1:19">
      <c r="A352" s="158"/>
      <c r="B352" s="58"/>
      <c r="C352" s="24">
        <f t="shared" si="64"/>
        <v>1</v>
      </c>
      <c r="D352" s="719"/>
      <c r="E352" s="24">
        <f t="shared" si="65"/>
        <v>0.2</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0">
        <f t="shared" si="63"/>
        <v>0</v>
      </c>
    </row>
    <row r="353" spans="1:19">
      <c r="A353" s="158"/>
      <c r="B353" s="58"/>
      <c r="C353" s="24">
        <f t="shared" si="64"/>
        <v>1</v>
      </c>
      <c r="D353" s="719"/>
      <c r="E353" s="24">
        <f t="shared" si="65"/>
        <v>0.2</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0">
        <f t="shared" si="63"/>
        <v>0</v>
      </c>
    </row>
    <row r="354" spans="1:19">
      <c r="A354" s="158"/>
      <c r="B354" s="58"/>
      <c r="C354" s="24">
        <f t="shared" si="64"/>
        <v>1</v>
      </c>
      <c r="D354" s="719"/>
      <c r="E354" s="24">
        <f t="shared" si="65"/>
        <v>0.2</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0">
        <f t="shared" si="63"/>
        <v>0</v>
      </c>
    </row>
    <row r="355" spans="1:19">
      <c r="A355" s="158"/>
      <c r="B355" s="58"/>
      <c r="C355" s="24">
        <f t="shared" si="64"/>
        <v>1</v>
      </c>
      <c r="D355" s="719"/>
      <c r="E355" s="24">
        <f t="shared" si="65"/>
        <v>0.2</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0">
        <f t="shared" si="63"/>
        <v>0</v>
      </c>
    </row>
    <row r="356" spans="1:19">
      <c r="A356" s="158"/>
      <c r="B356" s="58"/>
      <c r="C356" s="24">
        <f t="shared" si="64"/>
        <v>1</v>
      </c>
      <c r="D356" s="719"/>
      <c r="E356" s="24">
        <f t="shared" si="65"/>
        <v>0.2</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0">
        <f t="shared" si="63"/>
        <v>0</v>
      </c>
    </row>
    <row r="357" spans="1:19">
      <c r="A357" s="158"/>
      <c r="B357" s="58"/>
      <c r="C357" s="24">
        <f t="shared" si="64"/>
        <v>1</v>
      </c>
      <c r="D357" s="719"/>
      <c r="E357" s="24">
        <f t="shared" si="65"/>
        <v>0.2</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0">
        <f t="shared" si="63"/>
        <v>0</v>
      </c>
    </row>
    <row r="358" spans="1:19">
      <c r="A358" s="158"/>
      <c r="B358" s="58"/>
      <c r="C358" s="24">
        <f t="shared" si="64"/>
        <v>1</v>
      </c>
      <c r="D358" s="719"/>
      <c r="E358" s="24">
        <f t="shared" si="65"/>
        <v>0.2</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0">
        <f t="shared" si="63"/>
        <v>0</v>
      </c>
    </row>
    <row r="359" spans="1:19">
      <c r="A359" s="158"/>
      <c r="B359" s="58"/>
      <c r="C359" s="24">
        <f t="shared" si="64"/>
        <v>1</v>
      </c>
      <c r="D359" s="719"/>
      <c r="E359" s="24">
        <f t="shared" si="65"/>
        <v>0.2</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0">
        <f t="shared" si="63"/>
        <v>0</v>
      </c>
    </row>
    <row r="360" spans="1:19">
      <c r="A360" s="158"/>
      <c r="B360" s="58"/>
      <c r="C360" s="24">
        <f t="shared" si="64"/>
        <v>1</v>
      </c>
      <c r="D360" s="719"/>
      <c r="E360" s="24">
        <f t="shared" si="65"/>
        <v>0.2</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0">
        <f t="shared" si="63"/>
        <v>0</v>
      </c>
    </row>
    <row r="361" spans="1:19">
      <c r="A361" s="158"/>
      <c r="B361" s="58"/>
      <c r="C361" s="24">
        <f t="shared" si="64"/>
        <v>1</v>
      </c>
      <c r="D361" s="719"/>
      <c r="E361" s="24">
        <f t="shared" si="65"/>
        <v>0.2</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0">
        <f t="shared" si="63"/>
        <v>0</v>
      </c>
    </row>
    <row r="362" spans="1:19">
      <c r="A362" s="158"/>
      <c r="B362" s="58"/>
      <c r="C362" s="24">
        <f t="shared" si="64"/>
        <v>1</v>
      </c>
      <c r="D362" s="719"/>
      <c r="E362" s="24">
        <f t="shared" si="65"/>
        <v>0.2</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0">
        <f t="shared" si="63"/>
        <v>0</v>
      </c>
    </row>
    <row r="363" spans="1:19">
      <c r="A363" s="158"/>
      <c r="B363" s="58"/>
      <c r="C363" s="24">
        <f t="shared" si="64"/>
        <v>1</v>
      </c>
      <c r="D363" s="719"/>
      <c r="E363" s="24">
        <f t="shared" si="65"/>
        <v>0.2</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0">
        <f t="shared" si="63"/>
        <v>0</v>
      </c>
    </row>
    <row r="364" spans="1:19">
      <c r="A364" s="158"/>
      <c r="B364" s="58"/>
      <c r="C364" s="24">
        <f t="shared" si="64"/>
        <v>1</v>
      </c>
      <c r="D364" s="719"/>
      <c r="E364" s="24">
        <f t="shared" si="65"/>
        <v>0.2</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0">
        <f t="shared" si="63"/>
        <v>0</v>
      </c>
    </row>
    <row r="365" spans="1:19">
      <c r="A365" s="158"/>
      <c r="B365" s="58"/>
      <c r="C365" s="24">
        <f t="shared" si="64"/>
        <v>1</v>
      </c>
      <c r="D365" s="719"/>
      <c r="E365" s="24">
        <f t="shared" si="65"/>
        <v>0.2</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0">
        <f t="shared" si="63"/>
        <v>0</v>
      </c>
    </row>
    <row r="366" spans="1:19">
      <c r="A366" s="158"/>
      <c r="B366" s="58"/>
      <c r="C366" s="24">
        <f t="shared" si="64"/>
        <v>1</v>
      </c>
      <c r="D366" s="719"/>
      <c r="E366" s="24">
        <f t="shared" si="65"/>
        <v>0.2</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0">
        <f t="shared" si="63"/>
        <v>0</v>
      </c>
    </row>
    <row r="367" spans="1:19">
      <c r="A367" s="158"/>
      <c r="B367" s="58"/>
      <c r="C367" s="24">
        <f t="shared" si="64"/>
        <v>1</v>
      </c>
      <c r="D367" s="719"/>
      <c r="E367" s="24">
        <f t="shared" si="65"/>
        <v>0.2</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0">
        <f t="shared" si="63"/>
        <v>0</v>
      </c>
    </row>
    <row r="368" spans="1:19">
      <c r="A368" s="158"/>
      <c r="B368" s="58"/>
      <c r="C368" s="24">
        <f t="shared" si="64"/>
        <v>1</v>
      </c>
      <c r="D368" s="719"/>
      <c r="E368" s="24">
        <f t="shared" si="65"/>
        <v>0.2</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0">
        <f t="shared" si="63"/>
        <v>0</v>
      </c>
    </row>
    <row r="369" spans="1:19">
      <c r="A369" s="158"/>
      <c r="B369" s="58"/>
      <c r="C369" s="24">
        <f t="shared" si="64"/>
        <v>1</v>
      </c>
      <c r="D369" s="719"/>
      <c r="E369" s="24">
        <f t="shared" si="65"/>
        <v>0.2</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0">
        <f t="shared" si="63"/>
        <v>0</v>
      </c>
    </row>
    <row r="370" spans="1:19">
      <c r="A370" s="158"/>
      <c r="B370" s="58"/>
      <c r="C370" s="24">
        <f t="shared" si="64"/>
        <v>1</v>
      </c>
      <c r="D370" s="719"/>
      <c r="E370" s="24">
        <f t="shared" si="65"/>
        <v>0.2</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0">
        <f t="shared" si="63"/>
        <v>0</v>
      </c>
    </row>
    <row r="371" spans="1:19">
      <c r="A371" s="158"/>
      <c r="B371" s="58"/>
      <c r="C371" s="24">
        <f t="shared" si="64"/>
        <v>1</v>
      </c>
      <c r="D371" s="719"/>
      <c r="E371" s="24">
        <f t="shared" si="65"/>
        <v>0.2</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0">
        <f t="shared" si="63"/>
        <v>0</v>
      </c>
    </row>
    <row r="372" spans="1:19">
      <c r="A372" s="158"/>
      <c r="B372" s="58"/>
      <c r="C372" s="24">
        <f t="shared" si="64"/>
        <v>1</v>
      </c>
      <c r="D372" s="719"/>
      <c r="E372" s="24">
        <f t="shared" si="65"/>
        <v>0.2</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0">
        <f t="shared" si="63"/>
        <v>0</v>
      </c>
    </row>
    <row r="373" spans="1:19">
      <c r="A373" s="158"/>
      <c r="B373" s="58"/>
      <c r="C373" s="24">
        <f t="shared" si="64"/>
        <v>1</v>
      </c>
      <c r="D373" s="719"/>
      <c r="E373" s="24">
        <f t="shared" si="65"/>
        <v>0.2</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0">
        <f t="shared" si="63"/>
        <v>0</v>
      </c>
    </row>
    <row r="374" spans="1:19">
      <c r="A374" s="158"/>
      <c r="B374" s="58"/>
      <c r="C374" s="24">
        <f t="shared" si="64"/>
        <v>1</v>
      </c>
      <c r="D374" s="719"/>
      <c r="E374" s="24">
        <f t="shared" si="65"/>
        <v>0.2</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0">
        <f t="shared" si="63"/>
        <v>0</v>
      </c>
    </row>
    <row r="375" spans="1:19">
      <c r="A375" s="158"/>
      <c r="B375" s="58"/>
      <c r="C375" s="24">
        <f t="shared" si="64"/>
        <v>1</v>
      </c>
      <c r="D375" s="719"/>
      <c r="E375" s="24">
        <f t="shared" si="65"/>
        <v>0.2</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0">
        <f t="shared" si="63"/>
        <v>0</v>
      </c>
    </row>
    <row r="376" spans="1:19">
      <c r="A376" s="158"/>
      <c r="B376" s="58"/>
      <c r="C376" s="24">
        <f t="shared" si="64"/>
        <v>1</v>
      </c>
      <c r="D376" s="719"/>
      <c r="E376" s="24">
        <f t="shared" si="65"/>
        <v>0.2</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0">
        <f t="shared" si="63"/>
        <v>0</v>
      </c>
    </row>
    <row r="377" spans="1:19">
      <c r="A377" s="158"/>
      <c r="B377" s="58"/>
      <c r="C377" s="24">
        <f t="shared" si="64"/>
        <v>1</v>
      </c>
      <c r="D377" s="719"/>
      <c r="E377" s="24">
        <f t="shared" si="65"/>
        <v>0.2</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0">
        <f t="shared" si="63"/>
        <v>0</v>
      </c>
    </row>
    <row r="378" spans="1:19">
      <c r="A378" s="158"/>
      <c r="B378" s="58"/>
      <c r="C378" s="24">
        <f t="shared" si="64"/>
        <v>1</v>
      </c>
      <c r="D378" s="719"/>
      <c r="E378" s="24">
        <f t="shared" si="65"/>
        <v>0.2</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0">
        <f t="shared" si="63"/>
        <v>0</v>
      </c>
    </row>
    <row r="379" spans="1:19">
      <c r="A379" s="158"/>
      <c r="B379" s="58"/>
      <c r="C379" s="24">
        <f t="shared" si="64"/>
        <v>1</v>
      </c>
      <c r="D379" s="719"/>
      <c r="E379" s="24">
        <f t="shared" si="65"/>
        <v>0.2</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0">
        <f t="shared" si="63"/>
        <v>0</v>
      </c>
    </row>
    <row r="380" spans="1:19">
      <c r="A380" s="158"/>
      <c r="B380" s="58"/>
      <c r="C380" s="24">
        <f t="shared" si="64"/>
        <v>1</v>
      </c>
      <c r="D380" s="719"/>
      <c r="E380" s="24">
        <f t="shared" si="65"/>
        <v>0.2</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0">
        <f t="shared" si="63"/>
        <v>0</v>
      </c>
    </row>
    <row r="381" spans="1:19">
      <c r="A381" s="158"/>
      <c r="B381" s="58"/>
      <c r="C381" s="24">
        <f t="shared" si="64"/>
        <v>1</v>
      </c>
      <c r="D381" s="719"/>
      <c r="E381" s="24">
        <f t="shared" si="65"/>
        <v>0.2</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0">
        <f t="shared" si="63"/>
        <v>0</v>
      </c>
    </row>
    <row r="382" spans="1:19">
      <c r="A382" s="158"/>
      <c r="B382" s="58"/>
      <c r="C382" s="24">
        <f t="shared" si="64"/>
        <v>1</v>
      </c>
      <c r="D382" s="719"/>
      <c r="E382" s="24">
        <f t="shared" si="65"/>
        <v>0.2</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0">
        <f t="shared" si="63"/>
        <v>0</v>
      </c>
    </row>
    <row r="383" spans="1:19">
      <c r="A383" s="158"/>
      <c r="B383" s="58"/>
      <c r="C383" s="24">
        <f t="shared" si="64"/>
        <v>1</v>
      </c>
      <c r="D383" s="719"/>
      <c r="E383" s="24">
        <f t="shared" si="65"/>
        <v>0.2</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0">
        <f t="shared" si="63"/>
        <v>0</v>
      </c>
    </row>
    <row r="384" spans="1:19">
      <c r="A384" s="158"/>
      <c r="B384" s="58"/>
      <c r="C384" s="24">
        <f t="shared" si="64"/>
        <v>1</v>
      </c>
      <c r="D384" s="719"/>
      <c r="E384" s="24">
        <f t="shared" si="65"/>
        <v>0.2</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0">
        <f t="shared" si="63"/>
        <v>0</v>
      </c>
    </row>
    <row r="385" spans="1:19">
      <c r="A385" s="158"/>
      <c r="B385" s="58"/>
      <c r="C385" s="24">
        <f t="shared" si="64"/>
        <v>1</v>
      </c>
      <c r="D385" s="719"/>
      <c r="E385" s="24">
        <f t="shared" si="65"/>
        <v>0.2</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0">
        <f t="shared" ref="S385:S422" si="73">ROUND(R385*B385/10000,0)</f>
        <v>0</v>
      </c>
    </row>
    <row r="386" spans="1:19">
      <c r="A386" s="158"/>
      <c r="B386" s="58"/>
      <c r="C386" s="24">
        <f t="shared" si="64"/>
        <v>1</v>
      </c>
      <c r="D386" s="719"/>
      <c r="E386" s="24">
        <f t="shared" si="65"/>
        <v>0.2</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0">
        <f t="shared" si="73"/>
        <v>0</v>
      </c>
    </row>
    <row r="387" spans="1:19">
      <c r="A387" s="158"/>
      <c r="B387" s="58"/>
      <c r="C387" s="24">
        <f t="shared" si="64"/>
        <v>1</v>
      </c>
      <c r="D387" s="719"/>
      <c r="E387" s="24">
        <f t="shared" si="65"/>
        <v>0.2</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0">
        <f t="shared" si="73"/>
        <v>0</v>
      </c>
    </row>
    <row r="388" spans="1:19">
      <c r="A388" s="158"/>
      <c r="B388" s="58"/>
      <c r="C388" s="24">
        <f t="shared" si="64"/>
        <v>1</v>
      </c>
      <c r="D388" s="719"/>
      <c r="E388" s="24">
        <f t="shared" si="65"/>
        <v>0.2</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0">
        <f t="shared" si="73"/>
        <v>0</v>
      </c>
    </row>
    <row r="389" spans="1:19">
      <c r="A389" s="158"/>
      <c r="B389" s="58"/>
      <c r="C389" s="24">
        <f t="shared" si="64"/>
        <v>1</v>
      </c>
      <c r="D389" s="719"/>
      <c r="E389" s="24">
        <f t="shared" si="65"/>
        <v>0.2</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0">
        <f t="shared" si="73"/>
        <v>0</v>
      </c>
    </row>
    <row r="390" spans="1:19">
      <c r="A390" s="158"/>
      <c r="B390" s="58"/>
      <c r="C390" s="24">
        <f t="shared" si="64"/>
        <v>1</v>
      </c>
      <c r="D390" s="719"/>
      <c r="E390" s="24">
        <f t="shared" si="65"/>
        <v>0.2</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0">
        <f t="shared" si="73"/>
        <v>0</v>
      </c>
    </row>
    <row r="391" spans="1:19">
      <c r="A391" s="158"/>
      <c r="B391" s="58"/>
      <c r="C391" s="24">
        <f t="shared" si="64"/>
        <v>1</v>
      </c>
      <c r="D391" s="719"/>
      <c r="E391" s="24">
        <f t="shared" si="65"/>
        <v>0.2</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0">
        <f t="shared" si="73"/>
        <v>0</v>
      </c>
    </row>
    <row r="392" spans="1:19">
      <c r="A392" s="158"/>
      <c r="B392" s="58"/>
      <c r="C392" s="24">
        <f t="shared" si="64"/>
        <v>1</v>
      </c>
      <c r="D392" s="719"/>
      <c r="E392" s="24">
        <f t="shared" si="65"/>
        <v>0.2</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0">
        <f t="shared" si="73"/>
        <v>0</v>
      </c>
    </row>
    <row r="393" spans="1:19">
      <c r="A393" s="158"/>
      <c r="B393" s="58"/>
      <c r="C393" s="24">
        <f t="shared" si="64"/>
        <v>1</v>
      </c>
      <c r="D393" s="719"/>
      <c r="E393" s="24">
        <f t="shared" si="65"/>
        <v>0.2</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0">
        <f t="shared" si="73"/>
        <v>0</v>
      </c>
    </row>
    <row r="394" spans="1:19">
      <c r="A394" s="158"/>
      <c r="B394" s="58"/>
      <c r="C394" s="24">
        <f t="shared" si="64"/>
        <v>1</v>
      </c>
      <c r="D394" s="719"/>
      <c r="E394" s="24">
        <f t="shared" si="65"/>
        <v>0.2</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0">
        <f t="shared" si="73"/>
        <v>0</v>
      </c>
    </row>
    <row r="395" spans="1:19">
      <c r="A395" s="158"/>
      <c r="B395" s="58"/>
      <c r="C395" s="24">
        <f t="shared" si="64"/>
        <v>1</v>
      </c>
      <c r="D395" s="719"/>
      <c r="E395" s="24">
        <f t="shared" si="65"/>
        <v>0.2</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0">
        <f t="shared" si="73"/>
        <v>0</v>
      </c>
    </row>
    <row r="396" spans="1:19">
      <c r="A396" s="158"/>
      <c r="B396" s="58"/>
      <c r="C396" s="24">
        <f t="shared" si="64"/>
        <v>1</v>
      </c>
      <c r="D396" s="719"/>
      <c r="E396" s="24">
        <f t="shared" si="65"/>
        <v>0.2</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0">
        <f t="shared" si="73"/>
        <v>0</v>
      </c>
    </row>
    <row r="397" spans="1:19">
      <c r="A397" s="158"/>
      <c r="B397" s="58"/>
      <c r="C397" s="24">
        <f t="shared" si="64"/>
        <v>1</v>
      </c>
      <c r="D397" s="719"/>
      <c r="E397" s="24">
        <f t="shared" si="65"/>
        <v>0.2</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0">
        <f t="shared" si="73"/>
        <v>0</v>
      </c>
    </row>
    <row r="398" spans="1:19">
      <c r="A398" s="158"/>
      <c r="B398" s="58"/>
      <c r="C398" s="24">
        <f t="shared" si="64"/>
        <v>1</v>
      </c>
      <c r="D398" s="719"/>
      <c r="E398" s="24">
        <f t="shared" si="65"/>
        <v>0.2</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0">
        <f t="shared" si="73"/>
        <v>0</v>
      </c>
    </row>
    <row r="399" spans="1:19">
      <c r="A399" s="158"/>
      <c r="B399" s="58"/>
      <c r="C399" s="24">
        <f t="shared" si="64"/>
        <v>1</v>
      </c>
      <c r="D399" s="719"/>
      <c r="E399" s="24">
        <f t="shared" si="65"/>
        <v>0.2</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0">
        <f t="shared" si="73"/>
        <v>0</v>
      </c>
    </row>
    <row r="400" spans="1:19">
      <c r="A400" s="158"/>
      <c r="B400" s="58"/>
      <c r="C400" s="24">
        <f t="shared" si="64"/>
        <v>1</v>
      </c>
      <c r="D400" s="719"/>
      <c r="E400" s="24">
        <f t="shared" si="65"/>
        <v>0.2</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0">
        <f t="shared" si="73"/>
        <v>0</v>
      </c>
    </row>
    <row r="401" spans="1:19">
      <c r="A401" s="158"/>
      <c r="B401" s="58"/>
      <c r="C401" s="24">
        <f t="shared" si="64"/>
        <v>1</v>
      </c>
      <c r="D401" s="719"/>
      <c r="E401" s="24">
        <f t="shared" si="65"/>
        <v>0.2</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0">
        <f t="shared" si="73"/>
        <v>0</v>
      </c>
    </row>
    <row r="402" spans="1:19">
      <c r="A402" s="158"/>
      <c r="B402" s="58"/>
      <c r="C402" s="24">
        <f t="shared" si="64"/>
        <v>1</v>
      </c>
      <c r="D402" s="719"/>
      <c r="E402" s="24">
        <f t="shared" si="65"/>
        <v>0.2</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0">
        <f t="shared" si="73"/>
        <v>0</v>
      </c>
    </row>
    <row r="403" spans="1:19">
      <c r="A403" s="158"/>
      <c r="B403" s="58"/>
      <c r="C403" s="24">
        <f t="shared" si="64"/>
        <v>1</v>
      </c>
      <c r="D403" s="719"/>
      <c r="E403" s="24">
        <f t="shared" si="65"/>
        <v>0.2</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0">
        <f t="shared" si="73"/>
        <v>0</v>
      </c>
    </row>
    <row r="404" spans="1:19">
      <c r="A404" s="158"/>
      <c r="B404" s="58"/>
      <c r="C404" s="24">
        <f t="shared" si="64"/>
        <v>1</v>
      </c>
      <c r="D404" s="719"/>
      <c r="E404" s="24">
        <f t="shared" si="65"/>
        <v>0.2</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0">
        <f t="shared" si="73"/>
        <v>0</v>
      </c>
    </row>
    <row r="405" spans="1:19">
      <c r="A405" s="158"/>
      <c r="B405" s="58"/>
      <c r="C405" s="24">
        <f t="shared" si="64"/>
        <v>1</v>
      </c>
      <c r="D405" s="719"/>
      <c r="E405" s="24">
        <f t="shared" si="65"/>
        <v>0.2</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0">
        <f t="shared" si="73"/>
        <v>0</v>
      </c>
    </row>
    <row r="406" spans="1:19">
      <c r="A406" s="158"/>
      <c r="B406" s="58"/>
      <c r="C406" s="24">
        <f t="shared" si="64"/>
        <v>1</v>
      </c>
      <c r="D406" s="719"/>
      <c r="E406" s="24">
        <f t="shared" si="65"/>
        <v>0.2</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0">
        <f t="shared" si="73"/>
        <v>0</v>
      </c>
    </row>
    <row r="407" spans="1:19">
      <c r="A407" s="158"/>
      <c r="B407" s="58"/>
      <c r="C407" s="24">
        <f t="shared" si="64"/>
        <v>1</v>
      </c>
      <c r="D407" s="719"/>
      <c r="E407" s="24">
        <f t="shared" si="65"/>
        <v>0.2</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0">
        <f t="shared" si="73"/>
        <v>0</v>
      </c>
    </row>
    <row r="408" spans="1:19">
      <c r="A408" s="158"/>
      <c r="B408" s="58"/>
      <c r="C408" s="24">
        <f t="shared" si="64"/>
        <v>1</v>
      </c>
      <c r="D408" s="719"/>
      <c r="E408" s="24">
        <f t="shared" si="65"/>
        <v>0.2</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0">
        <f t="shared" si="73"/>
        <v>0</v>
      </c>
    </row>
    <row r="409" spans="1:19">
      <c r="A409" s="158"/>
      <c r="B409" s="58"/>
      <c r="C409" s="24">
        <f t="shared" si="64"/>
        <v>1</v>
      </c>
      <c r="D409" s="719"/>
      <c r="E409" s="24">
        <f t="shared" si="65"/>
        <v>0.2</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0">
        <f t="shared" si="73"/>
        <v>0</v>
      </c>
    </row>
    <row r="410" spans="1:19">
      <c r="A410" s="158"/>
      <c r="B410" s="58"/>
      <c r="C410" s="24">
        <f t="shared" ref="C410:C473" si="74">IF(B410="",1,(LOOKUP(B410,$3:$3,$4:$4)-LOOKUP($B$24,$3:$3,$4:$4)+100)/100)</f>
        <v>1</v>
      </c>
      <c r="D410" s="719"/>
      <c r="E410" s="24">
        <f t="shared" ref="E410:E473" si="75">(SUMIF($5:$5,D410,$6:$6)-SUMIF($5:$5,$D$24,$6:$6)+100)/100</f>
        <v>0.2</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0">
        <f t="shared" si="73"/>
        <v>0</v>
      </c>
    </row>
    <row r="411" spans="1:19">
      <c r="A411" s="158"/>
      <c r="B411" s="58"/>
      <c r="C411" s="24">
        <f t="shared" si="74"/>
        <v>1</v>
      </c>
      <c r="D411" s="719"/>
      <c r="E411" s="24">
        <f t="shared" si="75"/>
        <v>0.2</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0">
        <f t="shared" si="73"/>
        <v>0</v>
      </c>
    </row>
    <row r="412" spans="1:19">
      <c r="A412" s="158"/>
      <c r="B412" s="58"/>
      <c r="C412" s="24">
        <f t="shared" si="74"/>
        <v>1</v>
      </c>
      <c r="D412" s="719"/>
      <c r="E412" s="24">
        <f t="shared" si="75"/>
        <v>0.2</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0">
        <f t="shared" si="73"/>
        <v>0</v>
      </c>
    </row>
    <row r="413" spans="1:19">
      <c r="A413" s="158"/>
      <c r="B413" s="58"/>
      <c r="C413" s="24">
        <f t="shared" si="74"/>
        <v>1</v>
      </c>
      <c r="D413" s="719"/>
      <c r="E413" s="24">
        <f t="shared" si="75"/>
        <v>0.2</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0">
        <f t="shared" si="73"/>
        <v>0</v>
      </c>
    </row>
    <row r="414" spans="1:19">
      <c r="A414" s="158"/>
      <c r="B414" s="58"/>
      <c r="C414" s="24">
        <f t="shared" si="74"/>
        <v>1</v>
      </c>
      <c r="D414" s="719"/>
      <c r="E414" s="24">
        <f t="shared" si="75"/>
        <v>0.2</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0">
        <f t="shared" si="73"/>
        <v>0</v>
      </c>
    </row>
    <row r="415" spans="1:19">
      <c r="A415" s="158"/>
      <c r="B415" s="58"/>
      <c r="C415" s="24">
        <f t="shared" si="74"/>
        <v>1</v>
      </c>
      <c r="D415" s="719"/>
      <c r="E415" s="24">
        <f t="shared" si="75"/>
        <v>0.2</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0">
        <f t="shared" si="73"/>
        <v>0</v>
      </c>
    </row>
    <row r="416" spans="1:19">
      <c r="A416" s="158"/>
      <c r="B416" s="58"/>
      <c r="C416" s="24">
        <f t="shared" si="74"/>
        <v>1</v>
      </c>
      <c r="D416" s="719"/>
      <c r="E416" s="24">
        <f t="shared" si="75"/>
        <v>0.2</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0">
        <f t="shared" si="73"/>
        <v>0</v>
      </c>
    </row>
    <row r="417" spans="1:19">
      <c r="A417" s="158"/>
      <c r="B417" s="58"/>
      <c r="C417" s="24">
        <f t="shared" si="74"/>
        <v>1</v>
      </c>
      <c r="D417" s="719"/>
      <c r="E417" s="24">
        <f t="shared" si="75"/>
        <v>0.2</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0">
        <f t="shared" si="73"/>
        <v>0</v>
      </c>
    </row>
    <row r="418" spans="1:19">
      <c r="A418" s="158"/>
      <c r="B418" s="58"/>
      <c r="C418" s="24">
        <f t="shared" si="74"/>
        <v>1</v>
      </c>
      <c r="D418" s="719"/>
      <c r="E418" s="24">
        <f t="shared" si="75"/>
        <v>0.2</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0">
        <f t="shared" si="73"/>
        <v>0</v>
      </c>
    </row>
    <row r="419" spans="1:19">
      <c r="A419" s="158"/>
      <c r="B419" s="58"/>
      <c r="C419" s="24">
        <f t="shared" si="74"/>
        <v>1</v>
      </c>
      <c r="D419" s="719"/>
      <c r="E419" s="24">
        <f t="shared" si="75"/>
        <v>0.2</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0">
        <f t="shared" si="73"/>
        <v>0</v>
      </c>
    </row>
    <row r="420" spans="1:19">
      <c r="A420" s="158"/>
      <c r="B420" s="58"/>
      <c r="C420" s="24">
        <f t="shared" si="74"/>
        <v>1</v>
      </c>
      <c r="D420" s="719"/>
      <c r="E420" s="24">
        <f t="shared" si="75"/>
        <v>0.2</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0">
        <f t="shared" si="73"/>
        <v>0</v>
      </c>
    </row>
    <row r="421" spans="1:19">
      <c r="A421" s="158"/>
      <c r="B421" s="58"/>
      <c r="C421" s="24">
        <f t="shared" si="74"/>
        <v>1</v>
      </c>
      <c r="D421" s="719"/>
      <c r="E421" s="24">
        <f t="shared" si="75"/>
        <v>0.2</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0">
        <f t="shared" si="73"/>
        <v>0</v>
      </c>
    </row>
    <row r="422" spans="1:19">
      <c r="A422" s="158"/>
      <c r="B422" s="58"/>
      <c r="C422" s="24">
        <f t="shared" si="74"/>
        <v>1</v>
      </c>
      <c r="D422" s="719"/>
      <c r="E422" s="24">
        <f t="shared" si="75"/>
        <v>0.2</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0">
        <f t="shared" si="73"/>
        <v>0</v>
      </c>
    </row>
    <row r="423" spans="1:19">
      <c r="A423" s="158"/>
      <c r="B423" s="58"/>
      <c r="C423" s="24">
        <f t="shared" si="74"/>
        <v>1</v>
      </c>
      <c r="D423" s="719"/>
      <c r="E423" s="24">
        <f t="shared" si="75"/>
        <v>0.2</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0">
        <f t="shared" ref="S423:S467" si="83">ROUND(R423*B423/10000,0)</f>
        <v>0</v>
      </c>
    </row>
    <row r="424" spans="1:19">
      <c r="A424" s="158"/>
      <c r="B424" s="58"/>
      <c r="C424" s="24">
        <f t="shared" si="74"/>
        <v>1</v>
      </c>
      <c r="D424" s="719"/>
      <c r="E424" s="24">
        <f t="shared" si="75"/>
        <v>0.2</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0">
        <f t="shared" si="83"/>
        <v>0</v>
      </c>
    </row>
    <row r="425" spans="1:19">
      <c r="A425" s="158"/>
      <c r="B425" s="58"/>
      <c r="C425" s="24">
        <f t="shared" si="74"/>
        <v>1</v>
      </c>
      <c r="D425" s="719"/>
      <c r="E425" s="24">
        <f t="shared" si="75"/>
        <v>0.2</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0">
        <f t="shared" si="83"/>
        <v>0</v>
      </c>
    </row>
    <row r="426" spans="1:19">
      <c r="A426" s="158"/>
      <c r="B426" s="58"/>
      <c r="C426" s="24">
        <f t="shared" si="74"/>
        <v>1</v>
      </c>
      <c r="D426" s="719"/>
      <c r="E426" s="24">
        <f t="shared" si="75"/>
        <v>0.2</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0">
        <f t="shared" si="83"/>
        <v>0</v>
      </c>
    </row>
    <row r="427" spans="1:19">
      <c r="A427" s="158"/>
      <c r="B427" s="58"/>
      <c r="C427" s="24">
        <f t="shared" si="74"/>
        <v>1</v>
      </c>
      <c r="D427" s="719"/>
      <c r="E427" s="24">
        <f t="shared" si="75"/>
        <v>0.2</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0">
        <f t="shared" si="83"/>
        <v>0</v>
      </c>
    </row>
    <row r="428" spans="1:19">
      <c r="A428" s="158"/>
      <c r="B428" s="58"/>
      <c r="C428" s="24">
        <f t="shared" si="74"/>
        <v>1</v>
      </c>
      <c r="D428" s="719"/>
      <c r="E428" s="24">
        <f t="shared" si="75"/>
        <v>0.2</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0">
        <f t="shared" si="83"/>
        <v>0</v>
      </c>
    </row>
    <row r="429" spans="1:19">
      <c r="A429" s="158"/>
      <c r="B429" s="58"/>
      <c r="C429" s="24">
        <f t="shared" si="74"/>
        <v>1</v>
      </c>
      <c r="D429" s="719"/>
      <c r="E429" s="24">
        <f t="shared" si="75"/>
        <v>0.2</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0">
        <f t="shared" si="83"/>
        <v>0</v>
      </c>
    </row>
    <row r="430" spans="1:19">
      <c r="A430" s="158"/>
      <c r="B430" s="58"/>
      <c r="C430" s="24">
        <f t="shared" si="74"/>
        <v>1</v>
      </c>
      <c r="D430" s="719"/>
      <c r="E430" s="24">
        <f t="shared" si="75"/>
        <v>0.2</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0">
        <f t="shared" si="83"/>
        <v>0</v>
      </c>
    </row>
    <row r="431" spans="1:19">
      <c r="A431" s="158"/>
      <c r="B431" s="58"/>
      <c r="C431" s="24">
        <f t="shared" si="74"/>
        <v>1</v>
      </c>
      <c r="D431" s="719"/>
      <c r="E431" s="24">
        <f t="shared" si="75"/>
        <v>0.2</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0">
        <f t="shared" si="83"/>
        <v>0</v>
      </c>
    </row>
    <row r="432" spans="1:19">
      <c r="A432" s="158"/>
      <c r="B432" s="58"/>
      <c r="C432" s="24">
        <f t="shared" si="74"/>
        <v>1</v>
      </c>
      <c r="D432" s="719"/>
      <c r="E432" s="24">
        <f t="shared" si="75"/>
        <v>0.2</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0">
        <f t="shared" si="83"/>
        <v>0</v>
      </c>
    </row>
    <row r="433" spans="1:19">
      <c r="A433" s="158"/>
      <c r="B433" s="58"/>
      <c r="C433" s="24">
        <f t="shared" si="74"/>
        <v>1</v>
      </c>
      <c r="D433" s="719"/>
      <c r="E433" s="24">
        <f t="shared" si="75"/>
        <v>0.2</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0">
        <f t="shared" si="83"/>
        <v>0</v>
      </c>
    </row>
    <row r="434" spans="1:19">
      <c r="A434" s="158"/>
      <c r="B434" s="58"/>
      <c r="C434" s="24">
        <f t="shared" si="74"/>
        <v>1</v>
      </c>
      <c r="D434" s="719"/>
      <c r="E434" s="24">
        <f t="shared" si="75"/>
        <v>0.2</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0">
        <f t="shared" si="83"/>
        <v>0</v>
      </c>
    </row>
    <row r="435" spans="1:19">
      <c r="A435" s="158"/>
      <c r="B435" s="58"/>
      <c r="C435" s="24">
        <f t="shared" si="74"/>
        <v>1</v>
      </c>
      <c r="D435" s="719"/>
      <c r="E435" s="24">
        <f t="shared" si="75"/>
        <v>0.2</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0">
        <f t="shared" si="83"/>
        <v>0</v>
      </c>
    </row>
    <row r="436" spans="1:19">
      <c r="A436" s="158"/>
      <c r="B436" s="58"/>
      <c r="C436" s="24">
        <f t="shared" si="74"/>
        <v>1</v>
      </c>
      <c r="D436" s="719"/>
      <c r="E436" s="24">
        <f t="shared" si="75"/>
        <v>0.2</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0">
        <f t="shared" si="83"/>
        <v>0</v>
      </c>
    </row>
    <row r="437" spans="1:19">
      <c r="A437" s="158"/>
      <c r="B437" s="58"/>
      <c r="C437" s="24">
        <f t="shared" si="74"/>
        <v>1</v>
      </c>
      <c r="D437" s="719"/>
      <c r="E437" s="24">
        <f t="shared" si="75"/>
        <v>0.2</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0">
        <f t="shared" si="83"/>
        <v>0</v>
      </c>
    </row>
    <row r="438" spans="1:19">
      <c r="A438" s="158"/>
      <c r="B438" s="58"/>
      <c r="C438" s="24">
        <f t="shared" si="74"/>
        <v>1</v>
      </c>
      <c r="D438" s="719"/>
      <c r="E438" s="24">
        <f t="shared" si="75"/>
        <v>0.2</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0">
        <f t="shared" si="83"/>
        <v>0</v>
      </c>
    </row>
    <row r="439" spans="1:19">
      <c r="A439" s="158"/>
      <c r="B439" s="58"/>
      <c r="C439" s="24">
        <f t="shared" si="74"/>
        <v>1</v>
      </c>
      <c r="D439" s="719"/>
      <c r="E439" s="24">
        <f t="shared" si="75"/>
        <v>0.2</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0">
        <f t="shared" si="83"/>
        <v>0</v>
      </c>
    </row>
    <row r="440" spans="1:19">
      <c r="A440" s="158"/>
      <c r="B440" s="58"/>
      <c r="C440" s="24">
        <f t="shared" si="74"/>
        <v>1</v>
      </c>
      <c r="D440" s="719"/>
      <c r="E440" s="24">
        <f t="shared" si="75"/>
        <v>0.2</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0">
        <f t="shared" si="83"/>
        <v>0</v>
      </c>
    </row>
    <row r="441" spans="1:19">
      <c r="A441" s="158"/>
      <c r="B441" s="58"/>
      <c r="C441" s="24">
        <f t="shared" si="74"/>
        <v>1</v>
      </c>
      <c r="D441" s="719"/>
      <c r="E441" s="24">
        <f t="shared" si="75"/>
        <v>0.2</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0">
        <f t="shared" si="83"/>
        <v>0</v>
      </c>
    </row>
    <row r="442" spans="1:19">
      <c r="A442" s="158"/>
      <c r="B442" s="58"/>
      <c r="C442" s="24">
        <f t="shared" si="74"/>
        <v>1</v>
      </c>
      <c r="D442" s="719"/>
      <c r="E442" s="24">
        <f t="shared" si="75"/>
        <v>0.2</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0">
        <f t="shared" si="83"/>
        <v>0</v>
      </c>
    </row>
    <row r="443" spans="1:19">
      <c r="A443" s="158"/>
      <c r="B443" s="58"/>
      <c r="C443" s="24">
        <f t="shared" si="74"/>
        <v>1</v>
      </c>
      <c r="D443" s="719"/>
      <c r="E443" s="24">
        <f t="shared" si="75"/>
        <v>0.2</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0">
        <f t="shared" si="83"/>
        <v>0</v>
      </c>
    </row>
    <row r="444" spans="1:19">
      <c r="A444" s="158"/>
      <c r="B444" s="58"/>
      <c r="C444" s="24">
        <f t="shared" si="74"/>
        <v>1</v>
      </c>
      <c r="D444" s="719"/>
      <c r="E444" s="24">
        <f t="shared" si="75"/>
        <v>0.2</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0">
        <f t="shared" si="83"/>
        <v>0</v>
      </c>
    </row>
    <row r="445" spans="1:19">
      <c r="A445" s="158"/>
      <c r="B445" s="58"/>
      <c r="C445" s="24">
        <f t="shared" si="74"/>
        <v>1</v>
      </c>
      <c r="D445" s="719"/>
      <c r="E445" s="24">
        <f t="shared" si="75"/>
        <v>0.2</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0">
        <f t="shared" si="83"/>
        <v>0</v>
      </c>
    </row>
    <row r="446" spans="1:19">
      <c r="A446" s="158"/>
      <c r="B446" s="58"/>
      <c r="C446" s="24">
        <f t="shared" si="74"/>
        <v>1</v>
      </c>
      <c r="D446" s="719"/>
      <c r="E446" s="24">
        <f t="shared" si="75"/>
        <v>0.2</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0">
        <f t="shared" si="83"/>
        <v>0</v>
      </c>
    </row>
    <row r="447" spans="1:19">
      <c r="A447" s="158"/>
      <c r="B447" s="58"/>
      <c r="C447" s="24">
        <f t="shared" si="74"/>
        <v>1</v>
      </c>
      <c r="D447" s="719"/>
      <c r="E447" s="24">
        <f t="shared" si="75"/>
        <v>0.2</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0">
        <f t="shared" si="83"/>
        <v>0</v>
      </c>
    </row>
    <row r="448" spans="1:19">
      <c r="A448" s="158"/>
      <c r="B448" s="58"/>
      <c r="C448" s="24">
        <f t="shared" si="74"/>
        <v>1</v>
      </c>
      <c r="D448" s="719"/>
      <c r="E448" s="24">
        <f t="shared" si="75"/>
        <v>0.2</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0">
        <f t="shared" si="83"/>
        <v>0</v>
      </c>
    </row>
    <row r="449" spans="1:19">
      <c r="A449" s="158"/>
      <c r="B449" s="58"/>
      <c r="C449" s="24">
        <f t="shared" si="74"/>
        <v>1</v>
      </c>
      <c r="D449" s="719"/>
      <c r="E449" s="24">
        <f t="shared" si="75"/>
        <v>0.2</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0">
        <f t="shared" si="83"/>
        <v>0</v>
      </c>
    </row>
    <row r="450" spans="1:19">
      <c r="A450" s="158"/>
      <c r="B450" s="58"/>
      <c r="C450" s="24">
        <f t="shared" si="74"/>
        <v>1</v>
      </c>
      <c r="D450" s="719"/>
      <c r="E450" s="24">
        <f t="shared" si="75"/>
        <v>0.2</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0">
        <f t="shared" si="83"/>
        <v>0</v>
      </c>
    </row>
    <row r="451" spans="1:19">
      <c r="A451" s="158"/>
      <c r="B451" s="58"/>
      <c r="C451" s="24">
        <f t="shared" si="74"/>
        <v>1</v>
      </c>
      <c r="D451" s="719"/>
      <c r="E451" s="24">
        <f t="shared" si="75"/>
        <v>0.2</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0">
        <f t="shared" si="83"/>
        <v>0</v>
      </c>
    </row>
    <row r="452" spans="1:19">
      <c r="A452" s="158"/>
      <c r="B452" s="58"/>
      <c r="C452" s="24">
        <f t="shared" si="74"/>
        <v>1</v>
      </c>
      <c r="D452" s="719"/>
      <c r="E452" s="24">
        <f t="shared" si="75"/>
        <v>0.2</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0">
        <f t="shared" si="83"/>
        <v>0</v>
      </c>
    </row>
    <row r="453" spans="1:19">
      <c r="A453" s="158"/>
      <c r="B453" s="58"/>
      <c r="C453" s="24">
        <f t="shared" si="74"/>
        <v>1</v>
      </c>
      <c r="D453" s="719"/>
      <c r="E453" s="24">
        <f t="shared" si="75"/>
        <v>0.2</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0">
        <f t="shared" si="83"/>
        <v>0</v>
      </c>
    </row>
    <row r="454" spans="1:19">
      <c r="A454" s="158"/>
      <c r="B454" s="58"/>
      <c r="C454" s="24">
        <f t="shared" si="74"/>
        <v>1</v>
      </c>
      <c r="D454" s="719"/>
      <c r="E454" s="24">
        <f t="shared" si="75"/>
        <v>0.2</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0">
        <f t="shared" si="83"/>
        <v>0</v>
      </c>
    </row>
    <row r="455" spans="1:19">
      <c r="A455" s="158"/>
      <c r="B455" s="58"/>
      <c r="C455" s="24">
        <f t="shared" si="74"/>
        <v>1</v>
      </c>
      <c r="D455" s="719"/>
      <c r="E455" s="24">
        <f t="shared" si="75"/>
        <v>0.2</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0">
        <f t="shared" si="83"/>
        <v>0</v>
      </c>
    </row>
    <row r="456" spans="1:19">
      <c r="A456" s="158"/>
      <c r="B456" s="58"/>
      <c r="C456" s="24">
        <f t="shared" si="74"/>
        <v>1</v>
      </c>
      <c r="D456" s="719"/>
      <c r="E456" s="24">
        <f t="shared" si="75"/>
        <v>0.2</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0">
        <f t="shared" si="83"/>
        <v>0</v>
      </c>
    </row>
    <row r="457" spans="1:19">
      <c r="A457" s="158"/>
      <c r="B457" s="58"/>
      <c r="C457" s="24">
        <f t="shared" si="74"/>
        <v>1</v>
      </c>
      <c r="D457" s="719"/>
      <c r="E457" s="24">
        <f t="shared" si="75"/>
        <v>0.2</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0">
        <f t="shared" si="83"/>
        <v>0</v>
      </c>
    </row>
    <row r="458" spans="1:19">
      <c r="A458" s="158"/>
      <c r="B458" s="58"/>
      <c r="C458" s="24">
        <f t="shared" si="74"/>
        <v>1</v>
      </c>
      <c r="D458" s="719"/>
      <c r="E458" s="24">
        <f t="shared" si="75"/>
        <v>0.2</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0">
        <f t="shared" si="83"/>
        <v>0</v>
      </c>
    </row>
    <row r="459" spans="1:19">
      <c r="A459" s="158"/>
      <c r="B459" s="58"/>
      <c r="C459" s="24">
        <f t="shared" si="74"/>
        <v>1</v>
      </c>
      <c r="D459" s="719"/>
      <c r="E459" s="24">
        <f t="shared" si="75"/>
        <v>0.2</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0">
        <f t="shared" si="83"/>
        <v>0</v>
      </c>
    </row>
    <row r="460" spans="1:19">
      <c r="A460" s="158"/>
      <c r="B460" s="58"/>
      <c r="C460" s="24">
        <f t="shared" si="74"/>
        <v>1</v>
      </c>
      <c r="D460" s="719"/>
      <c r="E460" s="24">
        <f t="shared" si="75"/>
        <v>0.2</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0">
        <f t="shared" si="83"/>
        <v>0</v>
      </c>
    </row>
    <row r="461" spans="1:19">
      <c r="A461" s="158"/>
      <c r="B461" s="58"/>
      <c r="C461" s="24">
        <f t="shared" si="74"/>
        <v>1</v>
      </c>
      <c r="D461" s="719"/>
      <c r="E461" s="24">
        <f t="shared" si="75"/>
        <v>0.2</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0">
        <f t="shared" si="83"/>
        <v>0</v>
      </c>
    </row>
    <row r="462" spans="1:19">
      <c r="A462" s="158"/>
      <c r="B462" s="58"/>
      <c r="C462" s="24">
        <f t="shared" si="74"/>
        <v>1</v>
      </c>
      <c r="D462" s="719"/>
      <c r="E462" s="24">
        <f t="shared" si="75"/>
        <v>0.2</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0">
        <f t="shared" si="83"/>
        <v>0</v>
      </c>
    </row>
    <row r="463" spans="1:19">
      <c r="A463" s="158"/>
      <c r="B463" s="58"/>
      <c r="C463" s="24">
        <f t="shared" si="74"/>
        <v>1</v>
      </c>
      <c r="D463" s="719"/>
      <c r="E463" s="24">
        <f t="shared" si="75"/>
        <v>0.2</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0">
        <f t="shared" si="83"/>
        <v>0</v>
      </c>
    </row>
    <row r="464" spans="1:19">
      <c r="A464" s="158"/>
      <c r="B464" s="58"/>
      <c r="C464" s="24">
        <f t="shared" si="74"/>
        <v>1</v>
      </c>
      <c r="D464" s="719"/>
      <c r="E464" s="24">
        <f t="shared" si="75"/>
        <v>0.2</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0">
        <f t="shared" si="83"/>
        <v>0</v>
      </c>
    </row>
    <row r="465" spans="1:19">
      <c r="A465" s="158"/>
      <c r="B465" s="58"/>
      <c r="C465" s="24">
        <f t="shared" si="74"/>
        <v>1</v>
      </c>
      <c r="D465" s="719"/>
      <c r="E465" s="24">
        <f t="shared" si="75"/>
        <v>0.2</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0">
        <f t="shared" si="83"/>
        <v>0</v>
      </c>
    </row>
    <row r="466" spans="1:19">
      <c r="A466" s="158"/>
      <c r="B466" s="58"/>
      <c r="C466" s="24">
        <f t="shared" si="74"/>
        <v>1</v>
      </c>
      <c r="D466" s="719"/>
      <c r="E466" s="24">
        <f t="shared" si="75"/>
        <v>0.2</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0">
        <f t="shared" si="83"/>
        <v>0</v>
      </c>
    </row>
    <row r="467" spans="1:19">
      <c r="A467" s="158"/>
      <c r="B467" s="58"/>
      <c r="C467" s="24">
        <f t="shared" si="74"/>
        <v>1</v>
      </c>
      <c r="D467" s="719"/>
      <c r="E467" s="24">
        <f t="shared" si="75"/>
        <v>0.2</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0">
        <f t="shared" si="83"/>
        <v>0</v>
      </c>
    </row>
    <row r="468" spans="1:19">
      <c r="A468" s="158"/>
      <c r="B468" s="58"/>
      <c r="C468" s="24">
        <f t="shared" si="74"/>
        <v>1</v>
      </c>
      <c r="D468" s="719"/>
      <c r="E468" s="24">
        <f t="shared" si="75"/>
        <v>0.2</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0">
        <f t="shared" ref="S468:S497" si="84">ROUND(R468*B468/10000,0)</f>
        <v>0</v>
      </c>
    </row>
    <row r="469" spans="1:19">
      <c r="A469" s="158"/>
      <c r="B469" s="58"/>
      <c r="C469" s="24">
        <f t="shared" si="74"/>
        <v>1</v>
      </c>
      <c r="D469" s="719"/>
      <c r="E469" s="24">
        <f t="shared" si="75"/>
        <v>0.2</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0">
        <f t="shared" si="84"/>
        <v>0</v>
      </c>
    </row>
    <row r="470" spans="1:19">
      <c r="A470" s="158"/>
      <c r="B470" s="58"/>
      <c r="C470" s="24">
        <f t="shared" si="74"/>
        <v>1</v>
      </c>
      <c r="D470" s="719"/>
      <c r="E470" s="24">
        <f t="shared" si="75"/>
        <v>0.2</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0">
        <f t="shared" si="84"/>
        <v>0</v>
      </c>
    </row>
    <row r="471" spans="1:19">
      <c r="A471" s="158"/>
      <c r="B471" s="58"/>
      <c r="C471" s="24">
        <f t="shared" si="74"/>
        <v>1</v>
      </c>
      <c r="D471" s="719"/>
      <c r="E471" s="24">
        <f t="shared" si="75"/>
        <v>0.2</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0">
        <f t="shared" si="84"/>
        <v>0</v>
      </c>
    </row>
    <row r="472" spans="1:19">
      <c r="A472" s="158"/>
      <c r="B472" s="58"/>
      <c r="C472" s="24">
        <f t="shared" si="74"/>
        <v>1</v>
      </c>
      <c r="D472" s="719"/>
      <c r="E472" s="24">
        <f t="shared" si="75"/>
        <v>0.2</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0">
        <f t="shared" si="84"/>
        <v>0</v>
      </c>
    </row>
    <row r="473" spans="1:19">
      <c r="A473" s="158"/>
      <c r="B473" s="58"/>
      <c r="C473" s="24">
        <f t="shared" si="74"/>
        <v>1</v>
      </c>
      <c r="D473" s="719"/>
      <c r="E473" s="24">
        <f t="shared" si="75"/>
        <v>0.2</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0">
        <f t="shared" si="84"/>
        <v>0</v>
      </c>
    </row>
    <row r="474" spans="1:19">
      <c r="A474" s="158"/>
      <c r="B474" s="58"/>
      <c r="C474" s="24">
        <f t="shared" ref="C474:C524" si="85">IF(B474="",1,(LOOKUP(B474,$3:$3,$4:$4)-LOOKUP($B$24,$3:$3,$4:$4)+100)/100)</f>
        <v>1</v>
      </c>
      <c r="D474" s="719"/>
      <c r="E474" s="24">
        <f t="shared" ref="E474:E524" si="86">(SUMIF($5:$5,D474,$6:$6)-SUMIF($5:$5,$D$24,$6:$6)+100)/100</f>
        <v>0.2</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0">
        <f t="shared" si="84"/>
        <v>0</v>
      </c>
    </row>
    <row r="475" spans="1:19">
      <c r="A475" s="158"/>
      <c r="B475" s="58"/>
      <c r="C475" s="24">
        <f t="shared" si="85"/>
        <v>1</v>
      </c>
      <c r="D475" s="719"/>
      <c r="E475" s="24">
        <f t="shared" si="86"/>
        <v>0.2</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0">
        <f t="shared" si="84"/>
        <v>0</v>
      </c>
    </row>
    <row r="476" spans="1:19">
      <c r="A476" s="158"/>
      <c r="B476" s="58"/>
      <c r="C476" s="24">
        <f t="shared" si="85"/>
        <v>1</v>
      </c>
      <c r="D476" s="719"/>
      <c r="E476" s="24">
        <f t="shared" si="86"/>
        <v>0.2</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0">
        <f t="shared" si="84"/>
        <v>0</v>
      </c>
    </row>
    <row r="477" spans="1:19">
      <c r="A477" s="158"/>
      <c r="B477" s="58"/>
      <c r="C477" s="24">
        <f t="shared" si="85"/>
        <v>1</v>
      </c>
      <c r="D477" s="719"/>
      <c r="E477" s="24">
        <f t="shared" si="86"/>
        <v>0.2</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0">
        <f t="shared" si="84"/>
        <v>0</v>
      </c>
    </row>
    <row r="478" spans="1:19">
      <c r="A478" s="158"/>
      <c r="B478" s="58"/>
      <c r="C478" s="24">
        <f t="shared" si="85"/>
        <v>1</v>
      </c>
      <c r="D478" s="719"/>
      <c r="E478" s="24">
        <f t="shared" si="86"/>
        <v>0.2</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0">
        <f t="shared" si="84"/>
        <v>0</v>
      </c>
    </row>
    <row r="479" spans="1:19">
      <c r="A479" s="158"/>
      <c r="B479" s="58"/>
      <c r="C479" s="24">
        <f t="shared" si="85"/>
        <v>1</v>
      </c>
      <c r="D479" s="719"/>
      <c r="E479" s="24">
        <f t="shared" si="86"/>
        <v>0.2</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0">
        <f t="shared" si="84"/>
        <v>0</v>
      </c>
    </row>
    <row r="480" spans="1:19">
      <c r="A480" s="158"/>
      <c r="B480" s="58"/>
      <c r="C480" s="24">
        <f t="shared" si="85"/>
        <v>1</v>
      </c>
      <c r="D480" s="719"/>
      <c r="E480" s="24">
        <f t="shared" si="86"/>
        <v>0.2</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0">
        <f t="shared" si="84"/>
        <v>0</v>
      </c>
    </row>
    <row r="481" spans="1:19">
      <c r="A481" s="158"/>
      <c r="B481" s="58"/>
      <c r="C481" s="24">
        <f t="shared" si="85"/>
        <v>1</v>
      </c>
      <c r="D481" s="719"/>
      <c r="E481" s="24">
        <f t="shared" si="86"/>
        <v>0.2</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0">
        <f t="shared" si="84"/>
        <v>0</v>
      </c>
    </row>
    <row r="482" spans="1:19">
      <c r="A482" s="158"/>
      <c r="B482" s="58"/>
      <c r="C482" s="24">
        <f t="shared" si="85"/>
        <v>1</v>
      </c>
      <c r="D482" s="719"/>
      <c r="E482" s="24">
        <f t="shared" si="86"/>
        <v>0.2</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0">
        <f t="shared" si="84"/>
        <v>0</v>
      </c>
    </row>
    <row r="483" spans="1:19">
      <c r="A483" s="158"/>
      <c r="B483" s="58"/>
      <c r="C483" s="24">
        <f t="shared" si="85"/>
        <v>1</v>
      </c>
      <c r="D483" s="719"/>
      <c r="E483" s="24">
        <f t="shared" si="86"/>
        <v>0.2</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0">
        <f t="shared" si="84"/>
        <v>0</v>
      </c>
    </row>
    <row r="484" spans="1:19">
      <c r="A484" s="158"/>
      <c r="B484" s="58"/>
      <c r="C484" s="24">
        <f t="shared" si="85"/>
        <v>1</v>
      </c>
      <c r="D484" s="719"/>
      <c r="E484" s="24">
        <f t="shared" si="86"/>
        <v>0.2</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0">
        <f t="shared" si="84"/>
        <v>0</v>
      </c>
    </row>
    <row r="485" spans="1:19">
      <c r="A485" s="158"/>
      <c r="B485" s="58"/>
      <c r="C485" s="24">
        <f t="shared" si="85"/>
        <v>1</v>
      </c>
      <c r="D485" s="719"/>
      <c r="E485" s="24">
        <f t="shared" si="86"/>
        <v>0.2</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0">
        <f t="shared" si="84"/>
        <v>0</v>
      </c>
    </row>
    <row r="486" spans="1:19">
      <c r="A486" s="158"/>
      <c r="B486" s="58"/>
      <c r="C486" s="24">
        <f t="shared" si="85"/>
        <v>1</v>
      </c>
      <c r="D486" s="719"/>
      <c r="E486" s="24">
        <f t="shared" si="86"/>
        <v>0.2</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0">
        <f t="shared" si="84"/>
        <v>0</v>
      </c>
    </row>
    <row r="487" spans="1:19">
      <c r="A487" s="158"/>
      <c r="B487" s="58"/>
      <c r="C487" s="24">
        <f t="shared" si="85"/>
        <v>1</v>
      </c>
      <c r="D487" s="719"/>
      <c r="E487" s="24">
        <f t="shared" si="86"/>
        <v>0.2</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0">
        <f t="shared" si="84"/>
        <v>0</v>
      </c>
    </row>
    <row r="488" spans="1:19">
      <c r="A488" s="158"/>
      <c r="B488" s="58"/>
      <c r="C488" s="24">
        <f t="shared" si="85"/>
        <v>1</v>
      </c>
      <c r="D488" s="719"/>
      <c r="E488" s="24">
        <f t="shared" si="86"/>
        <v>0.2</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0">
        <f t="shared" si="84"/>
        <v>0</v>
      </c>
    </row>
    <row r="489" spans="1:19">
      <c r="A489" s="158"/>
      <c r="B489" s="58"/>
      <c r="C489" s="24">
        <f t="shared" si="85"/>
        <v>1</v>
      </c>
      <c r="D489" s="719"/>
      <c r="E489" s="24">
        <f t="shared" si="86"/>
        <v>0.2</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0">
        <f t="shared" si="84"/>
        <v>0</v>
      </c>
    </row>
    <row r="490" spans="1:19">
      <c r="A490" s="158"/>
      <c r="B490" s="58"/>
      <c r="C490" s="24">
        <f t="shared" si="85"/>
        <v>1</v>
      </c>
      <c r="D490" s="719"/>
      <c r="E490" s="24">
        <f t="shared" si="86"/>
        <v>0.2</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0">
        <f t="shared" si="84"/>
        <v>0</v>
      </c>
    </row>
    <row r="491" spans="1:19">
      <c r="A491" s="158"/>
      <c r="B491" s="58"/>
      <c r="C491" s="24">
        <f t="shared" si="85"/>
        <v>1</v>
      </c>
      <c r="D491" s="719"/>
      <c r="E491" s="24">
        <f t="shared" si="86"/>
        <v>0.2</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0">
        <f t="shared" si="84"/>
        <v>0</v>
      </c>
    </row>
    <row r="492" spans="1:19">
      <c r="A492" s="158"/>
      <c r="B492" s="58"/>
      <c r="C492" s="24">
        <f t="shared" si="85"/>
        <v>1</v>
      </c>
      <c r="D492" s="719"/>
      <c r="E492" s="24">
        <f t="shared" si="86"/>
        <v>0.2</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0">
        <f t="shared" si="84"/>
        <v>0</v>
      </c>
    </row>
    <row r="493" spans="1:19">
      <c r="A493" s="158"/>
      <c r="B493" s="58"/>
      <c r="C493" s="24">
        <f t="shared" si="85"/>
        <v>1</v>
      </c>
      <c r="D493" s="719"/>
      <c r="E493" s="24">
        <f t="shared" si="86"/>
        <v>0.2</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0">
        <f t="shared" si="84"/>
        <v>0</v>
      </c>
    </row>
    <row r="494" spans="1:19">
      <c r="A494" s="158"/>
      <c r="B494" s="58"/>
      <c r="C494" s="24">
        <f t="shared" si="85"/>
        <v>1</v>
      </c>
      <c r="D494" s="719"/>
      <c r="E494" s="24">
        <f t="shared" si="86"/>
        <v>0.2</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0">
        <f t="shared" si="84"/>
        <v>0</v>
      </c>
    </row>
    <row r="495" spans="1:19">
      <c r="A495" s="158"/>
      <c r="B495" s="58"/>
      <c r="C495" s="24">
        <f t="shared" si="85"/>
        <v>1</v>
      </c>
      <c r="D495" s="719"/>
      <c r="E495" s="24">
        <f t="shared" si="86"/>
        <v>0.2</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0">
        <f t="shared" si="84"/>
        <v>0</v>
      </c>
    </row>
    <row r="496" spans="1:19">
      <c r="A496" s="158"/>
      <c r="B496" s="58"/>
      <c r="C496" s="24">
        <f t="shared" si="85"/>
        <v>1</v>
      </c>
      <c r="D496" s="719"/>
      <c r="E496" s="24">
        <f t="shared" si="86"/>
        <v>0.2</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0">
        <f t="shared" si="84"/>
        <v>0</v>
      </c>
    </row>
    <row r="497" spans="1:19">
      <c r="A497" s="158"/>
      <c r="B497" s="58"/>
      <c r="C497" s="24">
        <f t="shared" si="85"/>
        <v>1</v>
      </c>
      <c r="D497" s="719"/>
      <c r="E497" s="24">
        <f t="shared" si="86"/>
        <v>0.2</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0">
        <f t="shared" si="84"/>
        <v>0</v>
      </c>
    </row>
    <row r="498" spans="1:19">
      <c r="A498" s="158"/>
      <c r="B498" s="58"/>
      <c r="C498" s="24">
        <f t="shared" si="85"/>
        <v>1</v>
      </c>
      <c r="D498" s="719"/>
      <c r="E498" s="24">
        <f t="shared" si="86"/>
        <v>0.2</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0">
        <f t="shared" ref="S498:S524" si="94">ROUND(R498*B498/10000,0)</f>
        <v>0</v>
      </c>
    </row>
    <row r="499" spans="1:19">
      <c r="A499" s="158"/>
      <c r="B499" s="58"/>
      <c r="C499" s="24">
        <f t="shared" si="85"/>
        <v>1</v>
      </c>
      <c r="D499" s="719"/>
      <c r="E499" s="24">
        <f t="shared" si="86"/>
        <v>0.2</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0">
        <f t="shared" si="94"/>
        <v>0</v>
      </c>
    </row>
    <row r="500" spans="1:19">
      <c r="A500" s="158"/>
      <c r="B500" s="58"/>
      <c r="C500" s="24">
        <f t="shared" si="85"/>
        <v>1</v>
      </c>
      <c r="D500" s="719"/>
      <c r="E500" s="24">
        <f t="shared" si="86"/>
        <v>0.2</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0">
        <f t="shared" si="94"/>
        <v>0</v>
      </c>
    </row>
    <row r="501" spans="1:19">
      <c r="A501" s="158"/>
      <c r="B501" s="58"/>
      <c r="C501" s="24">
        <f t="shared" si="85"/>
        <v>1</v>
      </c>
      <c r="D501" s="719"/>
      <c r="E501" s="24">
        <f t="shared" si="86"/>
        <v>0.2</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0">
        <f t="shared" si="94"/>
        <v>0</v>
      </c>
    </row>
    <row r="502" spans="1:19">
      <c r="A502" s="158"/>
      <c r="B502" s="58"/>
      <c r="C502" s="24">
        <f t="shared" si="85"/>
        <v>1</v>
      </c>
      <c r="D502" s="719"/>
      <c r="E502" s="24">
        <f t="shared" si="86"/>
        <v>0.2</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0">
        <f t="shared" si="94"/>
        <v>0</v>
      </c>
    </row>
    <row r="503" spans="1:19">
      <c r="A503" s="158"/>
      <c r="B503" s="58"/>
      <c r="C503" s="24">
        <f t="shared" si="85"/>
        <v>1</v>
      </c>
      <c r="D503" s="719"/>
      <c r="E503" s="24">
        <f t="shared" si="86"/>
        <v>0.2</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0">
        <f t="shared" si="94"/>
        <v>0</v>
      </c>
    </row>
    <row r="504" spans="1:19">
      <c r="A504" s="158"/>
      <c r="B504" s="58"/>
      <c r="C504" s="24">
        <f t="shared" si="85"/>
        <v>1</v>
      </c>
      <c r="D504" s="719"/>
      <c r="E504" s="24">
        <f t="shared" si="86"/>
        <v>0.2</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0">
        <f t="shared" si="94"/>
        <v>0</v>
      </c>
    </row>
    <row r="505" spans="1:19">
      <c r="A505" s="158"/>
      <c r="B505" s="58"/>
      <c r="C505" s="24">
        <f t="shared" si="85"/>
        <v>1</v>
      </c>
      <c r="D505" s="719"/>
      <c r="E505" s="24">
        <f t="shared" si="86"/>
        <v>0.2</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0">
        <f t="shared" si="94"/>
        <v>0</v>
      </c>
    </row>
    <row r="506" spans="1:19">
      <c r="A506" s="158"/>
      <c r="B506" s="58"/>
      <c r="C506" s="24">
        <f t="shared" si="85"/>
        <v>1</v>
      </c>
      <c r="D506" s="719"/>
      <c r="E506" s="24">
        <f t="shared" si="86"/>
        <v>0.2</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0">
        <f t="shared" si="94"/>
        <v>0</v>
      </c>
    </row>
    <row r="507" spans="1:19">
      <c r="A507" s="158"/>
      <c r="B507" s="58"/>
      <c r="C507" s="24">
        <f t="shared" si="85"/>
        <v>1</v>
      </c>
      <c r="D507" s="719"/>
      <c r="E507" s="24">
        <f t="shared" si="86"/>
        <v>0.2</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0">
        <f t="shared" si="94"/>
        <v>0</v>
      </c>
    </row>
    <row r="508" spans="1:19">
      <c r="A508" s="158"/>
      <c r="B508" s="58"/>
      <c r="C508" s="24">
        <f t="shared" si="85"/>
        <v>1</v>
      </c>
      <c r="D508" s="719"/>
      <c r="E508" s="24">
        <f t="shared" si="86"/>
        <v>0.2</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0">
        <f t="shared" si="94"/>
        <v>0</v>
      </c>
    </row>
    <row r="509" spans="1:19">
      <c r="A509" s="158"/>
      <c r="B509" s="58"/>
      <c r="C509" s="24">
        <f t="shared" si="85"/>
        <v>1</v>
      </c>
      <c r="D509" s="719"/>
      <c r="E509" s="24">
        <f t="shared" si="86"/>
        <v>0.2</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0">
        <f t="shared" si="94"/>
        <v>0</v>
      </c>
    </row>
    <row r="510" spans="1:19">
      <c r="A510" s="158"/>
      <c r="B510" s="58"/>
      <c r="C510" s="24">
        <f t="shared" si="85"/>
        <v>1</v>
      </c>
      <c r="D510" s="719"/>
      <c r="E510" s="24">
        <f t="shared" si="86"/>
        <v>0.2</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0">
        <f t="shared" si="94"/>
        <v>0</v>
      </c>
    </row>
    <row r="511" spans="1:19">
      <c r="A511" s="158"/>
      <c r="B511" s="58"/>
      <c r="C511" s="24">
        <f t="shared" si="85"/>
        <v>1</v>
      </c>
      <c r="D511" s="719"/>
      <c r="E511" s="24">
        <f t="shared" si="86"/>
        <v>0.2</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0">
        <f t="shared" si="94"/>
        <v>0</v>
      </c>
    </row>
    <row r="512" spans="1:19">
      <c r="A512" s="158"/>
      <c r="B512" s="58"/>
      <c r="C512" s="24">
        <f t="shared" si="85"/>
        <v>1</v>
      </c>
      <c r="D512" s="719"/>
      <c r="E512" s="24">
        <f t="shared" si="86"/>
        <v>0.2</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0">
        <f t="shared" si="94"/>
        <v>0</v>
      </c>
    </row>
    <row r="513" spans="1:19">
      <c r="A513" s="158"/>
      <c r="B513" s="58"/>
      <c r="C513" s="24">
        <f t="shared" si="85"/>
        <v>1</v>
      </c>
      <c r="D513" s="719"/>
      <c r="E513" s="24">
        <f t="shared" si="86"/>
        <v>0.2</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0">
        <f t="shared" si="94"/>
        <v>0</v>
      </c>
    </row>
    <row r="514" spans="1:19">
      <c r="A514" s="158"/>
      <c r="B514" s="58"/>
      <c r="C514" s="24">
        <f t="shared" si="85"/>
        <v>1</v>
      </c>
      <c r="D514" s="719"/>
      <c r="E514" s="24">
        <f t="shared" si="86"/>
        <v>0.2</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0">
        <f t="shared" si="94"/>
        <v>0</v>
      </c>
    </row>
    <row r="515" spans="1:19">
      <c r="A515" s="158"/>
      <c r="B515" s="58"/>
      <c r="C515" s="24">
        <f t="shared" si="85"/>
        <v>1</v>
      </c>
      <c r="D515" s="719"/>
      <c r="E515" s="24">
        <f t="shared" si="86"/>
        <v>0.2</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0">
        <f t="shared" si="94"/>
        <v>0</v>
      </c>
    </row>
    <row r="516" spans="1:19">
      <c r="A516" s="158"/>
      <c r="B516" s="58"/>
      <c r="C516" s="24">
        <f t="shared" si="85"/>
        <v>1</v>
      </c>
      <c r="D516" s="719"/>
      <c r="E516" s="24">
        <f t="shared" si="86"/>
        <v>0.2</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0">
        <f t="shared" si="94"/>
        <v>0</v>
      </c>
    </row>
    <row r="517" spans="1:19">
      <c r="A517" s="158"/>
      <c r="B517" s="58"/>
      <c r="C517" s="24">
        <f t="shared" si="85"/>
        <v>1</v>
      </c>
      <c r="D517" s="719"/>
      <c r="E517" s="24">
        <f t="shared" si="86"/>
        <v>0.2</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0">
        <f t="shared" si="94"/>
        <v>0</v>
      </c>
    </row>
    <row r="518" spans="1:19">
      <c r="A518" s="158"/>
      <c r="B518" s="58"/>
      <c r="C518" s="24">
        <f t="shared" si="85"/>
        <v>1</v>
      </c>
      <c r="D518" s="719"/>
      <c r="E518" s="24">
        <f t="shared" si="86"/>
        <v>0.2</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0">
        <f t="shared" si="94"/>
        <v>0</v>
      </c>
    </row>
    <row r="519" spans="1:19">
      <c r="A519" s="158"/>
      <c r="B519" s="58"/>
      <c r="C519" s="24">
        <f t="shared" si="85"/>
        <v>1</v>
      </c>
      <c r="D519" s="719"/>
      <c r="E519" s="24">
        <f t="shared" si="86"/>
        <v>0.2</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0">
        <f t="shared" si="94"/>
        <v>0</v>
      </c>
    </row>
    <row r="520" spans="1:19">
      <c r="A520" s="158"/>
      <c r="B520" s="58"/>
      <c r="C520" s="24">
        <f t="shared" si="85"/>
        <v>1</v>
      </c>
      <c r="D520" s="719"/>
      <c r="E520" s="24">
        <f t="shared" si="86"/>
        <v>0.2</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0">
        <f t="shared" si="94"/>
        <v>0</v>
      </c>
    </row>
    <row r="521" spans="1:19">
      <c r="A521" s="158"/>
      <c r="B521" s="58"/>
      <c r="C521" s="24">
        <f t="shared" si="85"/>
        <v>1</v>
      </c>
      <c r="D521" s="719"/>
      <c r="E521" s="24">
        <f t="shared" si="86"/>
        <v>0.2</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0">
        <f t="shared" si="94"/>
        <v>0</v>
      </c>
    </row>
    <row r="522" spans="1:19">
      <c r="A522" s="158"/>
      <c r="B522" s="58"/>
      <c r="C522" s="24">
        <f t="shared" si="85"/>
        <v>1</v>
      </c>
      <c r="D522" s="719"/>
      <c r="E522" s="24">
        <f t="shared" si="86"/>
        <v>0.2</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0">
        <f t="shared" si="94"/>
        <v>0</v>
      </c>
    </row>
    <row r="523" spans="1:19">
      <c r="A523" s="158"/>
      <c r="B523" s="58"/>
      <c r="C523" s="24">
        <f t="shared" si="85"/>
        <v>1</v>
      </c>
      <c r="D523" s="719"/>
      <c r="E523" s="24">
        <f t="shared" si="86"/>
        <v>0.2</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0">
        <f t="shared" si="94"/>
        <v>0</v>
      </c>
    </row>
    <row r="524" spans="1:19">
      <c r="A524" s="158"/>
      <c r="B524" s="58"/>
      <c r="C524" s="24">
        <f t="shared" si="85"/>
        <v>1</v>
      </c>
      <c r="D524" s="719"/>
      <c r="E524" s="24">
        <f t="shared" si="86"/>
        <v>0.2</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63"/>
      <c r="B4" s="2976" t="s">
        <v>1626</v>
      </c>
      <c r="C4" s="2976"/>
      <c r="D4" s="2976"/>
      <c r="E4" s="1963"/>
    </row>
    <row r="5" spans="1:5" ht="16.5" thickTop="1">
      <c r="A5" s="1961"/>
      <c r="B5" s="2974" t="s">
        <v>1618</v>
      </c>
      <c r="C5" s="1964" t="s">
        <v>1619</v>
      </c>
      <c r="D5" s="1042">
        <f ca="1">结果表!H101</f>
        <v>1063</v>
      </c>
      <c r="E5" s="1961"/>
    </row>
    <row r="6" spans="1:5" ht="15.75">
      <c r="A6" s="1961"/>
      <c r="B6" s="2974"/>
      <c r="C6" s="1964" t="s">
        <v>1620</v>
      </c>
      <c r="D6" s="1042" t="str">
        <f ca="1">NUMBERSTRING(INT(D5*10000),2)&amp;"元整"</f>
        <v>壹仟零陆拾叁万元整</v>
      </c>
      <c r="E6" s="1961"/>
    </row>
    <row r="7" spans="1:5" ht="15.75">
      <c r="A7" s="1961"/>
      <c r="B7" s="2979"/>
      <c r="C7" s="1965" t="s">
        <v>1621</v>
      </c>
      <c r="D7" s="1043">
        <f ca="1">结果表!H102</f>
        <v>341</v>
      </c>
      <c r="E7" s="1961"/>
    </row>
    <row r="8" spans="1:5" ht="15.75">
      <c r="A8" s="1961"/>
      <c r="B8" s="2980" t="str">
        <f>结果表!E103</f>
        <v>2.估价师知悉的法定优先受偿款</v>
      </c>
      <c r="C8" s="1966" t="s">
        <v>1622</v>
      </c>
      <c r="D8" s="1043">
        <f>结果表!H103</f>
        <v>0</v>
      </c>
      <c r="E8" s="1961"/>
    </row>
    <row r="9" spans="1:5" ht="15.75">
      <c r="A9" s="1961"/>
      <c r="B9" s="2982"/>
      <c r="C9" s="1964" t="s">
        <v>1620</v>
      </c>
      <c r="D9" s="1042" t="str">
        <f>NUMBERSTRING(INT(D8*10000),2)&amp;"元整"</f>
        <v>零元整</v>
      </c>
      <c r="E9" s="1961"/>
    </row>
    <row r="10" spans="1:5" ht="15">
      <c r="A10" s="1961"/>
      <c r="B10" s="1967" t="s">
        <v>1625</v>
      </c>
      <c r="C10" s="1968" t="s">
        <v>1623</v>
      </c>
      <c r="D10" s="1044">
        <f>结果表!H104</f>
        <v>0</v>
      </c>
      <c r="E10" s="1961"/>
    </row>
    <row r="11" spans="1:5" ht="15">
      <c r="A11" s="1961"/>
      <c r="B11" s="1967" t="s">
        <v>1627</v>
      </c>
      <c r="C11" s="1968" t="s">
        <v>1628</v>
      </c>
      <c r="D11" s="1044">
        <f>结果表!H105</f>
        <v>0</v>
      </c>
      <c r="E11" s="1961"/>
    </row>
    <row r="12" spans="1:5" ht="15">
      <c r="A12" s="1961"/>
      <c r="B12" s="1967" t="s">
        <v>1629</v>
      </c>
      <c r="C12" s="1968" t="s">
        <v>1628</v>
      </c>
      <c r="D12" s="1044">
        <f>结果表!H106</f>
        <v>0</v>
      </c>
      <c r="E12" s="1961"/>
    </row>
    <row r="13" spans="1:5" ht="15.75">
      <c r="A13" s="1961"/>
      <c r="B13" s="2973" t="str">
        <f>结果表!E107</f>
        <v>3.房地产抵押价值</v>
      </c>
      <c r="C13" s="1969" t="s">
        <v>1619</v>
      </c>
      <c r="D13" s="1045">
        <f ca="1">结果表!H107</f>
        <v>1063</v>
      </c>
      <c r="E13" s="1961"/>
    </row>
    <row r="14" spans="1:5" ht="15.75">
      <c r="A14" s="1961"/>
      <c r="B14" s="2974"/>
      <c r="C14" s="1964" t="s">
        <v>1620</v>
      </c>
      <c r="D14" s="1042" t="str">
        <f ca="1">NUMBERSTRING(INT(D13*10000),2)&amp;"元整"</f>
        <v>壹仟零陆拾叁万元整</v>
      </c>
      <c r="E14" s="1961"/>
    </row>
    <row r="15" spans="1:5" ht="15">
      <c r="A15" s="1961"/>
      <c r="B15" s="2979"/>
      <c r="C15" s="1965" t="s">
        <v>1630</v>
      </c>
      <c r="D15" s="1054">
        <f ca="1">结果表!H108</f>
        <v>341</v>
      </c>
      <c r="E15" s="1961"/>
    </row>
    <row r="16" spans="1:5" ht="15">
      <c r="A16" s="1961"/>
      <c r="B16" s="2980" t="str">
        <f>结果表!E109</f>
        <v>——</v>
      </c>
      <c r="C16" s="1969" t="s">
        <v>1631</v>
      </c>
      <c r="D16" s="1970" t="str">
        <f>结果表!H109</f>
        <v>——</v>
      </c>
      <c r="E16" s="1961"/>
    </row>
    <row r="17" spans="1:5" ht="15.75">
      <c r="A17" s="1961"/>
      <c r="B17" s="2981"/>
      <c r="C17" s="1964" t="s">
        <v>1632</v>
      </c>
      <c r="D17" s="1042" t="e">
        <f>NUMBERSTRING(INT(D16*10000),2)&amp;"元整"</f>
        <v>#VALUE!</v>
      </c>
      <c r="E17" s="1961"/>
    </row>
    <row r="18" spans="1:5" ht="15">
      <c r="A18" s="1961"/>
      <c r="B18" s="2982"/>
      <c r="C18" s="1965" t="s">
        <v>1621</v>
      </c>
      <c r="D18" s="1054" t="str">
        <f>结果表!H110</f>
        <v>——</v>
      </c>
      <c r="E18" s="1961"/>
    </row>
    <row r="19" spans="1:5" ht="15.75">
      <c r="A19" s="1961"/>
      <c r="B19" s="2973" t="str">
        <f>结果表!E111</f>
        <v>——</v>
      </c>
      <c r="C19" s="1969" t="s">
        <v>1619</v>
      </c>
      <c r="D19" s="1043" t="str">
        <f>结果表!H111</f>
        <v>——</v>
      </c>
      <c r="E19" s="1961"/>
    </row>
    <row r="20" spans="1:5" ht="15.75">
      <c r="A20" s="1961"/>
      <c r="B20" s="2974"/>
      <c r="C20" s="1964" t="s">
        <v>1632</v>
      </c>
      <c r="D20" s="1042" t="e">
        <f>NUMBERSTRING(INT(D19*10000),2)&amp;"元整"</f>
        <v>#VALUE!</v>
      </c>
      <c r="E20" s="1961"/>
    </row>
    <row r="21" spans="1:5" ht="15.75" thickBot="1">
      <c r="A21" s="1961"/>
      <c r="B21" s="2975"/>
      <c r="C21" s="1971" t="s">
        <v>1630</v>
      </c>
      <c r="D21" s="1055"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37993</v>
      </c>
      <c r="C2" s="2" t="s">
        <v>133</v>
      </c>
      <c r="D2" s="242"/>
      <c r="E2" s="242"/>
      <c r="F2" s="242"/>
      <c r="G2" s="242"/>
    </row>
    <row r="3" spans="1:7" s="243" customFormat="1" ht="18" customHeight="1" thickBot="1">
      <c r="A3" s="246" t="s">
        <v>85</v>
      </c>
      <c r="B3" s="247">
        <f ca="1">ROUND(B2*10000/'数据-汇总表'!E3,0)</f>
        <v>12194</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0</v>
      </c>
      <c r="D9" s="1034">
        <f>'数据-汇总表'!E5</f>
        <v>0</v>
      </c>
      <c r="E9" s="268">
        <f>'数据-取费表'!B27</f>
        <v>430</v>
      </c>
      <c r="F9" s="264"/>
      <c r="G9" s="269"/>
    </row>
    <row r="10" spans="1:7" s="257" customFormat="1" ht="13.5" customHeight="1">
      <c r="A10" s="952" t="s">
        <v>801</v>
      </c>
      <c r="B10" s="267" t="s">
        <v>94</v>
      </c>
      <c r="C10" s="268">
        <f>ROUND(D10*E10/10000,0)</f>
        <v>1340</v>
      </c>
      <c r="D10" s="1034">
        <f>'数据-汇总表'!E6</f>
        <v>31156.999999999996</v>
      </c>
      <c r="E10" s="268">
        <f>'数据-取费表'!B28</f>
        <v>430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623</v>
      </c>
      <c r="D19" s="1038">
        <f>'数据-汇总表'!E3</f>
        <v>31156.999999999996</v>
      </c>
      <c r="E19" s="254">
        <f>'数据-取费表'!B31</f>
        <v>200</v>
      </c>
      <c r="F19" s="274"/>
      <c r="G19" s="1" t="s">
        <v>1071</v>
      </c>
    </row>
    <row r="20" spans="1:7" s="257" customFormat="1" ht="13.5" customHeight="1">
      <c r="A20" s="950" t="s">
        <v>1054</v>
      </c>
      <c r="B20" s="253" t="s">
        <v>104</v>
      </c>
      <c r="C20" s="275">
        <f>ROUND((C5+C19)*F20,0)</f>
        <v>425</v>
      </c>
      <c r="D20" s="275"/>
      <c r="E20" s="275"/>
      <c r="F20" s="276">
        <f>'数据-取费表'!B37</f>
        <v>0.02</v>
      </c>
      <c r="G20" s="1291" t="s">
        <v>1065</v>
      </c>
    </row>
    <row r="21" spans="1:7" s="257" customFormat="1" ht="13.5" customHeight="1">
      <c r="A21" s="950" t="s">
        <v>1056</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1546</v>
      </c>
      <c r="D22" s="278">
        <f ca="1">C26</f>
        <v>6.9999999999999999E-4</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1486</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45</v>
      </c>
      <c r="D24" s="281"/>
      <c r="E24" s="281"/>
      <c r="F24" s="282"/>
      <c r="G24" s="283" t="s">
        <v>109</v>
      </c>
    </row>
    <row r="25" spans="1:7" s="257" customFormat="1" ht="24">
      <c r="A25" s="953" t="s">
        <v>793</v>
      </c>
      <c r="B25" s="258" t="s">
        <v>1055</v>
      </c>
      <c r="C25" s="1357">
        <f ca="1">ROUND(IF('数据-取费表'!B22&lt;=1,C20*F22*'数据-取费表'!B23/2,C20*(POWER((1+F22),'数据-取费表'!B23/2)-1)),0)</f>
        <v>15</v>
      </c>
      <c r="D25" s="281"/>
      <c r="E25" s="284"/>
      <c r="F25" s="282"/>
      <c r="G25" s="285" t="s">
        <v>110</v>
      </c>
    </row>
    <row r="26" spans="1:7" s="257" customFormat="1">
      <c r="A26" s="953" t="s">
        <v>795</v>
      </c>
      <c r="B26" s="258" t="s">
        <v>1057</v>
      </c>
      <c r="C26" s="281">
        <f ca="1">ROUND(IF('数据-取费表'!B22&lt;=1,F21*F22*'数据-取费表'!B23/2,F21*(POWER((1+F22),'数据-取费表'!B23/2)-1)),4)</f>
        <v>6.9999999999999999E-4</v>
      </c>
      <c r="D26" s="281"/>
      <c r="E26" s="284"/>
      <c r="F26" s="282"/>
      <c r="G26" s="286"/>
    </row>
    <row r="27" spans="1:7" s="257" customFormat="1" ht="24.75">
      <c r="A27" s="950" t="s">
        <v>787</v>
      </c>
      <c r="B27" s="287" t="s">
        <v>112</v>
      </c>
      <c r="C27" s="288">
        <f>C28</f>
        <v>2166</v>
      </c>
      <c r="D27" s="278">
        <f>C29</f>
        <v>2E-3</v>
      </c>
      <c r="E27" s="279" t="s">
        <v>126</v>
      </c>
      <c r="F27" s="289">
        <f>'数据-取费表'!Q16</f>
        <v>0.1</v>
      </c>
      <c r="G27" s="290" t="s">
        <v>1066</v>
      </c>
    </row>
    <row r="28" spans="1:7" s="257" customFormat="1" ht="13.5" customHeight="1">
      <c r="A28" s="953" t="s">
        <v>794</v>
      </c>
      <c r="B28" s="291" t="s">
        <v>1059</v>
      </c>
      <c r="C28" s="292">
        <f>ROUND((C5+C19+C20)*F27*'数据-取费表'!B21/'数据-取费表'!B20,0)</f>
        <v>2166</v>
      </c>
      <c r="D28" s="278"/>
      <c r="E28" s="279"/>
      <c r="F28" s="289"/>
      <c r="G28" s="290"/>
    </row>
    <row r="29" spans="1:7" s="257" customFormat="1" ht="13.5" customHeight="1">
      <c r="A29" s="953" t="s">
        <v>792</v>
      </c>
      <c r="B29" s="291" t="s">
        <v>1060</v>
      </c>
      <c r="C29" s="281">
        <f>ROUND(C21*F27*'数据-取费表'!B21/'数据-取费表'!B20,4)</f>
        <v>2E-3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27429</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8436</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7477</v>
      </c>
      <c r="D34" s="260"/>
      <c r="E34" s="263"/>
      <c r="F34" s="300">
        <f>IF('数据-取费表'!B24=0,1,'数据-取费表'!N16)</f>
        <v>1</v>
      </c>
      <c r="G34" s="262" t="s">
        <v>116</v>
      </c>
    </row>
    <row r="35" spans="1:7" ht="13.5" customHeight="1">
      <c r="A35" s="953" t="s">
        <v>796</v>
      </c>
      <c r="B35" s="258" t="s">
        <v>60</v>
      </c>
      <c r="C35" s="263">
        <f>ROUND(C34*F35,0)</f>
        <v>224</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623</v>
      </c>
      <c r="D37" s="260">
        <f>'数据-汇总表'!E3</f>
        <v>31156.999999999996</v>
      </c>
      <c r="E37" s="292">
        <f>'数据-取费表'!B35</f>
        <v>200</v>
      </c>
      <c r="F37" s="302"/>
      <c r="G37" s="304" t="s">
        <v>119</v>
      </c>
    </row>
    <row r="38" spans="1:7" ht="13.5" customHeight="1">
      <c r="A38" s="953" t="s">
        <v>799</v>
      </c>
      <c r="B38" s="258" t="s">
        <v>63</v>
      </c>
      <c r="C38" s="263">
        <f>ROUND(C34*F38,0)</f>
        <v>112</v>
      </c>
      <c r="D38" s="263"/>
      <c r="E38" s="263"/>
      <c r="F38" s="302">
        <f>'数据-取费表'!B36</f>
        <v>1.4999999999999999E-2</v>
      </c>
      <c r="G38" s="262" t="s">
        <v>117</v>
      </c>
    </row>
    <row r="39" spans="1:7" s="257" customFormat="1" ht="13.5" customHeight="1">
      <c r="A39" s="950" t="s">
        <v>783</v>
      </c>
      <c r="B39" s="253" t="s">
        <v>104</v>
      </c>
      <c r="C39" s="275">
        <f>ROUND(C33*F20,0)</f>
        <v>169</v>
      </c>
      <c r="D39" s="275"/>
      <c r="E39" s="275"/>
      <c r="F39" s="276"/>
      <c r="G39" s="1291" t="s">
        <v>1068</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305</v>
      </c>
      <c r="D41" s="278">
        <f ca="1">C44</f>
        <v>6.9999999999999999E-4</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299</v>
      </c>
      <c r="D42" s="281"/>
      <c r="E42" s="281"/>
      <c r="F42" s="282"/>
      <c r="G42" s="3155" t="s">
        <v>121</v>
      </c>
    </row>
    <row r="43" spans="1:7" ht="13.5" customHeight="1">
      <c r="A43" s="953" t="s">
        <v>792</v>
      </c>
      <c r="B43" s="258" t="s">
        <v>1061</v>
      </c>
      <c r="C43" s="281">
        <f ca="1">ROUND(IF('数据-取费表'!B22&lt;=1,C39*F22*'数据-取费表'!B21/2,C39*(POWER((1+F22),'数据-取费表'!B21/2)-1)),0)</f>
        <v>6</v>
      </c>
      <c r="D43" s="281"/>
      <c r="E43" s="281"/>
      <c r="F43" s="282"/>
      <c r="G43" s="3156"/>
    </row>
    <row r="44" spans="1:7" ht="13.5" customHeight="1">
      <c r="A44" s="953" t="s">
        <v>793</v>
      </c>
      <c r="B44" s="258" t="s">
        <v>1063</v>
      </c>
      <c r="C44" s="281">
        <f ca="1">ROUND(IF('数据-取费表'!B22&lt;=1,C40*F22*'数据-取费表'!B21/2,C40*(POWER((1+F22),'数据-取费表'!B21/2)-1)),4)</f>
        <v>6.9999999999999999E-4</v>
      </c>
      <c r="D44" s="281"/>
      <c r="E44" s="281"/>
      <c r="F44" s="282"/>
      <c r="G44" s="3157"/>
    </row>
    <row r="45" spans="1:7" s="257" customFormat="1" ht="13.5" customHeight="1">
      <c r="A45" s="950" t="s">
        <v>786</v>
      </c>
      <c r="B45" s="287" t="s">
        <v>112</v>
      </c>
      <c r="C45" s="288">
        <f>C46</f>
        <v>861</v>
      </c>
      <c r="D45" s="278">
        <f>C47</f>
        <v>2E-3</v>
      </c>
      <c r="E45" s="279" t="s">
        <v>129</v>
      </c>
      <c r="F45" s="289"/>
      <c r="G45" s="290" t="s">
        <v>1069</v>
      </c>
    </row>
    <row r="46" spans="1:7" s="257" customFormat="1" ht="13.5" customHeight="1">
      <c r="A46" s="953" t="s">
        <v>794</v>
      </c>
      <c r="B46" s="291" t="s">
        <v>1062</v>
      </c>
      <c r="C46" s="292">
        <f>ROUND((C33+C39)*F27,0)</f>
        <v>861</v>
      </c>
      <c r="D46" s="306"/>
      <c r="E46" s="279"/>
      <c r="F46" s="289"/>
      <c r="G46" s="290"/>
    </row>
    <row r="47" spans="1:7" s="257" customFormat="1" ht="13.5" customHeight="1">
      <c r="A47" s="953" t="s">
        <v>792</v>
      </c>
      <c r="B47" s="291" t="s">
        <v>1064</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10564</v>
      </c>
      <c r="D49" s="275"/>
      <c r="E49" s="275"/>
      <c r="F49" s="307"/>
      <c r="G49" s="277" t="s">
        <v>1070</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10564</v>
      </c>
      <c r="D51" s="275"/>
      <c r="E51" s="275"/>
      <c r="F51" s="307"/>
      <c r="G51" s="277" t="s">
        <v>64</v>
      </c>
    </row>
    <row r="52" spans="1:7" s="251" customFormat="1" ht="16.5" thickBot="1">
      <c r="A52" s="308" t="s">
        <v>65</v>
      </c>
      <c r="B52" s="309"/>
      <c r="C52" s="310">
        <f ca="1">C31+C51</f>
        <v>37993</v>
      </c>
      <c r="D52" s="309"/>
      <c r="E52" s="309"/>
      <c r="F52" s="309"/>
      <c r="G52" s="311"/>
    </row>
    <row r="55" spans="1:7" ht="15">
      <c r="B55" s="313" t="s">
        <v>66</v>
      </c>
      <c r="C55" s="314"/>
    </row>
    <row r="56" spans="1:7">
      <c r="B56" s="316" t="s">
        <v>67</v>
      </c>
      <c r="C56" s="317">
        <f ca="1">ROUND(C51/C52,3)</f>
        <v>0.27800000000000002</v>
      </c>
    </row>
    <row r="57" spans="1:7">
      <c r="B57" s="316" t="s">
        <v>68</v>
      </c>
      <c r="C57" s="318">
        <f ca="1">1-C56</f>
        <v>0.72199999999999998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90" t="s">
        <v>156</v>
      </c>
      <c r="B1" s="3290"/>
      <c r="C1" s="3290"/>
      <c r="D1" s="3290"/>
      <c r="E1" s="3290"/>
      <c r="F1" s="329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1" t="s">
        <v>169</v>
      </c>
      <c r="B2" s="3291"/>
      <c r="C2" s="3291"/>
      <c r="D2" s="3291"/>
      <c r="E2" s="3291"/>
      <c r="F2" s="329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0" t="s">
        <v>868</v>
      </c>
      <c r="B1" s="3290"/>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43405</v>
      </c>
      <c r="D1" s="1702" t="s">
        <v>1297</v>
      </c>
      <c r="E1" s="1697">
        <f>'数据-取费表'!B22</f>
        <v>1.5</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G24"/>
  <sheetViews>
    <sheetView workbookViewId="0">
      <selection activeCell="H13" sqref="H13"/>
    </sheetView>
  </sheetViews>
  <sheetFormatPr defaultColWidth="9" defaultRowHeight="13.5"/>
  <cols>
    <col min="1" max="2" width="9" style="1017"/>
    <col min="3" max="3" width="40.75" style="1017" customWidth="1"/>
    <col min="4" max="4" width="16.5" style="1017" hidden="1" customWidth="1"/>
    <col min="5" max="5" width="14.125" style="2965" customWidth="1"/>
    <col min="6" max="6" width="21.5" style="2949" customWidth="1"/>
    <col min="7" max="7" width="12.75" style="1017" bestFit="1" customWidth="1"/>
    <col min="8" max="16384" width="9" style="1017"/>
  </cols>
  <sheetData>
    <row r="1" spans="1:7" ht="20.25">
      <c r="A1" s="3294" t="s">
        <v>3061</v>
      </c>
      <c r="B1" s="3294"/>
      <c r="C1" s="3294"/>
      <c r="D1" s="3294"/>
      <c r="E1" s="3294"/>
    </row>
    <row r="2" spans="1:7">
      <c r="A2" s="2950"/>
      <c r="B2" s="2950"/>
      <c r="C2" s="2951" t="s">
        <v>3062</v>
      </c>
      <c r="D2" s="2951" t="s">
        <v>3063</v>
      </c>
      <c r="E2" s="2951" t="s">
        <v>3064</v>
      </c>
      <c r="F2" s="2952" t="s">
        <v>3065</v>
      </c>
      <c r="G2" s="1017" t="s">
        <v>3066</v>
      </c>
    </row>
    <row r="3" spans="1:7">
      <c r="A3" s="3295" t="s">
        <v>1373</v>
      </c>
      <c r="B3" s="3295" t="s">
        <v>3067</v>
      </c>
      <c r="C3" s="2953" t="s">
        <v>3068</v>
      </c>
      <c r="D3" s="2953">
        <v>287.93</v>
      </c>
      <c r="E3" s="2954">
        <v>287.93</v>
      </c>
      <c r="F3" s="2955">
        <f>E3*38000</f>
        <v>10941340</v>
      </c>
      <c r="G3" s="2956">
        <f>F3/E3</f>
        <v>38000</v>
      </c>
    </row>
    <row r="4" spans="1:7">
      <c r="A4" s="3295"/>
      <c r="B4" s="3295"/>
      <c r="C4" s="2957" t="s">
        <v>3069</v>
      </c>
      <c r="D4" s="2953">
        <v>486.52</v>
      </c>
      <c r="E4" s="2954">
        <v>486.52</v>
      </c>
      <c r="F4" s="2955">
        <f t="shared" ref="F4:F8" si="0">E4*38000</f>
        <v>18487760</v>
      </c>
      <c r="G4" s="2956">
        <f t="shared" ref="G4:G22" si="1">F4/E4</f>
        <v>38000</v>
      </c>
    </row>
    <row r="5" spans="1:7">
      <c r="A5" s="3295"/>
      <c r="B5" s="3295"/>
      <c r="C5" s="2953" t="s">
        <v>3070</v>
      </c>
      <c r="D5" s="2953">
        <v>308.27</v>
      </c>
      <c r="E5" s="2954">
        <v>308.27</v>
      </c>
      <c r="F5" s="2955">
        <f t="shared" si="0"/>
        <v>11714260</v>
      </c>
      <c r="G5" s="2956">
        <f t="shared" si="1"/>
        <v>38000</v>
      </c>
    </row>
    <row r="6" spans="1:7">
      <c r="A6" s="3295"/>
      <c r="B6" s="3295"/>
      <c r="C6" s="2958" t="s">
        <v>3071</v>
      </c>
      <c r="D6" s="2959">
        <v>3880.12</v>
      </c>
      <c r="E6" s="2960">
        <v>3877.92</v>
      </c>
      <c r="F6" s="2955">
        <f t="shared" si="0"/>
        <v>147360960</v>
      </c>
      <c r="G6" s="2956">
        <f t="shared" si="1"/>
        <v>38000</v>
      </c>
    </row>
    <row r="7" spans="1:7">
      <c r="A7" s="3295"/>
      <c r="B7" s="3295"/>
      <c r="C7" s="2953" t="s">
        <v>3072</v>
      </c>
      <c r="D7" s="2953">
        <v>126.11</v>
      </c>
      <c r="E7" s="2954">
        <v>125.89</v>
      </c>
      <c r="F7" s="2955">
        <f t="shared" si="0"/>
        <v>4783820</v>
      </c>
      <c r="G7" s="2956">
        <f t="shared" si="1"/>
        <v>38000</v>
      </c>
    </row>
    <row r="8" spans="1:7">
      <c r="A8" s="3295"/>
      <c r="B8" s="3295"/>
      <c r="C8" s="2958" t="s">
        <v>3073</v>
      </c>
      <c r="D8" s="2959">
        <v>4181.3100000000004</v>
      </c>
      <c r="E8" s="2960">
        <v>4057.57</v>
      </c>
      <c r="F8" s="2955">
        <f t="shared" si="0"/>
        <v>154187660</v>
      </c>
      <c r="G8" s="2956">
        <f t="shared" si="1"/>
        <v>38000</v>
      </c>
    </row>
    <row r="9" spans="1:7">
      <c r="A9" s="3295"/>
      <c r="B9" s="2951"/>
      <c r="C9" s="2957"/>
      <c r="D9" s="2961"/>
      <c r="E9" s="2962">
        <f>SUM(E3:E8)</f>
        <v>9144.1</v>
      </c>
      <c r="F9" s="2955"/>
      <c r="G9" s="2956"/>
    </row>
    <row r="10" spans="1:7">
      <c r="A10" s="3295"/>
      <c r="B10" s="3295" t="s">
        <v>3074</v>
      </c>
      <c r="C10" s="2953" t="s">
        <v>3075</v>
      </c>
      <c r="D10" s="2953">
        <v>389.56</v>
      </c>
      <c r="E10" s="2954">
        <v>391.06</v>
      </c>
      <c r="F10" s="2955">
        <f>E10*37500</f>
        <v>14664750</v>
      </c>
      <c r="G10" s="2956">
        <f t="shared" si="1"/>
        <v>37500</v>
      </c>
    </row>
    <row r="11" spans="1:7">
      <c r="A11" s="3295"/>
      <c r="B11" s="3295"/>
      <c r="C11" s="2953" t="s">
        <v>3076</v>
      </c>
      <c r="D11" s="2953">
        <v>198.65</v>
      </c>
      <c r="E11" s="2954">
        <v>198.69</v>
      </c>
      <c r="F11" s="2955">
        <f t="shared" ref="F11:F22" si="2">E11*37500</f>
        <v>7450875</v>
      </c>
      <c r="G11" s="2956">
        <f t="shared" si="1"/>
        <v>37500</v>
      </c>
    </row>
    <row r="12" spans="1:7">
      <c r="A12" s="3295"/>
      <c r="B12" s="3295"/>
      <c r="C12" s="2953" t="s">
        <v>3077</v>
      </c>
      <c r="D12" s="2953">
        <v>252.4</v>
      </c>
      <c r="E12" s="2954">
        <v>252.28</v>
      </c>
      <c r="F12" s="2955">
        <f t="shared" si="2"/>
        <v>9460500</v>
      </c>
      <c r="G12" s="2956">
        <f t="shared" si="1"/>
        <v>37500</v>
      </c>
    </row>
    <row r="13" spans="1:7">
      <c r="A13" s="3295"/>
      <c r="B13" s="3295"/>
      <c r="C13" s="2959" t="s">
        <v>3078</v>
      </c>
      <c r="D13" s="2959">
        <v>4563.7</v>
      </c>
      <c r="E13" s="2960">
        <v>4563.7</v>
      </c>
      <c r="F13" s="2955">
        <f t="shared" si="2"/>
        <v>171138750</v>
      </c>
      <c r="G13" s="2956">
        <f t="shared" si="1"/>
        <v>37500</v>
      </c>
    </row>
    <row r="14" spans="1:7">
      <c r="A14" s="3295"/>
      <c r="B14" s="3295"/>
      <c r="C14" s="2953" t="s">
        <v>3079</v>
      </c>
      <c r="D14" s="2953">
        <v>169.71</v>
      </c>
      <c r="E14" s="2954">
        <v>169.35</v>
      </c>
      <c r="F14" s="2955">
        <f t="shared" si="2"/>
        <v>6350625</v>
      </c>
      <c r="G14" s="2956">
        <f t="shared" si="1"/>
        <v>37500</v>
      </c>
    </row>
    <row r="15" spans="1:7">
      <c r="A15" s="3295"/>
      <c r="B15" s="3295"/>
      <c r="C15" s="2959" t="s">
        <v>3080</v>
      </c>
      <c r="D15" s="2959">
        <v>3280.14</v>
      </c>
      <c r="E15" s="2960">
        <v>3280.14</v>
      </c>
      <c r="F15" s="2955">
        <f t="shared" si="2"/>
        <v>123005250</v>
      </c>
      <c r="G15" s="2956">
        <f t="shared" si="1"/>
        <v>37500</v>
      </c>
    </row>
    <row r="16" spans="1:7">
      <c r="A16" s="3295"/>
      <c r="B16" s="2951"/>
      <c r="C16" s="2953"/>
      <c r="D16" s="2961"/>
      <c r="E16" s="2962">
        <f>SUM(E10:E15)</f>
        <v>8855.2199999999993</v>
      </c>
      <c r="F16" s="2955"/>
      <c r="G16" s="2956"/>
    </row>
    <row r="17" spans="1:7">
      <c r="A17" s="3295"/>
      <c r="B17" s="3295" t="s">
        <v>3081</v>
      </c>
      <c r="C17" s="2953" t="s">
        <v>3082</v>
      </c>
      <c r="D17" s="2953">
        <v>1063.44</v>
      </c>
      <c r="E17" s="2954">
        <v>1062.28</v>
      </c>
      <c r="F17" s="2955">
        <f t="shared" si="2"/>
        <v>39835500</v>
      </c>
      <c r="G17" s="2956">
        <f t="shared" si="1"/>
        <v>37500</v>
      </c>
    </row>
    <row r="18" spans="1:7">
      <c r="A18" s="3295"/>
      <c r="B18" s="3295"/>
      <c r="C18" s="2953" t="s">
        <v>3083</v>
      </c>
      <c r="D18" s="2953">
        <v>779.42</v>
      </c>
      <c r="E18" s="2954">
        <v>779.42</v>
      </c>
      <c r="F18" s="2955">
        <f t="shared" si="2"/>
        <v>29228250</v>
      </c>
      <c r="G18" s="2956">
        <f t="shared" si="1"/>
        <v>37500</v>
      </c>
    </row>
    <row r="19" spans="1:7">
      <c r="A19" s="3295"/>
      <c r="B19" s="3295"/>
      <c r="C19" s="2953" t="s">
        <v>3084</v>
      </c>
      <c r="D19" s="2953">
        <v>767.82</v>
      </c>
      <c r="E19" s="2954">
        <v>767.82</v>
      </c>
      <c r="F19" s="2955">
        <f t="shared" si="2"/>
        <v>28793250.000000004</v>
      </c>
      <c r="G19" s="2956">
        <f t="shared" si="1"/>
        <v>37500</v>
      </c>
    </row>
    <row r="20" spans="1:7">
      <c r="A20" s="3295"/>
      <c r="B20" s="3295"/>
      <c r="C20" s="2959" t="s">
        <v>3085</v>
      </c>
      <c r="D20" s="2959">
        <v>4364.13</v>
      </c>
      <c r="E20" s="2960">
        <v>4363.4399999999996</v>
      </c>
      <c r="F20" s="2955">
        <f t="shared" si="2"/>
        <v>163628999.99999997</v>
      </c>
      <c r="G20" s="2956">
        <f t="shared" si="1"/>
        <v>37500</v>
      </c>
    </row>
    <row r="21" spans="1:7">
      <c r="A21" s="3295"/>
      <c r="B21" s="3295"/>
      <c r="C21" s="2953" t="s">
        <v>3086</v>
      </c>
      <c r="D21" s="2953">
        <v>1117.47</v>
      </c>
      <c r="E21" s="2954">
        <v>1117.5999999999999</v>
      </c>
      <c r="F21" s="2955">
        <f t="shared" si="2"/>
        <v>41910000</v>
      </c>
      <c r="G21" s="2956">
        <f t="shared" si="1"/>
        <v>37500</v>
      </c>
    </row>
    <row r="22" spans="1:7">
      <c r="A22" s="3295"/>
      <c r="B22" s="3295"/>
      <c r="C22" s="2959" t="s">
        <v>3087</v>
      </c>
      <c r="D22" s="2959">
        <v>5067.12</v>
      </c>
      <c r="E22" s="2960">
        <v>5067.12</v>
      </c>
      <c r="F22" s="2955">
        <f t="shared" si="2"/>
        <v>190017000</v>
      </c>
      <c r="G22" s="2956">
        <f t="shared" si="1"/>
        <v>37500</v>
      </c>
    </row>
    <row r="23" spans="1:7">
      <c r="A23" s="2951"/>
      <c r="B23" s="2951"/>
      <c r="C23" s="2953"/>
      <c r="D23" s="2961"/>
      <c r="E23" s="2962">
        <f>SUM(E17:E22)</f>
        <v>13157.68</v>
      </c>
      <c r="F23" s="2955"/>
      <c r="G23" s="2956"/>
    </row>
    <row r="24" spans="1:7">
      <c r="A24" s="3296" t="s">
        <v>3088</v>
      </c>
      <c r="B24" s="3296"/>
      <c r="C24" s="3296"/>
      <c r="D24" s="2963">
        <f>SUM(D3:D22)</f>
        <v>31283.819999999996</v>
      </c>
      <c r="E24" s="2964">
        <f>E9+E16+E23</f>
        <v>31157</v>
      </c>
      <c r="F24" s="2955">
        <f>SUM(F3:F22)</f>
        <v>1172959550</v>
      </c>
    </row>
  </sheetData>
  <mergeCells count="6">
    <mergeCell ref="A24:C24"/>
    <mergeCell ref="A1:E1"/>
    <mergeCell ref="A3:A22"/>
    <mergeCell ref="B3:B8"/>
    <mergeCell ref="B10:B15"/>
    <mergeCell ref="B17:B22"/>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
  <sheetViews>
    <sheetView workbookViewId="0">
      <selection activeCell="R15" sqref="R14:R15"/>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1637</v>
      </c>
      <c r="B2" s="2984" t="s">
        <v>1638</v>
      </c>
      <c r="C2" s="2984" t="s">
        <v>1639</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85"/>
      <c r="B3" s="2985"/>
      <c r="C3" s="2985"/>
      <c r="D3" s="1046" t="s">
        <v>1634</v>
      </c>
      <c r="E3" s="1046" t="s">
        <v>1640</v>
      </c>
      <c r="F3" s="1046" t="s">
        <v>1634</v>
      </c>
      <c r="G3" s="1046" t="s">
        <v>1635</v>
      </c>
      <c r="H3" s="1046" t="s">
        <v>1634</v>
      </c>
      <c r="I3" s="1046" t="s">
        <v>1635</v>
      </c>
    </row>
    <row r="4" spans="1:9" ht="45">
      <c r="A4" s="1975" t="str">
        <f>项目基本情况!S2</f>
        <v>上海市浦东新区惠南镇惠南颐景园出让国有建设用地使用权及在建建筑物房地产</v>
      </c>
      <c r="B4" s="1046">
        <f>项目基本情况!C17</f>
        <v>31156.999999999996</v>
      </c>
      <c r="C4" s="1046">
        <f>项目基本情况!C18</f>
        <v>64465</v>
      </c>
      <c r="D4" s="1046" t="e">
        <f ca="1">结果表!D118</f>
        <v>#REF!</v>
      </c>
      <c r="E4" s="1046" t="e">
        <f ca="1">结果表!E118</f>
        <v>#REF!</v>
      </c>
      <c r="F4" s="1046" t="e">
        <f ca="1">结果表!F118</f>
        <v>#REF!</v>
      </c>
      <c r="G4" s="1046" t="e">
        <f ca="1">结果表!G118</f>
        <v>#REF!</v>
      </c>
      <c r="H4" s="1046">
        <f ca="1">结果表!H118</f>
        <v>1063</v>
      </c>
      <c r="I4" s="1046">
        <f ca="1">结果表!I118</f>
        <v>341</v>
      </c>
    </row>
    <row r="5" spans="1:9" ht="30" customHeight="1">
      <c r="A5" s="2985" t="s">
        <v>1636</v>
      </c>
      <c r="B5" s="2985"/>
      <c r="C5" s="2985"/>
      <c r="D5" s="2986" t="e">
        <f ca="1">结果表!D119</f>
        <v>#REF!</v>
      </c>
      <c r="E5" s="2986"/>
      <c r="F5" s="2986" t="e">
        <f ca="1">结果表!F119</f>
        <v>#REF!</v>
      </c>
      <c r="G5" s="2986"/>
      <c r="H5" s="2986" t="str">
        <f ca="1">结果表!H119</f>
        <v>壹仟零陆拾叁万元整</v>
      </c>
      <c r="I5" s="2986"/>
    </row>
    <row r="6" spans="1:9" ht="15.75">
      <c r="A6" s="2987" t="str">
        <f>结果表!A120</f>
        <v>估价师知悉的法定优先受偿款</v>
      </c>
      <c r="B6" s="2987"/>
      <c r="C6" s="2987"/>
      <c r="D6" s="2987">
        <f>结果表!D120</f>
        <v>0</v>
      </c>
      <c r="E6" s="2987"/>
      <c r="F6" s="2987"/>
      <c r="G6" s="2987"/>
      <c r="H6" s="2987"/>
      <c r="I6" s="2987"/>
    </row>
    <row r="7" spans="1:9" ht="15">
      <c r="A7" s="2985" t="s">
        <v>1636</v>
      </c>
      <c r="B7" s="2985"/>
      <c r="C7" s="2985"/>
      <c r="D7" s="2988" t="str">
        <f>结果表!D121</f>
        <v>零元整</v>
      </c>
      <c r="E7" s="2989"/>
      <c r="F7" s="2989"/>
      <c r="G7" s="2989"/>
      <c r="H7" s="2989"/>
      <c r="I7" s="2990"/>
    </row>
    <row r="8" spans="1:9" ht="15.75">
      <c r="A8" s="2987" t="str">
        <f>结果表!A122</f>
        <v>房地产抵押价值</v>
      </c>
      <c r="B8" s="2987"/>
      <c r="C8" s="2987"/>
      <c r="D8" s="2987">
        <f ca="1">结果表!D122</f>
        <v>1063</v>
      </c>
      <c r="E8" s="2987"/>
      <c r="F8" s="2987"/>
      <c r="G8" s="2987"/>
      <c r="H8" s="2987"/>
      <c r="I8" s="2987"/>
    </row>
    <row r="9" spans="1:9" ht="15">
      <c r="A9" s="2985" t="s">
        <v>1636</v>
      </c>
      <c r="B9" s="2985"/>
      <c r="C9" s="2985"/>
      <c r="D9" s="2986" t="str">
        <f ca="1">结果表!D123</f>
        <v>壹仟零陆拾叁万元整</v>
      </c>
      <c r="E9" s="2986"/>
      <c r="F9" s="2986"/>
      <c r="G9" s="2986"/>
      <c r="H9" s="2986"/>
      <c r="I9" s="2986"/>
    </row>
    <row r="10" spans="1:9" ht="15.75">
      <c r="A10" s="2987" t="str">
        <f>结果表!A124</f>
        <v/>
      </c>
      <c r="B10" s="2987"/>
      <c r="C10" s="2987"/>
      <c r="D10" s="2987" t="str">
        <f>结果表!D124</f>
        <v>——</v>
      </c>
      <c r="E10" s="2987"/>
      <c r="F10" s="2987"/>
      <c r="G10" s="2987"/>
      <c r="H10" s="2987"/>
      <c r="I10" s="2987"/>
    </row>
    <row r="11" spans="1:9" ht="15">
      <c r="A11" s="2985" t="s">
        <v>1636</v>
      </c>
      <c r="B11" s="2985"/>
      <c r="C11" s="2985"/>
      <c r="D11" s="2986" t="e">
        <f>结果表!D125</f>
        <v>#VALUE!</v>
      </c>
      <c r="E11" s="2986"/>
      <c r="F11" s="2986"/>
      <c r="G11" s="2986"/>
      <c r="H11" s="2986"/>
      <c r="I11" s="2986"/>
    </row>
    <row r="12" spans="1:9" ht="15.75">
      <c r="A12" s="2987" t="str">
        <f>结果表!A126</f>
        <v/>
      </c>
      <c r="B12" s="2987"/>
      <c r="C12" s="2987"/>
      <c r="D12" s="2987" t="str">
        <f>结果表!D126</f>
        <v>——</v>
      </c>
      <c r="E12" s="2987"/>
      <c r="F12" s="2987"/>
      <c r="G12" s="2987"/>
      <c r="H12" s="2987"/>
      <c r="I12" s="2987"/>
    </row>
    <row r="13" spans="1:9" ht="15.75" thickBot="1">
      <c r="A13" s="2991" t="s">
        <v>1636</v>
      </c>
      <c r="B13" s="2991"/>
      <c r="C13" s="2991"/>
      <c r="D13" s="2992" t="e">
        <f>结果表!D127</f>
        <v>#VALUE!</v>
      </c>
      <c r="E13" s="2992"/>
      <c r="F13" s="2992"/>
      <c r="G13" s="2992"/>
      <c r="H13" s="2992"/>
      <c r="I13" s="2992"/>
    </row>
    <row r="14" spans="1:9" ht="15" thickTop="1">
      <c r="A14" s="2993" t="s">
        <v>1641</v>
      </c>
      <c r="B14" s="2993"/>
      <c r="C14" s="2993"/>
      <c r="D14" s="2993"/>
      <c r="E14" s="2993"/>
      <c r="F14" s="2993"/>
      <c r="G14" s="2993"/>
      <c r="H14" s="2993"/>
      <c r="I14" s="2993"/>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94" t="s">
        <v>1658</v>
      </c>
      <c r="B1" s="2994"/>
      <c r="C1" s="2994"/>
      <c r="D1" s="2994"/>
    </row>
    <row r="2" spans="1:4" ht="18">
      <c r="A2" s="2995" t="s">
        <v>1642</v>
      </c>
      <c r="B2" s="2995"/>
      <c r="C2" s="2995"/>
      <c r="D2" s="2995"/>
    </row>
    <row r="3" spans="1:4" ht="18.75">
      <c r="A3" s="1979" t="s">
        <v>1643</v>
      </c>
      <c r="B3" s="1979" t="s">
        <v>1644</v>
      </c>
      <c r="C3" s="1979" t="s">
        <v>1645</v>
      </c>
      <c r="D3" s="1979" t="s">
        <v>1646</v>
      </c>
    </row>
    <row r="4" spans="1:4" ht="56.25" customHeight="1">
      <c r="A4" s="1980">
        <f>项目基本情况!B4</f>
        <v>0</v>
      </c>
      <c r="B4" s="1981">
        <f>项目基本情况!C4</f>
        <v>0</v>
      </c>
      <c r="C4" s="1982"/>
      <c r="D4" s="1983" t="s">
        <v>1647</v>
      </c>
    </row>
    <row r="5" spans="1:4" ht="56.25" customHeight="1">
      <c r="A5" s="1980">
        <f>项目基本情况!D4</f>
        <v>0</v>
      </c>
      <c r="B5" s="1981">
        <f>项目基本情况!E4</f>
        <v>0</v>
      </c>
      <c r="C5" s="1984"/>
      <c r="D5" s="1983" t="s">
        <v>1647</v>
      </c>
    </row>
    <row r="6" spans="1:4" ht="18">
      <c r="A6" s="2995" t="s">
        <v>1648</v>
      </c>
      <c r="B6" s="2995"/>
      <c r="C6" s="2995"/>
      <c r="D6" s="2995"/>
    </row>
    <row r="7" spans="1:4" ht="18.75">
      <c r="A7" s="1979" t="s">
        <v>1643</v>
      </c>
      <c r="B7" s="1981" t="s">
        <v>1649</v>
      </c>
      <c r="C7" s="1979" t="s">
        <v>1645</v>
      </c>
      <c r="D7" s="1979" t="s">
        <v>1646</v>
      </c>
    </row>
    <row r="8" spans="1:4" ht="56.25" customHeight="1">
      <c r="A8" s="1985" t="s">
        <v>866</v>
      </c>
      <c r="B8" s="1985" t="s">
        <v>1</v>
      </c>
      <c r="C8" s="1982"/>
      <c r="D8" s="1983" t="s">
        <v>1647</v>
      </c>
    </row>
    <row r="9" spans="1:4">
      <c r="A9" s="727"/>
      <c r="B9" s="727"/>
      <c r="C9" s="727"/>
      <c r="D9" s="727"/>
    </row>
    <row r="10" spans="1:4" ht="18.75">
      <c r="A10" s="1986" t="s">
        <v>1650</v>
      </c>
      <c r="B10" s="727"/>
      <c r="C10" s="727"/>
      <c r="D10" s="727"/>
    </row>
    <row r="11" spans="1:4" ht="30" customHeight="1">
      <c r="A11" s="2996" t="s">
        <v>1651</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7" t="str">
        <f>IF(项目基本情况!B8="抵押","4.本次评估估价师所知悉的法定优先受偿款情况说明如下：","——")</f>
        <v>4.本次评估估价师所知悉的法定优先受偿款情况说明如下：</v>
      </c>
      <c r="B14" s="2998"/>
      <c r="C14" s="2998"/>
      <c r="D14" s="2998"/>
    </row>
    <row r="15" spans="1:4" ht="42" customHeight="1">
      <c r="A15" s="2997" t="str">
        <f>IF(项目基本情况!B8="抵押","（1）"&amp;CONCATENATE(项目基本情况!L20,项目基本情况!L21,项目基本情况!L22),"——")</f>
        <v>（1）根据估价对象《不动产权证书》复印件、，截至价值时点，估价对象抵押权未见登记。</v>
      </c>
      <c r="B15" s="2997"/>
      <c r="C15" s="2997"/>
      <c r="D15" s="2997"/>
    </row>
    <row r="16" spans="1:4" ht="30" customHeight="1">
      <c r="A16" s="3000" t="s">
        <v>1652</v>
      </c>
      <c r="B16" s="3000"/>
      <c r="C16" s="3000"/>
      <c r="D16" s="3000"/>
    </row>
    <row r="17" spans="1:4" ht="144" customHeight="1">
      <c r="A17" s="3000" t="s">
        <v>1653</v>
      </c>
      <c r="B17" s="3000"/>
      <c r="C17" s="3000"/>
      <c r="D17" s="3000"/>
    </row>
    <row r="18" spans="1:4" ht="15.75" customHeight="1">
      <c r="A18" s="2997" t="str">
        <f>IF(项目基本情况!B8="抵押",结果表!K120,"——")</f>
        <v>故，本次评估不存在估价师知悉的法定优先受偿款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7"/>
      <c r="C20" s="2997"/>
      <c r="D20" s="2997"/>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1"/>
      <c r="C21" s="3001"/>
      <c r="D21" s="3001"/>
    </row>
    <row r="22" spans="1:4" ht="18.75" customHeight="1">
      <c r="A22" s="3002" t="s">
        <v>1654</v>
      </c>
      <c r="B22" s="3002"/>
      <c r="C22" s="3002"/>
      <c r="D22" s="3002"/>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99">
        <v>42551</v>
      </c>
      <c r="D31" s="29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08" t="s">
        <v>1665</v>
      </c>
      <c r="B15" s="3003" t="s">
        <v>136</v>
      </c>
      <c r="C15" s="3004"/>
    </row>
    <row r="16" spans="1:7" ht="13.5">
      <c r="A16" s="3009"/>
      <c r="B16" s="3003" t="s">
        <v>69</v>
      </c>
      <c r="C16" s="3004"/>
    </row>
    <row r="17" spans="1:3" ht="13.5">
      <c r="A17" s="3009"/>
      <c r="B17" s="3006" t="s">
        <v>1666</v>
      </c>
      <c r="C17" s="2002" t="s">
        <v>1665</v>
      </c>
    </row>
    <row r="18" spans="1:3" ht="13.5">
      <c r="A18" s="3009"/>
      <c r="B18" s="3006"/>
      <c r="C18" s="2002" t="s">
        <v>1667</v>
      </c>
    </row>
    <row r="19" spans="1:3" ht="13.5">
      <c r="A19" s="3009"/>
      <c r="B19" s="3006"/>
      <c r="C19" s="2002" t="s">
        <v>1668</v>
      </c>
    </row>
    <row r="20" spans="1:3" ht="13.5">
      <c r="A20" s="3010"/>
      <c r="B20" s="3005" t="s">
        <v>1669</v>
      </c>
      <c r="C20" s="3004"/>
    </row>
    <row r="21" spans="1:3" ht="13.5">
      <c r="A21" s="2003" t="s">
        <v>1670</v>
      </c>
      <c r="B21" s="2004"/>
      <c r="C21" s="2005"/>
    </row>
    <row r="22" spans="1:3" ht="13.5">
      <c r="A22" s="3007" t="s">
        <v>1671</v>
      </c>
      <c r="B22" s="3005" t="s">
        <v>1672</v>
      </c>
      <c r="C22" s="3004"/>
    </row>
    <row r="23" spans="1:3" ht="13.5">
      <c r="A23" s="3007"/>
      <c r="B23" s="3005" t="s">
        <v>1673</v>
      </c>
      <c r="C23" s="3004"/>
    </row>
    <row r="24" spans="1:3" ht="13.5">
      <c r="A24" s="3007"/>
      <c r="B24" s="3005" t="s">
        <v>1674</v>
      </c>
      <c r="C24" s="3004"/>
    </row>
    <row r="25" spans="1:3" ht="13.5">
      <c r="A25" s="3007"/>
      <c r="B25" s="3006" t="s">
        <v>1675</v>
      </c>
      <c r="C25" s="2002" t="s">
        <v>1676</v>
      </c>
    </row>
    <row r="26" spans="1:3" ht="13.5">
      <c r="A26" s="3007"/>
      <c r="B26" s="3006"/>
      <c r="C26" s="2002" t="s">
        <v>1677</v>
      </c>
    </row>
    <row r="27" spans="1:3" ht="13.5">
      <c r="A27" s="3007"/>
      <c r="B27" s="3006"/>
      <c r="C27" s="2002" t="s">
        <v>1678</v>
      </c>
    </row>
    <row r="28" spans="1:3" ht="13.5">
      <c r="A28" s="3007"/>
      <c r="B28" s="3006"/>
      <c r="C28" s="2002" t="s">
        <v>1679</v>
      </c>
    </row>
    <row r="29" spans="1:3" ht="13.5">
      <c r="A29" s="3007"/>
      <c r="B29" s="3006"/>
      <c r="C29" s="2002" t="s">
        <v>1680</v>
      </c>
    </row>
    <row r="30" spans="1:3" ht="13.5">
      <c r="A30" s="3007"/>
      <c r="B30" s="3006"/>
      <c r="C30" s="2002" t="s">
        <v>1681</v>
      </c>
    </row>
    <row r="31" spans="1:3" ht="13.5">
      <c r="A31" s="3007"/>
      <c r="B31" s="3006"/>
      <c r="C31" s="2002" t="s">
        <v>1682</v>
      </c>
    </row>
    <row r="32" spans="1:3" ht="13.5">
      <c r="A32" s="3007"/>
      <c r="B32" s="3006"/>
      <c r="C32" s="2002" t="s">
        <v>1683</v>
      </c>
    </row>
    <row r="33" spans="1:3" ht="13.5">
      <c r="A33" s="3007"/>
      <c r="B33" s="3006"/>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7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43454</v>
      </c>
      <c r="C2" s="1021" t="s">
        <v>826</v>
      </c>
      <c r="D2" s="1021"/>
    </row>
    <row r="3" spans="1:6" ht="24" customHeight="1">
      <c r="A3" s="1022" t="s">
        <v>827</v>
      </c>
      <c r="B3" s="1023" t="s">
        <v>828</v>
      </c>
      <c r="C3" s="2345" t="s">
        <v>829</v>
      </c>
      <c r="D3" s="2348" t="s">
        <v>830</v>
      </c>
      <c r="E3" s="1024" t="s">
        <v>831</v>
      </c>
      <c r="F3" s="1023" t="s">
        <v>829</v>
      </c>
    </row>
    <row r="4" spans="1:6" ht="24" customHeight="1">
      <c r="A4" s="1704" t="s">
        <v>832</v>
      </c>
      <c r="B4" s="1024">
        <f ca="1">IF(C4&lt;B2,"已过期",1119970066)</f>
        <v>1119970066</v>
      </c>
      <c r="C4" s="2346">
        <v>43849</v>
      </c>
      <c r="D4" s="2349" t="s">
        <v>832</v>
      </c>
      <c r="E4" s="1024">
        <f ca="1">IF(F4&lt;B2,"已过期",96010014)</f>
        <v>96010014</v>
      </c>
      <c r="F4" s="1032">
        <v>47118</v>
      </c>
    </row>
    <row r="5" spans="1:6" ht="24" customHeight="1">
      <c r="A5" s="1704" t="s">
        <v>833</v>
      </c>
      <c r="B5" s="1024">
        <f ca="1">IF(C5&lt;B2,"已过期",1119970074)</f>
        <v>1119970074</v>
      </c>
      <c r="C5" s="2346">
        <v>43849</v>
      </c>
      <c r="D5" s="2349" t="s">
        <v>833</v>
      </c>
      <c r="E5" s="1024">
        <f ca="1">IF(F5&lt;B2,"已过期",2002110027)</f>
        <v>2002110027</v>
      </c>
      <c r="F5" s="1032">
        <v>46752</v>
      </c>
    </row>
    <row r="6" spans="1:6" ht="24" customHeight="1">
      <c r="A6" s="1704" t="s">
        <v>834</v>
      </c>
      <c r="B6" s="1024">
        <f ca="1">IF(C6&lt;B2,"已过期",1119970111)</f>
        <v>1119970111</v>
      </c>
      <c r="C6" s="2346">
        <v>43849</v>
      </c>
      <c r="D6" s="2349" t="s">
        <v>834</v>
      </c>
      <c r="E6" s="1024">
        <f ca="1">IF(F6&lt;B2,"已过期",94010078)</f>
        <v>94010078</v>
      </c>
      <c r="F6" s="1032">
        <v>46387</v>
      </c>
    </row>
    <row r="7" spans="1:6" ht="24" customHeight="1">
      <c r="A7" s="1704" t="s">
        <v>835</v>
      </c>
      <c r="B7" s="1024">
        <f ca="1">IF(C7&lt;B2,"已过期",1120050019)</f>
        <v>1120050019</v>
      </c>
      <c r="C7" s="2346">
        <v>44395</v>
      </c>
      <c r="D7" s="2349" t="s">
        <v>835</v>
      </c>
      <c r="E7" s="1024">
        <f ca="1">IF(F7&lt;B2,"已过期",2002110030)</f>
        <v>2002110030</v>
      </c>
      <c r="F7" s="1032">
        <v>46387</v>
      </c>
    </row>
    <row r="8" spans="1:6" ht="24" customHeight="1">
      <c r="A8" s="1704" t="s">
        <v>836</v>
      </c>
      <c r="B8" s="1024">
        <f ca="1">IF(C8&lt;B2,"已过期",1120000080)</f>
        <v>1120000080</v>
      </c>
      <c r="C8" s="2346">
        <v>43849</v>
      </c>
      <c r="D8" s="2349" t="s">
        <v>836</v>
      </c>
      <c r="E8" s="1024">
        <f ca="1">IF(F8&lt;B2,"已过期",2000110082)</f>
        <v>2000110082</v>
      </c>
      <c r="F8" s="1032">
        <v>46387</v>
      </c>
    </row>
    <row r="9" spans="1:6" ht="24" customHeight="1">
      <c r="A9" s="1704" t="s">
        <v>837</v>
      </c>
      <c r="B9" s="1024">
        <f ca="1">IF(C9&lt;B2,"已过期",1419970001)</f>
        <v>1419970001</v>
      </c>
      <c r="C9" s="2346">
        <v>43867</v>
      </c>
      <c r="D9" s="2349" t="s">
        <v>837</v>
      </c>
      <c r="E9" s="1024">
        <f ca="1">IF(F9&lt;B2,"已过期",2002110125)</f>
        <v>2002110125</v>
      </c>
      <c r="F9" s="1032">
        <v>47118</v>
      </c>
    </row>
    <row r="10" spans="1:6" ht="24" customHeight="1">
      <c r="A10" s="1704" t="s">
        <v>838</v>
      </c>
      <c r="B10" s="1024">
        <f ca="1">IF(C10&lt;B2,"已过期",1120060040)</f>
        <v>1120060040</v>
      </c>
      <c r="C10" s="2346">
        <v>43483</v>
      </c>
      <c r="D10" s="2349" t="s">
        <v>838</v>
      </c>
      <c r="E10" s="1024">
        <f ca="1">IF(F10&lt;B2,"已过期",2004110096)</f>
        <v>2004110096</v>
      </c>
      <c r="F10" s="1032">
        <v>47118</v>
      </c>
    </row>
    <row r="11" spans="1:6" ht="24" customHeight="1">
      <c r="A11" s="1704" t="s">
        <v>839</v>
      </c>
      <c r="B11" s="1024">
        <f ca="1">IF(C11&lt;B2,"已过期",1120100036)</f>
        <v>1120100036</v>
      </c>
      <c r="C11" s="2346">
        <v>43622</v>
      </c>
      <c r="D11" s="2349" t="s">
        <v>839</v>
      </c>
      <c r="E11" s="1024">
        <f ca="1">IF(F11&lt;B2,"已过期",2010110070)</f>
        <v>2010110070</v>
      </c>
      <c r="F11" s="1032">
        <v>47907</v>
      </c>
    </row>
    <row r="12" spans="1:6" ht="24" customHeight="1">
      <c r="A12" s="1704"/>
      <c r="B12" s="1024"/>
      <c r="C12" s="2941"/>
      <c r="D12" s="1704"/>
      <c r="E12" s="1024"/>
      <c r="F12" s="1032"/>
    </row>
    <row r="13" spans="1:6" ht="24" customHeight="1">
      <c r="A13" s="1704" t="s">
        <v>840</v>
      </c>
      <c r="B13" s="1024">
        <f ca="1">IF(C13&lt;B2,"已过期",1120070131)</f>
        <v>1120070131</v>
      </c>
      <c r="C13" s="2346">
        <v>43814</v>
      </c>
      <c r="D13" s="2349" t="s">
        <v>840</v>
      </c>
      <c r="E13" s="1024">
        <f ca="1">IF(F13&lt;B2,"已过期",2014110011)</f>
        <v>2014110011</v>
      </c>
      <c r="F13" s="1032">
        <v>49302</v>
      </c>
    </row>
    <row r="14" spans="1:6" ht="24" customHeight="1">
      <c r="A14" s="1704" t="s">
        <v>3040</v>
      </c>
      <c r="B14" s="1024">
        <f ca="1">IF(C14&lt;B2,"已过期",1120040230)</f>
        <v>1120040230</v>
      </c>
      <c r="C14" s="2346">
        <v>43835</v>
      </c>
      <c r="D14" s="2349" t="s">
        <v>3040</v>
      </c>
      <c r="E14" s="1024">
        <f ca="1">IF(F14&lt;B2,"已过期",98030020)</f>
        <v>98030020</v>
      </c>
      <c r="F14" s="1032">
        <v>47118</v>
      </c>
    </row>
    <row r="15" spans="1:6" ht="24" customHeight="1">
      <c r="A15" s="1705" t="s">
        <v>3041</v>
      </c>
      <c r="B15" s="1024">
        <f ca="1">IF(C15&lt;B2,"已过期",1120070085)</f>
        <v>1120070085</v>
      </c>
      <c r="C15" s="2346">
        <v>43814</v>
      </c>
      <c r="D15" s="2350" t="s">
        <v>3041</v>
      </c>
      <c r="E15" s="1024">
        <f ca="1">IF(F15&lt;B2,"已过期",2004110128)</f>
        <v>2004110128</v>
      </c>
      <c r="F15" s="1025">
        <v>47118</v>
      </c>
    </row>
    <row r="16" spans="1:6" ht="24" customHeight="1">
      <c r="A16" s="1704" t="s">
        <v>3042</v>
      </c>
      <c r="B16" s="1024">
        <f ca="1">IF(C16&lt;B2,"已过期",1120140022)</f>
        <v>1120140022</v>
      </c>
      <c r="C16" s="2941">
        <v>44029</v>
      </c>
      <c r="D16" s="2349" t="s">
        <v>3042</v>
      </c>
      <c r="E16" s="1024">
        <f ca="1">IF(F16&lt;B2,"已过期",2008110059)</f>
        <v>2008110059</v>
      </c>
      <c r="F16" s="1032">
        <v>47177</v>
      </c>
    </row>
    <row r="17" spans="1:7" ht="24" customHeight="1">
      <c r="A17" s="1704"/>
      <c r="B17" s="1024"/>
      <c r="C17" s="2346"/>
      <c r="D17" s="2349" t="s">
        <v>3043</v>
      </c>
      <c r="E17" s="1024">
        <f ca="1">IF(F17&lt;B2,"已过期",2014110076)</f>
        <v>2014110076</v>
      </c>
      <c r="F17" s="1032">
        <v>49302</v>
      </c>
    </row>
    <row r="18" spans="1:7" ht="24" customHeight="1">
      <c r="A18" s="1704"/>
      <c r="B18" s="1024"/>
      <c r="C18" s="2346"/>
      <c r="D18" s="2349"/>
      <c r="E18" s="1024"/>
      <c r="F18" s="1032"/>
    </row>
    <row r="19" spans="1:7" ht="24" customHeight="1">
      <c r="A19" s="1704"/>
      <c r="B19" s="1024"/>
      <c r="C19" s="2346"/>
      <c r="D19" s="2349"/>
      <c r="E19" s="1024"/>
      <c r="F19" s="1024"/>
    </row>
    <row r="20" spans="1:7" ht="24" customHeight="1">
      <c r="A20" s="1704"/>
      <c r="B20" s="1024"/>
      <c r="C20" s="2346"/>
      <c r="D20" s="2349"/>
      <c r="E20" s="1024"/>
      <c r="F20" s="1024"/>
    </row>
    <row r="21" spans="1:7" ht="24" customHeight="1">
      <c r="A21" s="1704"/>
      <c r="B21" s="1024"/>
      <c r="C21" s="2346"/>
      <c r="D21" s="2349" t="s">
        <v>841</v>
      </c>
      <c r="E21" s="1024">
        <f ca="1">IF(F21&lt;B2,"已过期",2011110090)</f>
        <v>2011110090</v>
      </c>
      <c r="F21" s="1032">
        <v>48302</v>
      </c>
    </row>
    <row r="22" spans="1:7" ht="24" customHeight="1">
      <c r="A22" s="1704" t="s">
        <v>842</v>
      </c>
      <c r="B22" s="1024">
        <f ca="1">IF(C22&lt;B2,"已过期",1120020033)</f>
        <v>1120020033</v>
      </c>
      <c r="C22" s="2941">
        <v>44339</v>
      </c>
      <c r="D22" s="2349" t="s">
        <v>842</v>
      </c>
      <c r="E22" s="1024">
        <f ca="1">IF(F22&lt;B2,"已过期",2000110137)</f>
        <v>2000110137</v>
      </c>
      <c r="F22" s="1032">
        <v>46387</v>
      </c>
    </row>
    <row r="23" spans="1:7" ht="24" customHeight="1">
      <c r="A23" s="1704"/>
      <c r="B23" s="1024"/>
      <c r="C23" s="2346"/>
      <c r="D23" s="2349"/>
      <c r="E23" s="1024"/>
      <c r="F23" s="1024"/>
    </row>
    <row r="24" spans="1:7" s="1026" customFormat="1" ht="24" customHeight="1">
      <c r="A24" s="1705" t="s">
        <v>1329</v>
      </c>
      <c r="B24" s="1705" t="s">
        <v>1329</v>
      </c>
      <c r="C24" s="2347" t="s">
        <v>1329</v>
      </c>
      <c r="D24" s="2350" t="s">
        <v>1329</v>
      </c>
      <c r="E24" s="1705" t="s">
        <v>1329</v>
      </c>
      <c r="F24" s="1705" t="s">
        <v>1329</v>
      </c>
    </row>
    <row r="25" spans="1:7" ht="24" customHeight="1">
      <c r="A25" s="3011" t="s">
        <v>843</v>
      </c>
      <c r="B25" s="3011"/>
      <c r="C25" s="3011"/>
      <c r="D25" s="3011"/>
      <c r="E25" s="3011"/>
      <c r="F25" s="3011"/>
      <c r="G25" s="3011"/>
    </row>
    <row r="26" spans="1:7" s="1027" customFormat="1" ht="24" customHeight="1">
      <c r="A26" s="3012" t="s">
        <v>844</v>
      </c>
      <c r="B26" s="3012"/>
      <c r="C26" s="3013"/>
      <c r="D26" s="3014" t="s">
        <v>845</v>
      </c>
      <c r="E26" s="3012"/>
      <c r="F26" s="3012"/>
    </row>
    <row r="27" spans="1:7" s="1029" customFormat="1" ht="24" customHeight="1">
      <c r="A27" s="1028" t="s">
        <v>846</v>
      </c>
      <c r="B27" s="1023" t="s">
        <v>847</v>
      </c>
      <c r="C27" s="2345" t="s">
        <v>848</v>
      </c>
      <c r="D27" s="2353" t="s">
        <v>846</v>
      </c>
      <c r="E27" s="1023" t="s">
        <v>847</v>
      </c>
      <c r="F27" s="1023" t="s">
        <v>848</v>
      </c>
    </row>
    <row r="28" spans="1:7" s="1029" customFormat="1" ht="24" customHeight="1">
      <c r="A28" s="1030" t="s">
        <v>849</v>
      </c>
      <c r="B28" s="1031" t="s">
        <v>850</v>
      </c>
      <c r="C28" s="2351">
        <v>43725</v>
      </c>
      <c r="D28" s="2354" t="s">
        <v>851</v>
      </c>
      <c r="E28" s="1030" t="s">
        <v>852</v>
      </c>
      <c r="F28" s="1060">
        <v>44377</v>
      </c>
    </row>
    <row r="29" spans="1:7" s="1029" customFormat="1" ht="24" customHeight="1">
      <c r="A29" s="1030"/>
      <c r="B29" s="1030"/>
      <c r="C29" s="2352"/>
      <c r="D29" s="2354"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2017-03-01T09:15:43Z</cp:lastPrinted>
  <dcterms:created xsi:type="dcterms:W3CDTF">2015-07-13T07:17:23Z</dcterms:created>
  <dcterms:modified xsi:type="dcterms:W3CDTF">2018-12-20T06:31:44Z</dcterms:modified>
</cp:coreProperties>
</file>