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38">典型户型修正!$A$1:$T$43</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E47" i="33" l="1"/>
  <c r="I47" i="33"/>
  <c r="D14" i="9" l="1"/>
  <c r="J6" i="77"/>
  <c r="K6" i="77"/>
  <c r="A3" i="3"/>
  <c r="L6" i="77"/>
  <c r="L5" i="77"/>
  <c r="L4" i="77"/>
  <c r="L3" i="77"/>
  <c r="F33" i="33"/>
  <c r="AA33" i="33"/>
  <c r="D101" i="33"/>
  <c r="E101" i="33"/>
  <c r="F32" i="33"/>
  <c r="AA32" i="33"/>
  <c r="F28" i="33"/>
  <c r="AA28" i="33"/>
  <c r="F15" i="33"/>
  <c r="AA15" i="33"/>
  <c r="F17" i="33"/>
  <c r="AA17" i="33"/>
  <c r="F19" i="33"/>
  <c r="AA19" i="33"/>
  <c r="F21" i="33"/>
  <c r="AA21" i="33"/>
  <c r="F23" i="33"/>
  <c r="AA23" i="33"/>
  <c r="F25" i="33"/>
  <c r="AA25" i="33"/>
  <c r="H33" i="33"/>
  <c r="AB33" i="33"/>
  <c r="H32" i="33"/>
  <c r="AB32" i="33"/>
  <c r="T47" i="33"/>
  <c r="T48" i="33" s="1"/>
  <c r="G48" i="33" s="1"/>
  <c r="H28" i="33"/>
  <c r="AB28" i="33"/>
  <c r="H15" i="33"/>
  <c r="AB15" i="33"/>
  <c r="H17" i="33"/>
  <c r="AB17" i="33"/>
  <c r="H19" i="33"/>
  <c r="AB19" i="33"/>
  <c r="H21" i="33"/>
  <c r="AB21" i="33"/>
  <c r="H23" i="33"/>
  <c r="AB23" i="33"/>
  <c r="H25" i="33"/>
  <c r="AB25" i="33"/>
  <c r="J33" i="33"/>
  <c r="AC33" i="33"/>
  <c r="J32" i="33"/>
  <c r="AC32" i="33"/>
  <c r="J28" i="33"/>
  <c r="AC28" i="33"/>
  <c r="J15" i="33"/>
  <c r="AC15" i="33"/>
  <c r="J17" i="33"/>
  <c r="AC17" i="33"/>
  <c r="J19" i="33"/>
  <c r="AC19" i="33"/>
  <c r="J21" i="33"/>
  <c r="AC21" i="33"/>
  <c r="J23" i="33"/>
  <c r="AC23" i="33"/>
  <c r="J25" i="33"/>
  <c r="AC25" i="33"/>
  <c r="AY6" i="3"/>
  <c r="D3" i="6"/>
  <c r="D19" i="6"/>
  <c r="H19" i="6"/>
  <c r="R19" i="6"/>
  <c r="R6" i="1"/>
  <c r="C17" i="9"/>
  <c r="D17" i="9"/>
  <c r="C18" i="9"/>
  <c r="D18" i="9"/>
  <c r="Q25" i="31"/>
  <c r="C25" i="31"/>
  <c r="Q26" i="31"/>
  <c r="C26" i="31"/>
  <c r="Q27" i="31"/>
  <c r="C27" i="31"/>
  <c r="Q28" i="31"/>
  <c r="C28" i="31"/>
  <c r="Q29" i="31"/>
  <c r="C29" i="31"/>
  <c r="Q30" i="31"/>
  <c r="C30" i="31"/>
  <c r="Q31" i="31"/>
  <c r="C31" i="31"/>
  <c r="Q32" i="31"/>
  <c r="C32" i="31"/>
  <c r="Q33" i="31"/>
  <c r="C33" i="31"/>
  <c r="Q34" i="31"/>
  <c r="C34" i="31"/>
  <c r="Q35" i="31"/>
  <c r="C35" i="31"/>
  <c r="Q36" i="31"/>
  <c r="C36" i="31"/>
  <c r="Q37" i="31"/>
  <c r="C37" i="31"/>
  <c r="Q38" i="31"/>
  <c r="C38" i="31"/>
  <c r="Q39" i="31"/>
  <c r="C39" i="31"/>
  <c r="Q40" i="31"/>
  <c r="C40" i="31"/>
  <c r="Q41" i="31"/>
  <c r="C41" i="3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c r="R128" i="31"/>
  <c r="S128" i="31"/>
  <c r="R129" i="31"/>
  <c r="S129" i="31"/>
  <c r="R130" i="31"/>
  <c r="S130" i="31"/>
  <c r="R131" i="31"/>
  <c r="S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3" i="33"/>
  <c r="B37" i="31"/>
  <c r="B38" i="31"/>
  <c r="B39" i="31"/>
  <c r="B40" i="31"/>
  <c r="B41" i="31"/>
  <c r="B36" i="31"/>
  <c r="A37" i="31"/>
  <c r="A38" i="31"/>
  <c r="A39" i="31"/>
  <c r="A40" i="31"/>
  <c r="A41" i="31"/>
  <c r="A36" i="31"/>
  <c r="B31" i="31"/>
  <c r="B32" i="31"/>
  <c r="B33" i="31"/>
  <c r="B34" i="31"/>
  <c r="B35" i="31"/>
  <c r="B30" i="31"/>
  <c r="A31" i="31"/>
  <c r="A32" i="31"/>
  <c r="A33" i="31"/>
  <c r="A34" i="31"/>
  <c r="A35" i="31"/>
  <c r="A30" i="31"/>
  <c r="B26" i="31"/>
  <c r="B27" i="31"/>
  <c r="B28" i="31"/>
  <c r="B29" i="31"/>
  <c r="B25" i="31"/>
  <c r="B24" i="31"/>
  <c r="A26" i="31"/>
  <c r="A27" i="31"/>
  <c r="A28" i="31"/>
  <c r="A29" i="31"/>
  <c r="A25" i="31"/>
  <c r="A24" i="31"/>
  <c r="Y6" i="1"/>
  <c r="F21" i="6"/>
  <c r="F20" i="6"/>
  <c r="F19" i="6"/>
  <c r="K13" i="3"/>
  <c r="I13" i="3"/>
  <c r="F3" i="77"/>
  <c r="F4" i="77"/>
  <c r="F5" i="77"/>
  <c r="F6" i="77"/>
  <c r="F7" i="77"/>
  <c r="F8" i="77"/>
  <c r="F10" i="77"/>
  <c r="F11" i="77"/>
  <c r="F12" i="77"/>
  <c r="F13" i="77"/>
  <c r="F14" i="77"/>
  <c r="F15" i="77"/>
  <c r="F17" i="77"/>
  <c r="F18" i="77"/>
  <c r="F19" i="77"/>
  <c r="F20" i="77"/>
  <c r="F21" i="77"/>
  <c r="F22" i="77"/>
  <c r="F24" i="77"/>
  <c r="E9" i="77"/>
  <c r="E16" i="77"/>
  <c r="E23" i="77"/>
  <c r="E24" i="77"/>
  <c r="D24" i="77"/>
  <c r="G22" i="77"/>
  <c r="G21" i="77"/>
  <c r="G20" i="77"/>
  <c r="G19" i="77"/>
  <c r="G18" i="77"/>
  <c r="G17" i="77"/>
  <c r="G15" i="77"/>
  <c r="G14" i="77"/>
  <c r="G13" i="77"/>
  <c r="G12" i="77"/>
  <c r="G11" i="77"/>
  <c r="G10" i="77"/>
  <c r="G8" i="77"/>
  <c r="G7" i="77"/>
  <c r="G6" i="77"/>
  <c r="G5" i="77"/>
  <c r="G4" i="77"/>
  <c r="G3" i="77"/>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C36" i="43"/>
  <c r="G36" i="43"/>
  <c r="C35" i="43"/>
  <c r="G35" i="43"/>
  <c r="C34" i="43"/>
  <c r="G34" i="43"/>
  <c r="J53" i="67"/>
  <c r="M47" i="15"/>
  <c r="J50" i="15"/>
  <c r="J51" i="15"/>
  <c r="I5" i="3"/>
  <c r="K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E26" i="31"/>
  <c r="E27" i="31"/>
  <c r="E28" i="31"/>
  <c r="E29" i="31"/>
  <c r="E30" i="31"/>
  <c r="E31" i="31"/>
  <c r="E32" i="31"/>
  <c r="E33" i="31"/>
  <c r="E34" i="31"/>
  <c r="E35" i="31"/>
  <c r="E36" i="31"/>
  <c r="E37" i="31"/>
  <c r="E38" i="31"/>
  <c r="E39" i="31"/>
  <c r="E40" i="31"/>
  <c r="E41" i="31"/>
  <c r="E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V48" i="33" s="1"/>
  <c r="I48" i="33" s="1"/>
  <c r="I52" i="33" s="1"/>
  <c r="J52" i="33" s="1"/>
  <c r="R47" i="33"/>
  <c r="R48" i="33" s="1"/>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S46" i="33"/>
  <c r="W43" i="33"/>
  <c r="S43" i="33"/>
  <c r="F91" i="33"/>
  <c r="H27" i="33"/>
  <c r="F87" i="33"/>
  <c r="F85" i="33"/>
  <c r="F81"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W32" i="33"/>
  <c r="U27" i="33"/>
  <c r="AB27" i="33"/>
  <c r="G91" i="33"/>
  <c r="H91" i="33"/>
  <c r="I91" i="33"/>
  <c r="J91" i="33"/>
  <c r="K91" i="33"/>
  <c r="L91" i="33"/>
  <c r="M91" i="33"/>
  <c r="J27" i="33"/>
  <c r="U25" i="33"/>
  <c r="S25" i="33"/>
  <c r="G87" i="33"/>
  <c r="H87" i="33"/>
  <c r="I87" i="33"/>
  <c r="J87" i="33"/>
  <c r="K87" i="33"/>
  <c r="L87" i="33"/>
  <c r="M87"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S23" i="33"/>
  <c r="U19" i="33"/>
  <c r="S17" i="33"/>
  <c r="U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AA7" i="33"/>
  <c r="U7" i="33"/>
  <c r="AC7"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K1" i="73"/>
  <c r="F31" i="15"/>
  <c r="F31" i="67"/>
  <c r="E14" i="49"/>
  <c r="B4" i="62"/>
  <c r="B71" i="72"/>
  <c r="M17" i="67"/>
  <c r="F59" i="15"/>
  <c r="F59" i="67"/>
  <c r="M17" i="15"/>
  <c r="C23" i="43"/>
  <c r="C21" i="43"/>
  <c r="C29" i="43"/>
  <c r="E29" i="43"/>
  <c r="C26" i="43"/>
  <c r="B2" i="43"/>
  <c r="C30" i="43"/>
  <c r="E30" i="43"/>
  <c r="C27" i="43"/>
  <c r="B3" i="43"/>
  <c r="F7" i="15"/>
  <c r="F16" i="15"/>
  <c r="F26" i="15"/>
  <c r="M8" i="15"/>
  <c r="E8" i="76"/>
  <c r="B10" i="76"/>
  <c r="D6" i="73"/>
  <c r="AO13" i="1"/>
  <c r="M22" i="15"/>
  <c r="M28" i="15"/>
  <c r="L47" i="67"/>
  <c r="M26" i="15"/>
  <c r="E7" i="76"/>
  <c r="B8" i="76"/>
  <c r="F7" i="73"/>
  <c r="F9" i="15"/>
  <c r="F35" i="15"/>
  <c r="F36" i="15"/>
  <c r="F37" i="15"/>
  <c r="F42" i="15"/>
  <c r="M6" i="15"/>
  <c r="D3" i="73"/>
  <c r="M24" i="67"/>
  <c r="J15" i="67"/>
  <c r="M23" i="67"/>
  <c r="B7" i="76"/>
  <c r="AO10" i="1"/>
  <c r="F8" i="67"/>
  <c r="F43" i="67"/>
  <c r="M22" i="67"/>
  <c r="M8" i="67"/>
  <c r="AO7" i="1"/>
  <c r="D34" i="9"/>
  <c r="D2" i="21"/>
  <c r="AO8" i="1"/>
  <c r="D2" i="33"/>
  <c r="B9" i="76"/>
  <c r="AO12" i="1"/>
  <c r="L48" i="67"/>
  <c r="F9" i="67"/>
  <c r="B11" i="76"/>
  <c r="AO11" i="1"/>
  <c r="M23" i="15"/>
  <c r="M9" i="67"/>
  <c r="C76" i="15"/>
  <c r="M29" i="67"/>
  <c r="F41" i="67"/>
  <c r="E2" i="68"/>
  <c r="E2" i="69"/>
  <c r="M27" i="67"/>
  <c r="D35" i="9"/>
  <c r="B6" i="76"/>
  <c r="F6" i="15"/>
  <c r="C14" i="15"/>
  <c r="F43" i="15"/>
  <c r="F40" i="15"/>
  <c r="M9" i="15"/>
  <c r="E12" i="76"/>
  <c r="F5" i="73"/>
  <c r="D4" i="73"/>
  <c r="C76" i="67"/>
  <c r="F26" i="67"/>
  <c r="L47" i="15"/>
  <c r="F40" i="67"/>
  <c r="M29" i="15"/>
  <c r="E11" i="76"/>
  <c r="B13" i="76"/>
  <c r="F8" i="15"/>
  <c r="F4" i="73"/>
  <c r="D5" i="73"/>
  <c r="F13" i="15"/>
  <c r="F38" i="15"/>
  <c r="L48" i="15"/>
  <c r="B12" i="76"/>
  <c r="AO9" i="1"/>
  <c r="F13" i="67"/>
  <c r="M28" i="67"/>
  <c r="E13" i="76"/>
  <c r="D7" i="73"/>
  <c r="F6" i="67"/>
  <c r="J15" i="15"/>
  <c r="F16" i="67"/>
  <c r="F36" i="67"/>
  <c r="M21" i="67"/>
  <c r="F20" i="31"/>
  <c r="M27" i="15"/>
  <c r="D2" i="34"/>
  <c r="D2" i="35"/>
  <c r="E10" i="76"/>
  <c r="F3" i="73"/>
  <c r="M26" i="67"/>
  <c r="F38" i="67"/>
  <c r="E9" i="76"/>
  <c r="F6" i="73"/>
  <c r="M24" i="15"/>
  <c r="F7" i="67"/>
  <c r="M6" i="67"/>
  <c r="F37" i="67"/>
  <c r="F42" i="67"/>
  <c r="D2" i="36"/>
  <c r="M21" i="15"/>
  <c r="F35" i="67"/>
  <c r="D2" i="37"/>
  <c r="E6" i="76"/>
  <c r="B7" i="49" l="1"/>
  <c r="E7" i="49"/>
  <c r="C34" i="68"/>
  <c r="C38" i="68" s="1"/>
  <c r="E10" i="49"/>
  <c r="B6" i="49"/>
  <c r="B15" i="49"/>
  <c r="C29" i="69"/>
  <c r="D27" i="69" s="1"/>
  <c r="B13" i="49"/>
  <c r="B4" i="49"/>
  <c r="B9" i="49"/>
  <c r="E22" i="49"/>
  <c r="E16" i="49"/>
  <c r="E11" i="49"/>
  <c r="B10" i="49"/>
  <c r="E6" i="49"/>
  <c r="E8" i="49"/>
  <c r="E5" i="49"/>
  <c r="B8" i="49"/>
  <c r="B5" i="49"/>
  <c r="E21" i="49"/>
  <c r="E4" i="49"/>
  <c r="B11" i="49"/>
  <c r="B14" i="49"/>
  <c r="B16" i="49"/>
  <c r="E13" i="49"/>
  <c r="E15" i="49"/>
  <c r="E9" i="49"/>
  <c r="B22" i="49"/>
  <c r="D19" i="68"/>
  <c r="C19" i="68" s="1"/>
  <c r="D19" i="69"/>
  <c r="D37" i="69" s="1"/>
  <c r="C37" i="69" s="1"/>
  <c r="C14" i="12"/>
  <c r="G52" i="33"/>
  <c r="H52" i="33" s="1"/>
  <c r="G53" i="33"/>
  <c r="H53" i="33" s="1"/>
  <c r="R49" i="33"/>
  <c r="E48" i="33"/>
  <c r="D37" i="68"/>
  <c r="C37" i="68" s="1"/>
  <c r="R16" i="1"/>
  <c r="C18" i="12"/>
  <c r="C10" i="69"/>
  <c r="C8" i="69" s="1"/>
  <c r="C5" i="69" s="1"/>
  <c r="C20" i="68"/>
  <c r="C28" i="68" s="1"/>
  <c r="C27" i="68" s="1"/>
  <c r="C47" i="68"/>
  <c r="D45" i="68" s="1"/>
  <c r="C23" i="12"/>
  <c r="C35" i="69"/>
  <c r="C12" i="12"/>
  <c r="B2" i="76"/>
  <c r="E2" i="76"/>
  <c r="B2" i="37"/>
  <c r="B3" i="37" s="1"/>
  <c r="F63" i="67"/>
  <c r="C62" i="67" s="1"/>
  <c r="C34" i="67"/>
  <c r="J20" i="15"/>
  <c r="B2" i="36"/>
  <c r="B3" i="36" s="1"/>
  <c r="F69" i="67"/>
  <c r="F70" i="67"/>
  <c r="F65" i="67"/>
  <c r="Q71" i="15"/>
  <c r="F50" i="67"/>
  <c r="M7" i="67"/>
  <c r="J6" i="67" s="1"/>
  <c r="B11" i="70"/>
  <c r="F66" i="67"/>
  <c r="I54" i="67"/>
  <c r="L56" i="67"/>
  <c r="J57" i="67"/>
  <c r="J55" i="67" s="1"/>
  <c r="J58" i="67" s="1"/>
  <c r="Q50" i="67" s="1"/>
  <c r="B12" i="70"/>
  <c r="B2" i="35"/>
  <c r="B3" i="35" s="1"/>
  <c r="B8" i="70"/>
  <c r="B2" i="34"/>
  <c r="B3" i="34" s="1"/>
  <c r="B2" i="21"/>
  <c r="B3" i="21" s="1"/>
  <c r="B7" i="70"/>
  <c r="J20" i="67"/>
  <c r="F64" i="67"/>
  <c r="F71" i="67"/>
  <c r="F51" i="67"/>
  <c r="C49" i="67" s="1"/>
  <c r="C6" i="67"/>
  <c r="B10" i="70"/>
  <c r="B9" i="70"/>
  <c r="J53" i="15"/>
  <c r="J60" i="15"/>
  <c r="Q48" i="15" s="1"/>
  <c r="J59" i="15"/>
  <c r="L57" i="15"/>
  <c r="L60" i="15"/>
  <c r="J57" i="15"/>
  <c r="J55" i="15" s="1"/>
  <c r="J58" i="15" s="1"/>
  <c r="Q50" i="15" s="1"/>
  <c r="L56" i="15"/>
  <c r="I54" i="15"/>
  <c r="F66" i="15"/>
  <c r="F65" i="15"/>
  <c r="F64" i="15"/>
  <c r="C34" i="15"/>
  <c r="F63" i="15"/>
  <c r="C62" i="15" s="1"/>
  <c r="I1" i="73"/>
  <c r="B39" i="1" s="1"/>
  <c r="F51" i="15"/>
  <c r="F68" i="67"/>
  <c r="L58" i="67"/>
  <c r="N59" i="67"/>
  <c r="L59" i="67"/>
  <c r="M59" i="67"/>
  <c r="N59" i="15"/>
  <c r="M59" i="15"/>
  <c r="L58" i="15"/>
  <c r="L59" i="15"/>
  <c r="C27" i="67"/>
  <c r="Q71" i="67"/>
  <c r="B13" i="70"/>
  <c r="E20" i="43"/>
  <c r="F68" i="15"/>
  <c r="C27" i="15"/>
  <c r="F71" i="15"/>
  <c r="C18" i="15"/>
  <c r="C15" i="15"/>
  <c r="M7" i="15"/>
  <c r="J6" i="15" s="1"/>
  <c r="F50" i="15"/>
  <c r="C6" i="15"/>
  <c r="G1" i="73"/>
  <c r="C17" i="67"/>
  <c r="C14" i="67"/>
  <c r="C16" i="67"/>
  <c r="C16" i="15"/>
  <c r="C17" i="15"/>
  <c r="C16" i="12" l="1"/>
  <c r="C35" i="68"/>
  <c r="C33" i="68" s="1"/>
  <c r="C39" i="68" s="1"/>
  <c r="C46" i="68" s="1"/>
  <c r="C45" i="68" s="1"/>
  <c r="C19" i="69"/>
  <c r="C21" i="12"/>
  <c r="C22" i="12" s="1"/>
  <c r="C30" i="12" s="1"/>
  <c r="C28" i="12" s="1"/>
  <c r="B40" i="1"/>
  <c r="F25" i="12" s="1"/>
  <c r="C20" i="69"/>
  <c r="C28" i="69" s="1"/>
  <c r="C27" i="69" s="1"/>
  <c r="E53" i="33"/>
  <c r="F53" i="33" s="1"/>
  <c r="E52" i="33"/>
  <c r="F52" i="33" s="1"/>
  <c r="I53" i="33"/>
  <c r="J53" i="33" s="1"/>
  <c r="C48" i="33"/>
  <c r="C49" i="33"/>
  <c r="C33" i="69"/>
  <c r="C19" i="15"/>
  <c r="C15" i="67"/>
  <c r="C18" i="67"/>
  <c r="O17" i="43"/>
  <c r="N17" i="43"/>
  <c r="P17" i="43"/>
  <c r="M17" i="43"/>
  <c r="Q73" i="15"/>
  <c r="Q60" i="15"/>
  <c r="Q61" i="67"/>
  <c r="Q74" i="67"/>
  <c r="Q60" i="67"/>
  <c r="Q73" i="67"/>
  <c r="C49" i="15"/>
  <c r="F24" i="15"/>
  <c r="C24" i="15" s="1"/>
  <c r="Q57" i="15"/>
  <c r="Q66" i="15"/>
  <c r="L46" i="15"/>
  <c r="Q74" i="15"/>
  <c r="Q61" i="15"/>
  <c r="F11" i="15"/>
  <c r="C53" i="15" s="1"/>
  <c r="M11" i="15"/>
  <c r="J10" i="15" s="1"/>
  <c r="J5" i="15" s="1"/>
  <c r="M11" i="67"/>
  <c r="J10" i="67" s="1"/>
  <c r="J5" i="67" s="1"/>
  <c r="F11" i="67"/>
  <c r="F1" i="15"/>
  <c r="Q52" i="15"/>
  <c r="B3" i="76"/>
  <c r="AE6" i="1"/>
  <c r="F22" i="11" l="1"/>
  <c r="F24" i="67"/>
  <c r="C24" i="67" s="1"/>
  <c r="F22" i="68"/>
  <c r="F22" i="69"/>
  <c r="C19" i="67"/>
  <c r="B3" i="33"/>
  <c r="B2" i="33"/>
  <c r="C39" i="69"/>
  <c r="C43" i="69" s="1"/>
  <c r="J26" i="15"/>
  <c r="J24" i="15"/>
  <c r="J18" i="15"/>
  <c r="J24" i="67"/>
  <c r="J26" i="67"/>
  <c r="J29" i="67" s="1"/>
  <c r="J18" i="67"/>
  <c r="C10" i="67"/>
  <c r="C5" i="67" s="1"/>
  <c r="C53" i="67"/>
  <c r="C48" i="67" s="1"/>
  <c r="C42" i="11"/>
  <c r="C44" i="11"/>
  <c r="D41" i="11" s="1"/>
  <c r="C23" i="11"/>
  <c r="C43" i="11"/>
  <c r="C26" i="11"/>
  <c r="D22" i="11" s="1"/>
  <c r="C24" i="11"/>
  <c r="C25" i="11"/>
  <c r="C26" i="12"/>
  <c r="D25" i="12" s="1"/>
  <c r="C27" i="12"/>
  <c r="C25" i="12" s="1"/>
  <c r="C48" i="15"/>
  <c r="C20" i="67"/>
  <c r="C26" i="67" s="1"/>
  <c r="C26" i="68"/>
  <c r="D22" i="68" s="1"/>
  <c r="C44" i="68"/>
  <c r="D41" i="68" s="1"/>
  <c r="C24" i="68"/>
  <c r="C43" i="68"/>
  <c r="C23" i="68"/>
  <c r="C42" i="68"/>
  <c r="C41" i="68" s="1"/>
  <c r="C49" i="68" s="1"/>
  <c r="C51" i="68" s="1"/>
  <c r="C25" i="68"/>
  <c r="C25" i="69"/>
  <c r="C26" i="69"/>
  <c r="D22" i="69" s="1"/>
  <c r="C44" i="69"/>
  <c r="D41" i="69" s="1"/>
  <c r="C24" i="69"/>
  <c r="C23" i="69"/>
  <c r="C42" i="69"/>
  <c r="C10" i="15"/>
  <c r="C5" i="15" s="1"/>
  <c r="C20" i="15"/>
  <c r="C23" i="15" s="1"/>
  <c r="F41" i="15"/>
  <c r="C19" i="9"/>
  <c r="C20" i="9"/>
  <c r="F69" i="15" l="1"/>
  <c r="J29" i="15"/>
  <c r="C21" i="9"/>
  <c r="C102" i="9"/>
  <c r="C103" i="9"/>
  <c r="C32" i="12"/>
  <c r="B2" i="12" s="1"/>
  <c r="B3" i="12" s="1"/>
  <c r="C23" i="67"/>
  <c r="C41" i="69"/>
  <c r="C46" i="69"/>
  <c r="C45" i="69" s="1"/>
  <c r="C22" i="68"/>
  <c r="C31" i="68" s="1"/>
  <c r="C52" i="68" s="1"/>
  <c r="B2" i="68" s="1"/>
  <c r="B3" i="68" s="1"/>
  <c r="C22" i="11"/>
  <c r="C31" i="11" s="1"/>
  <c r="C41" i="11"/>
  <c r="C49" i="11" s="1"/>
  <c r="C51" i="11" s="1"/>
  <c r="C38" i="67"/>
  <c r="C32" i="67"/>
  <c r="C26" i="15"/>
  <c r="C29" i="15" s="1"/>
  <c r="C33" i="15"/>
  <c r="C38" i="15"/>
  <c r="C32" i="15"/>
  <c r="C22" i="69"/>
  <c r="C31" i="69" s="1"/>
  <c r="C57" i="68"/>
  <c r="C56" i="68" s="1"/>
  <c r="C29" i="67"/>
  <c r="C60" i="15"/>
  <c r="C66" i="15"/>
  <c r="C60" i="67"/>
  <c r="C66" i="67"/>
  <c r="C49" i="69" l="1"/>
  <c r="C51" i="69" s="1"/>
  <c r="C52" i="69" s="1"/>
  <c r="C36" i="15"/>
  <c r="C13" i="15"/>
  <c r="J19" i="15"/>
  <c r="J17" i="15" s="1"/>
  <c r="Q49" i="15"/>
  <c r="C57" i="15"/>
  <c r="J14" i="15"/>
  <c r="J19" i="67"/>
  <c r="J17" i="67" s="1"/>
  <c r="Q49" i="67"/>
  <c r="C36" i="67"/>
  <c r="C13" i="67"/>
  <c r="C33" i="67"/>
  <c r="C31" i="67" s="1"/>
  <c r="J14" i="67"/>
  <c r="C57" i="67"/>
  <c r="J59" i="67"/>
  <c r="J60" i="67" s="1"/>
  <c r="C31" i="15"/>
  <c r="C52" i="11"/>
  <c r="B2" i="11" s="1"/>
  <c r="B3" i="11" s="1"/>
  <c r="B2" i="69" l="1"/>
  <c r="B3" i="69" s="1"/>
  <c r="C57" i="69"/>
  <c r="C56" i="69" s="1"/>
  <c r="C56" i="11"/>
  <c r="C57" i="11" s="1"/>
  <c r="C61" i="67"/>
  <c r="C59" i="67" s="1"/>
  <c r="C64" i="67"/>
  <c r="J13" i="15"/>
  <c r="J23" i="15" s="1"/>
  <c r="J22" i="15"/>
  <c r="C37" i="15"/>
  <c r="C30" i="15" s="1"/>
  <c r="C39" i="15" s="1"/>
  <c r="C75" i="15"/>
  <c r="Q70" i="15"/>
  <c r="C56" i="15"/>
  <c r="C65" i="15" s="1"/>
  <c r="Q48" i="67"/>
  <c r="L46" i="67"/>
  <c r="J13" i="67"/>
  <c r="J23" i="67" s="1"/>
  <c r="J22" i="67"/>
  <c r="Q70" i="67"/>
  <c r="C56" i="67"/>
  <c r="C65" i="67" s="1"/>
  <c r="C75" i="67"/>
  <c r="C37" i="67"/>
  <c r="C30" i="67" s="1"/>
  <c r="C39" i="67" s="1"/>
  <c r="C61" i="15"/>
  <c r="C59" i="15" s="1"/>
  <c r="C64" i="15"/>
  <c r="J16" i="15" l="1"/>
  <c r="J25" i="15" s="1"/>
  <c r="J16" i="67"/>
  <c r="J25" i="67" s="1"/>
  <c r="C58" i="15"/>
  <c r="C67" i="15" s="1"/>
  <c r="C68" i="15" s="1"/>
  <c r="C40" i="15"/>
  <c r="Q69" i="15"/>
  <c r="Q68" i="15" s="1"/>
  <c r="Q69" i="67"/>
  <c r="Q68" i="67" s="1"/>
  <c r="C40" i="67"/>
  <c r="C80" i="67"/>
  <c r="C79" i="67" s="1"/>
  <c r="C71" i="15"/>
  <c r="C80" i="15"/>
  <c r="C79" i="15" s="1"/>
  <c r="C58" i="67"/>
  <c r="C67" i="67" s="1"/>
  <c r="C68" i="67" s="1"/>
  <c r="L51" i="67"/>
  <c r="L51" i="15"/>
  <c r="C46" i="15" l="1"/>
  <c r="Q67" i="67"/>
  <c r="L57" i="67"/>
  <c r="L60" i="67" s="1"/>
  <c r="Q67" i="15"/>
  <c r="C71" i="67"/>
  <c r="C45" i="67"/>
  <c r="C46" i="67" s="1"/>
  <c r="Q56" i="67"/>
  <c r="Q47" i="67"/>
  <c r="Q53" i="67" s="1"/>
  <c r="Q65" i="67"/>
  <c r="C43" i="67"/>
  <c r="D2" i="67"/>
  <c r="C83" i="67"/>
  <c r="C82" i="67" s="1"/>
  <c r="B2" i="15"/>
  <c r="Q65" i="15"/>
  <c r="Q75" i="15" s="1"/>
  <c r="C43" i="15"/>
  <c r="Q47" i="15"/>
  <c r="Q53" i="15" s="1"/>
  <c r="Q56" i="15"/>
  <c r="Q62" i="15" s="1"/>
  <c r="C83" i="15"/>
  <c r="C82" i="15" s="1"/>
  <c r="D19" i="9"/>
  <c r="AO6" i="1"/>
  <c r="D102" i="9" l="1"/>
  <c r="D21" i="9"/>
  <c r="G19" i="9"/>
  <c r="D22" i="9"/>
  <c r="B6" i="70"/>
  <c r="B2" i="70" s="1"/>
  <c r="B3" i="70" s="1"/>
  <c r="B3" i="15"/>
  <c r="B2" i="67"/>
  <c r="B3" i="67"/>
  <c r="Q66" i="67"/>
  <c r="Q75" i="67" s="1"/>
  <c r="Q57" i="67"/>
  <c r="Q62" i="67" s="1"/>
  <c r="D20" i="9"/>
  <c r="D103" i="9" l="1"/>
  <c r="G20" i="9"/>
  <c r="R24" i="31" s="1"/>
  <c r="C32" i="9"/>
  <c r="G21" i="9"/>
  <c r="S24" i="31" l="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H118" i="9"/>
  <c r="C35" i="9"/>
  <c r="F118" i="9" s="1"/>
  <c r="C34" i="9" l="1"/>
  <c r="D118" i="9" s="1"/>
  <c r="D4" i="52" s="1"/>
  <c r="B47" i="72" s="1"/>
  <c r="H101" i="9"/>
  <c r="H119" i="9"/>
  <c r="H5" i="52" s="1"/>
  <c r="H4" i="52"/>
  <c r="I118" i="9"/>
  <c r="C104" i="9"/>
  <c r="F4" i="52"/>
  <c r="B51" i="72" s="1"/>
  <c r="F119" i="9"/>
  <c r="F5" i="52" s="1"/>
  <c r="B53" i="72" s="1"/>
  <c r="G118" i="9"/>
  <c r="G4" i="52" s="1"/>
  <c r="B52" i="72" s="1"/>
  <c r="S22" i="31"/>
  <c r="D119" i="9" l="1"/>
  <c r="D5" i="52" s="1"/>
  <c r="B49" i="72" s="1"/>
  <c r="I4" i="52"/>
  <c r="C105" i="9"/>
  <c r="E118" i="9"/>
  <c r="E4" i="52" s="1"/>
  <c r="B48" i="72" s="1"/>
  <c r="H102" i="9"/>
  <c r="D7" i="53" s="1"/>
  <c r="B21" i="72" s="1"/>
  <c r="B20" i="31"/>
  <c r="R22" i="31"/>
  <c r="B21" i="31" s="1"/>
  <c r="H107" i="9"/>
  <c r="D45" i="9"/>
  <c r="M48" i="9"/>
  <c r="D5" i="53"/>
  <c r="D6" i="53" l="1"/>
  <c r="B22" i="72" s="1"/>
  <c r="B20" i="72"/>
  <c r="C78" i="9"/>
  <c r="C73" i="9" s="1"/>
  <c r="C85" i="9"/>
  <c r="D53" i="9"/>
  <c r="C72" i="9"/>
  <c r="D55" i="9"/>
  <c r="M53" i="9" s="1"/>
  <c r="C64" i="9"/>
  <c r="C63" i="9" s="1"/>
  <c r="C67" i="9" s="1"/>
  <c r="C68" i="9" s="1"/>
  <c r="D54" i="9" s="1"/>
  <c r="C93" i="9"/>
  <c r="C86" i="9" s="1"/>
  <c r="D52" i="9"/>
  <c r="M49" i="9"/>
  <c r="D122" i="9"/>
  <c r="H108" i="9"/>
  <c r="D15" i="53" s="1"/>
  <c r="B31" i="72" s="1"/>
  <c r="D13" i="53"/>
  <c r="D14" i="74"/>
  <c r="G14" i="74"/>
  <c r="B6" i="74" s="1"/>
  <c r="C6" i="74" l="1"/>
  <c r="D6" i="74"/>
  <c r="D14" i="53"/>
  <c r="B32" i="72" s="1"/>
  <c r="B30" i="72"/>
  <c r="D123" i="9"/>
  <c r="D9" i="52" s="1"/>
  <c r="D8" i="52"/>
  <c r="C79" i="9"/>
  <c r="C95" i="9"/>
  <c r="E14" i="74"/>
  <c r="B5" i="74"/>
  <c r="F14" i="74"/>
  <c r="L65" i="9"/>
  <c r="M65" i="9" s="1"/>
  <c r="L64" i="9"/>
  <c r="M64" i="9" s="1"/>
  <c r="L67" i="9"/>
  <c r="M67" i="9" s="1"/>
  <c r="L68" i="9"/>
  <c r="M68" i="9" s="1"/>
  <c r="L66" i="9"/>
  <c r="M66" i="9" s="1"/>
  <c r="L63" i="9"/>
  <c r="M63" i="9" s="1"/>
  <c r="M69" i="9" l="1"/>
  <c r="N69" i="9" s="1"/>
  <c r="C80" i="9"/>
  <c r="E80" i="9" s="1"/>
  <c r="E81" i="9" s="1"/>
  <c r="C5" i="74"/>
  <c r="D5" i="74"/>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<sst xmlns="http://schemas.openxmlformats.org/spreadsheetml/2006/main" count="7409" uniqueCount="3134">
  <si>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</si>
  <si>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</si>
  <si>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</si>
  <si>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</si>
  <si>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</si>
  <si>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</si>
  <si>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</si>
  <si>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</si>
  <si>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</si>
  <si>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</si>
  <si>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</si>
  <si>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</si>
  <si>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</si>
  <si>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</si>
  <si>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</si>
  <si>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</si>
  <si>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</si>
  <si>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</si>
  <si>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</si>
  <si>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</si>
  <si>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</si>
  <si>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</si>
  <si>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</si>
  <si>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</si>
  <si>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</si>
  <si>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</si>
  <si>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</si>
  <si>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</si>
  <si>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</si>
  <si>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</si>
  <si>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</si>
  <si>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</si>
  <si>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</si>
  <si>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</si>
  <si>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</si>
  <si>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</si>
  <si>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</si>
  <si>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</si>
  <si>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</si>
  <si>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</si>
  <si>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</si>
  <si>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</si>
  <si>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</si>
  <si>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</si>
  <si>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</si>
  <si>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</si>
  <si>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</si>
  <si>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</si>
  <si>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</si>
  <si>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</si>
  <si>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</si>
  <si>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</si>
  <si>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</si>
  <si>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</si>
  <si>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</si>
  <si>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</si>
  <si>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</si>
  <si>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</si>
  <si>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</si>
  <si>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</si>
  <si>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</si>
  <si>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</si>
  <si>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</si>
  <si>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</si>
  <si>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</si>
  <si>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</si>
  <si>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</si>
  <si>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</si>
  <si>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</si>
  <si>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</si>
  <si>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</si>
  <si>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</si>
  <si>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</si>
  <si>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</si>
  <si>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</si>
  <si>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</si>
  <si>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</si>
  <si>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</si>
  <si>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</si>
  <si>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</si>
  <si>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</si>
  <si>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</si>
  <si>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</si>
  <si>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</si>
  <si>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</si>
  <si>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</si>
  <si>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</si>
  <si>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</si>
  <si>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</si>
  <si>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</si>
  <si>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</si>
  <si>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</si>
  <si>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</si>
  <si>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</si>
  <si>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</si>
  <si>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</si>
  <si>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</si>
  <si>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</si>
  <si>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</si>
  <si>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</si>
  <si>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</si>
  <si>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</si>
  <si>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</si>
  <si>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</si>
  <si>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</si>
  <si>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</si>
  <si>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</si>
  <si>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</si>
  <si>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</si>
  <si>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</si>
  <si>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</si>
  <si>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</si>
  <si>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</si>
  <si>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</si>
  <si>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</si>
  <si>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</si>
  <si>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</si>
  <si>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</si>
  <si>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</si>
  <si>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</si>
  <si>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</si>
  <si>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</si>
  <si>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</si>
  <si>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</si>
  <si>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</si>
  <si>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</si>
  <si>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</si>
  <si>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</si>
  <si>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</si>
  <si>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</si>
  <si>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</si>
  <si>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</si>
  <si>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</si>
  <si>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</si>
  <si>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</si>
  <si>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</si>
  <si>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</si>
  <si>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</si>
  <si>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</si>
  <si>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</si>
  <si>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</si>
  <si>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</si>
  <si>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</si>
  <si>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</si>
  <si>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</si>
  <si>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</si>
  <si>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</si>
  <si>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</si>
  <si>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</si>
  <si>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</si>
  <si>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</si>
  <si>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</si>
  <si>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</si>
  <si>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</si>
  <si>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</si>
  <si>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</si>
  <si>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</si>
  <si>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</si>
  <si>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</si>
  <si>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</si>
  <si>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</si>
  <si>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</si>
  <si>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</si>
  <si>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</si>
  <si>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</si>
  <si>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</si>
  <si>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</si>
  <si>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</si>
  <si>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</si>
  <si>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</si>
  <si>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</si>
  <si>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</si>
  <si>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</si>
  <si>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</si>
  <si>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</si>
  <si>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</si>
  <si>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</si>
  <si>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</si>
  <si>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</si>
  <si>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</si>
  <si>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</si>
  <si>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</si>
  <si>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</si>
  <si>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</si>
  <si>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</si>
  <si>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</si>
  <si>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</si>
  <si>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</si>
  <si>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</si>
  <si>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</si>
  <si>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</si>
  <si>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</si>
  <si>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</si>
  <si>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</si>
  <si>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</si>
  <si>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</si>
  <si>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</si>
  <si>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</si>
  <si>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</si>
  <si>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</si>
  <si>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</si>
  <si>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</si>
  <si>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</si>
  <si>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</si>
  <si>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</si>
  <si>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</si>
  <si>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</si>
  <si>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</si>
  <si>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</si>
  <si>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</si>
  <si>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</si>
  <si>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</si>
  <si>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</si>
  <si>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</si>
  <si>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</si>
  <si>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</si>
  <si>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</si>
  <si>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</si>
  <si>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</si>
  <si>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</si>
  <si>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</si>
  <si>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</si>
  <si>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</si>
  <si>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</si>
  <si>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</si>
  <si>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</si>
  <si>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</si>
  <si>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</si>
  <si>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</si>
  <si>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</si>
  <si>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</si>
  <si>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</si>
  <si>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</si>
  <si>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</si>
  <si>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</si>
  <si>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</si>
  <si>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</si>
  <si>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</si>
  <si>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</si>
  <si>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</si>
  <si>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</si>
  <si>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</si>
  <si>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</si>
  <si>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</si>
  <si>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</si>
  <si>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</si>
  <si>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</si>
  <si>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</si>
  <si>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</si>
  <si>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</si>
  <si>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</si>
  <si>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</si>
  <si>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</si>
  <si>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</si>
  <si>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</si>
  <si>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</si>
  <si>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</si>
  <si>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</si>
  <si>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</si>
  <si>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</si>
  <si>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</si>
  <si>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</si>
  <si>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</si>
  <si>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</si>
  <si>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</si>
  <si>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</si>
  <si>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</si>
  <si>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</si>
  <si>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</si>
  <si>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</si>
  <si>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</si>
  <si>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</si>
  <si>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</si>
  <si>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</si>
  <si>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</si>
  <si>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</si>
  <si>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</si>
  <si>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</si>
  <si>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</si>
  <si>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</si>
  <si>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</si>
  <si>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</si>
  <si>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</si>
  <si>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</si>
  <si>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</si>
  <si>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</si>
  <si>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</si>
  <si>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</si>
  <si>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</si>
  <si>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</si>
  <si>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</si>
  <si>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</si>
  <si>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</si>
  <si>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</si>
  <si>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</si>
  <si>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</si>
  <si>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</si>
  <si>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</si>
  <si>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</si>
  <si>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</si>
  <si>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</si>
  <si>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</si>
  <si>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</si>
  <si>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</si>
  <si>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</si>
  <si>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</si>
  <si>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</si>
  <si>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</si>
  <si>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</si>
  <si>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</si>
  <si>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</si>
  <si>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</si>
  <si>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</si>
  <si>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</si>
  <si>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</si>
  <si>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</si>
  <si>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</si>
  <si>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</si>
  <si>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</si>
  <si>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</si>
  <si>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</si>
  <si>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</si>
  <si>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</si>
  <si>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</si>
  <si>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</si>
  <si>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</si>
  <si>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</si>
  <si>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</si>
  <si>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</si>
  <si>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</si>
  <si>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</si>
  <si>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</si>
  <si>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</si>
  <si>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</si>
  <si>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</si>
  <si>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</si>
  <si>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</si>
  <si>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</si>
  <si>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</si>
  <si>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</si>
  <si>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</si>
  <si>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</si>
  <si>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</si>
  <si>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</si>
  <si>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</si>
  <si>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</si>
  <si>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</si>
  <si>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</si>
  <si>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</si>
  <si>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</si>
  <si>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</si>
  <si>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</si>
  <si>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</si>
  <si>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</si>
  <si>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</si>
  <si>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</si>
  <si>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</si>
  <si>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</si>
  <si>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</si>
  <si>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</si>
  <si>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</si>
  <si>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</si>
  <si>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</si>
  <si>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</si>
  <si>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</si>
  <si>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</si>
  <si>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</si>
  <si>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</si>
  <si>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</si>
  <si>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</si>
  <si>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</si>
  <si>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</si>
  <si>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</si>
  <si>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</si>
  <si>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</si>
  <si>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</si>
  <si>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</si>
  <si>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</si>
  <si>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</si>
  <si>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</si>
  <si>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</si>
  <si>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</si>
  <si>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</si>
  <si>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</si>
  <si>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</si>
  <si>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</si>
  <si>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</si>
  <si>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</si>
  <si>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</si>
  <si>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</si>
  <si>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</si>
  <si>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</si>
  <si>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</si>
  <si>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</si>
  <si>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</si>
  <si>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</si>
  <si>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</si>
  <si>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</si>
  <si>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</si>
  <si>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</si>
  <si>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</si>
  <si>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</si>
  <si>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</si>
  <si>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</si>
  <si>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</si>
  <si>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</si>
  <si>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</si>
  <si>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</si>
  <si>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</si>
  <si>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</si>
  <si>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</si>
  <si>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</si>
  <si>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</si>
  <si>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</si>
  <si>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</si>
  <si>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</si>
  <si>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</si>
  <si>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</si>
  <si>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</si>
  <si>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</si>
  <si>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</si>
  <si>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</si>
  <si>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</si>
  <si>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</si>
  <si>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</si>
  <si>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</si>
  <si>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</si>
  <si>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</si>
  <si>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</si>
  <si>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</si>
  <si>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</si>
  <si>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</si>
  <si>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</si>
  <si>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</si>
  <si>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</si>
  <si>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</si>
  <si>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</si>
  <si>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</si>
  <si>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</si>
  <si>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</si>
  <si>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</si>
  <si>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</si>
  <si>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</si>
  <si>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</si>
  <si>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</si>
  <si>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</si>
  <si>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</si>
  <si>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</si>
  <si>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</si>
  <si>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</si>
  <si>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</si>
  <si>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</si>
  <si>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</si>
  <si>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</si>
  <si>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</si>
  <si>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</si>
  <si>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</si>
  <si>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</si>
  <si>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</si>
  <si>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</si>
  <si>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</si>
  <si>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</si>
  <si>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</si>
  <si>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</si>
  <si>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</si>
  <si>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</si>
  <si>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</si>
  <si>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</si>
  <si>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</si>
  <si>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</si>
  <si>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</si>
  <si>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</si>
  <si>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</si>
  <si>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</si>
  <si>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</si>
  <si>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</si>
  <si>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</si>
  <si>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</si>
  <si>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</si>
  <si>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</si>
  <si>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</si>
  <si>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</si>
  <si>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</si>
  <si>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</si>
  <si>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</si>
  <si>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</si>
  <si>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</si>
  <si>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</si>
  <si>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</si>
  <si>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</si>
  <si>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</si>
  <si>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</si>
  <si>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</si>
  <si>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</si>
  <si>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</si>
  <si>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</si>
  <si>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</si>
  <si>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</si>
  <si>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</si>
  <si>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</si>
  <si>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</si>
  <si>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</si>
  <si>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</si>
  <si>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</si>
  <si>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</si>
  <si>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</si>
  <si>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</si>
  <si>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</si>
  <si>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</si>
  <si>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</si>
  <si>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</si>
  <si>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</si>
  <si>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</si>
  <si>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</si>
  <si>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</si>
  <si>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</si>
  <si>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</si>
  <si>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</si>
  <si>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</si>
  <si>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</si>
  <si>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</si>
  <si>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</si>
  <si>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</si>
  <si>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</si>
  <si>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</si>
  <si>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</si>
  <si>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</si>
  <si>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</si>
  <si>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</si>
  <si>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</si>
  <si>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</si>
  <si>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</si>
  <si>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</si>
  <si>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</si>
  <si>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</si>
  <si>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</si>
  <si>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</si>
  <si>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</si>
  <si>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</si>
  <si>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</si>
  <si>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</si>
  <si>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</si>
  <si>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</si>
  <si>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</si>
  <si>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</si>
  <si>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</si>
  <si>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</si>
  <si>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</si>
  <si>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</si>
  <si>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</si>
  <si>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</si>
  <si>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</si>
  <si>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</si>
  <si>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</si>
  <si>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</si>
  <si>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</si>
  <si>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</si>
  <si>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</si>
  <si>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</si>
  <si>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</si>
  <si>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</si>
  <si>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</si>
  <si>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</si>
  <si>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</si>
  <si>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</si>
  <si>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</si>
  <si>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</si>
  <si>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</si>
  <si>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</si>
  <si>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</si>
  <si>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</si>
  <si>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</si>
  <si>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</si>
  <si>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</si>
  <si>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</si>
  <si>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</si>
  <si>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</si>
  <si>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</si>
  <si>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</si>
  <si>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</si>
  <si>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</si>
  <si>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</si>
  <si>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</si>
  <si>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</si>
  <si>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</si>
  <si>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</si>
  <si>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</si>
  <si>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</si>
  <si>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</si>
  <si>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</si>
  <si>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</si>
  <si>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</si>
  <si>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</si>
  <si>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</si>
  <si>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</si>
  <si>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</si>
  <si>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</si>
  <si>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</si>
  <si>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</si>
  <si>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</si>
  <si>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</si>
  <si>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</si>
  <si>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</si>
  <si>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</si>
  <si>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</si>
  <si>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</si>
  <si>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</si>
  <si>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</si>
  <si>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</si>
  <si>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</si>
  <si>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</si>
  <si>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</si>
  <si>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</si>
  <si>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</si>
  <si>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</si>
  <si>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</si>
  <si>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</si>
  <si>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</si>
  <si>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</si>
  <si>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</si>
  <si>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</si>
  <si>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</si>
  <si>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</si>
  <si>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</si>
  <si>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</si>
  <si>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</si>
  <si>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</si>
  <si>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</si>
  <si>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</si>
  <si>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</si>
  <si>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</si>
  <si>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</si>
  <si>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</si>
  <si>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</si>
  <si>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</si>
  <si>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</si>
  <si>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</si>
  <si>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</si>
  <si>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</si>
  <si>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</si>
  <si>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</si>
  <si>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</si>
  <si>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</si>
  <si>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</si>
  <si>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</si>
  <si>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</si>
  <si>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</si>
  <si>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</si>
  <si>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</si>
  <si>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</si>
  <si>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</si>
  <si>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</si>
  <si>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</si>
  <si>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</si>
  <si>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</si>
  <si>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</si>
  <si>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</si>
  <si>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</si>
  <si>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</si>
  <si>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</si>
  <si>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</si>
  <si>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</si>
  <si>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</si>
  <si>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</si>
  <si>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</si>
  <si>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</si>
  <si>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</si>
  <si>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</si>
  <si>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</si>
  <si>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</si>
  <si>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</si>
  <si>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</si>
  <si>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</si>
  <si>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</si>
  <si>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</si>
  <si>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</si>
  <si>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</si>
  <si>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</si>
  <si>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</si>
  <si>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</si>
  <si>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</si>
  <si>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</si>
  <si>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</si>
  <si>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</si>
  <si>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</si>
  <si>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</si>
  <si>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</si>
  <si>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</si>
  <si>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</si>
  <si>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</si>
  <si>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</si>
  <si>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</si>
  <si>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</si>
  <si>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</si>
  <si>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</si>
  <si>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</si>
  <si>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</si>
  <si>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</si>
  <si>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</si>
  <si>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</si>
  <si>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</si>
  <si>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</si>
  <si>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</si>
  <si>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</si>
  <si>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</si>
  <si>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</si>
  <si>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</si>
  <si>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</si>
  <si>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</si>
  <si>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</si>
  <si>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</si>
  <si>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</si>
  <si>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</si>
  <si>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</si>
  <si>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</si>
  <si>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</si>
  <si>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</si>
  <si>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</si>
  <si>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</si>
  <si>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</si>
  <si>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</si>
  <si>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</si>
  <si>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</si>
  <si>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</si>
  <si>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</si>
  <si>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</si>
  <si>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</si>
  <si>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</si>
  <si>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</si>
  <si>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</si>
  <si>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</si>
  <si>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</si>
  <si>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</si>
  <si>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</si>
  <si>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</si>
  <si>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</si>
  <si>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</si>
  <si>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</si>
  <si>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</si>
  <si>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</si>
  <si>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</si>
  <si>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</si>
  <si>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</si>
  <si>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</si>
  <si>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</si>
  <si>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</si>
  <si>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</si>
  <si>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</si>
  <si>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</si>
  <si>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</si>
  <si>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</si>
  <si>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</si>
  <si>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</si>
  <si>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</si>
  <si>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</si>
  <si>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</si>
  <si>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</si>
  <si>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</si>
  <si>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</si>
  <si>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</si>
  <si>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</si>
  <si>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</si>
  <si>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</si>
  <si>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</si>
  <si>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</si>
  <si>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</si>
  <si>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</si>
  <si>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</si>
  <si>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</si>
  <si>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</si>
  <si>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</si>
  <si>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</si>
  <si>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</si>
  <si>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</si>
  <si>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</si>
  <si>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</si>
  <si>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</si>
  <si>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</si>
  <si>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</si>
  <si>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</si>
  <si>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</si>
  <si>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</si>
  <si>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</si>
  <si>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</si>
  <si>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</si>
  <si>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</si>
  <si>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</si>
  <si>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</si>
  <si>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</si>
  <si>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</si>
  <si>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</si>
  <si>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</si>
  <si>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</si>
  <si>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</si>
  <si>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</si>
  <si>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</si>
  <si>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</si>
  <si>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</si>
  <si>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</si>
  <si>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</si>
  <si>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</si>
  <si>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</si>
  <si>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</si>
  <si>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</si>
  <si>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</si>
  <si>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</si>
  <si>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</si>
  <si>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</si>
  <si>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</si>
  <si>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</si>
  <si>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</si>
  <si>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</si>
  <si>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</si>
  <si>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</si>
  <si>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</si>
  <si>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</si>
  <si>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</si>
  <si>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</si>
  <si>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</si>
  <si>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</si>
  <si>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</si>
  <si>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</si>
  <si>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</si>
  <si>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</si>
  <si>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</si>
  <si>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</si>
  <si>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</si>
  <si>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</si>
  <si>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</si>
  <si>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</si>
  <si>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</si>
  <si>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</si>
  <si>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</si>
  <si>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</si>
  <si>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</si>
  <si>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</si>
  <si>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</si>
  <si>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</si>
  <si>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</si>
  <si>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</si>
  <si>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</si>
  <si>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</si>
  <si>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</si>
  <si>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</si>
  <si>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</si>
  <si>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</si>
  <si>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</si>
  <si>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</si>
  <si>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</si>
  <si>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</si>
  <si>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</si>
  <si>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</si>
  <si>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</si>
  <si>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</si>
  <si>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</si>
  <si>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</si>
  <si>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</si>
  <si>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</si>
  <si>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</si>
  <si>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</si>
  <si>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</si>
  <si>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</si>
  <si>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</si>
  <si>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</si>
  <si>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</si>
  <si>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</si>
  <si>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</si>
  <si>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</si>
  <si>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</si>
  <si>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</si>
  <si>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</si>
  <si>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</si>
  <si>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</si>
  <si>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</si>
  <si>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</si>
  <si>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</si>
  <si>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</si>
  <si>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</si>
  <si>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</si>
  <si>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</si>
  <si>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</si>
  <si>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</si>
  <si>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</si>
  <si>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</si>
  <si>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</si>
  <si>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</si>
  <si>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</si>
  <si>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</si>
  <si>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</si>
  <si>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</si>
  <si>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</si>
  <si>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</si>
  <si>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</si>
  <si>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</si>
  <si>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</si>
  <si>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</si>
  <si>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</si>
  <si>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</si>
  <si>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</si>
  <si>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</si>
  <si>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</si>
  <si>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</si>
  <si>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</si>
  <si>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</si>
  <si>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</si>
  <si>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</si>
  <si>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</si>
  <si>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</si>
  <si>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</si>
  <si>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</si>
  <si>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</si>
  <si>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</si>
  <si>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</si>
  <si>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</si>
  <si>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</si>
  <si>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</si>
  <si>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</si>
  <si>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</si>
  <si>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</si>
  <si>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</si>
  <si>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</si>
  <si>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</si>
  <si>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</si>
  <si>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</si>
  <si>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</si>
  <si>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</si>
  <si>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</si>
  <si>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</si>
  <si>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</si>
  <si>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</si>
  <si>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</si>
  <si>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</si>
  <si>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</si>
  <si>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</si>
  <si>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</si>
  <si>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</si>
  <si>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</si>
  <si>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</si>
  <si>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</si>
  <si>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</si>
  <si>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</si>
  <si>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</si>
  <si>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</si>
  <si>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</si>
  <si>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</si>
  <si>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</si>
  <si>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</si>
  <si>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</si>
  <si>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</si>
  <si>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</si>
  <si>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</si>
  <si>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</si>
  <si>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</si>
  <si>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</si>
  <si>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</si>
  <si>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</si>
  <si>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</si>
  <si>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</si>
  <si>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</si>
  <si>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</si>
  <si>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</si>
  <si>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</si>
  <si>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</si>
  <si>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</si>
  <si>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</si>
  <si>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</si>
  <si>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</si>
  <si>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</si>
  <si>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</si>
  <si>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</si>
  <si>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</si>
  <si>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</si>
  <si>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</si>
  <si>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</si>
  <si>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</si>
  <si>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</si>
  <si>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</si>
  <si>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</si>
  <si>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</si>
  <si>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</si>
  <si>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</si>
  <si>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</si>
  <si>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</si>
  <si>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</si>
  <si>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</si>
  <si>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</si>
  <si>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</si>
  <si>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</si>
  <si>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</si>
  <si>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</si>
  <si>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</si>
  <si>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</si>
  <si>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</si>
  <si>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</si>
  <si>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</si>
  <si>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</si>
  <si>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</si>
  <si>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</si>
  <si>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</si>
  <si>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</si>
  <si>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</si>
  <si>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</si>
  <si>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</si>
  <si>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</si>
  <si>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</si>
  <si>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</si>
  <si>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</si>
  <si>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</si>
  <si>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</si>
  <si>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</si>
  <si>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</si>
  <si>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</si>
  <si>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</si>
  <si>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</si>
  <si>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</si>
  <si>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</si>
  <si>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</si>
  <si>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</si>
  <si>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</si>
  <si>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</si>
  <si>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</si>
  <si>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</si>
  <si>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</si>
  <si>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</si>
  <si>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</si>
  <si>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</si>
  <si>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</si>
  <si>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</si>
  <si>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</si>
  <si>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</si>
  <si>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</si>
  <si>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</si>
  <si>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</si>
  <si>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</si>
  <si>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</si>
  <si>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</si>
  <si>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</si>
  <si>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</si>
  <si>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</si>
  <si>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</si>
  <si>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</si>
  <si>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</si>
  <si>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</si>
  <si>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</si>
  <si>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</si>
  <si>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</si>
  <si>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</si>
  <si>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</si>
  <si>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</si>
  <si>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</si>
  <si>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</si>
  <si>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</si>
  <si>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</si>
  <si>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</si>
  <si>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</si>
  <si>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</si>
  <si>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</si>
  <si>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</si>
  <si>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</si>
  <si>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</si>
  <si>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</si>
  <si>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</si>
  <si>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</si>
  <si>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</si>
  <si>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</si>
  <si>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</si>
  <si>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</si>
  <si>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</si>
  <si>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</si>
  <si>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</si>
  <si>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</si>
  <si>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</si>
  <si>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</si>
  <si>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</si>
  <si>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</si>
  <si>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</si>
  <si>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</si>
  <si>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</si>
  <si>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</si>
  <si>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</si>
  <si>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</si>
  <si>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</si>
  <si>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</si>
  <si>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</si>
  <si>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</si>
  <si>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</si>
  <si>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</si>
  <si>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</si>
  <si>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</si>
  <si>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</si>
  <si>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</si>
  <si>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</si>
  <si>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</si>
  <si>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</si>
  <si>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</si>
  <si>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</si>
  <si>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</si>
  <si>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</si>
  <si>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</si>
  <si>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</si>
  <si>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</si>
  <si>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</si>
  <si>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</si>
  <si>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</si>
  <si>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</si>
  <si>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</si>
  <si>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</si>
  <si>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</si>
  <si>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</si>
  <si>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</si>
  <si>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</si>
  <si>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</si>
  <si>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</si>
  <si>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</si>
  <si>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</si>
  <si>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</si>
  <si>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</si>
  <si>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</si>
  <si>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</si>
  <si>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</si>
  <si>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</si>
  <si>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</si>
  <si>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</si>
  <si>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</si>
  <si>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</si>
  <si>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</si>
  <si>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</si>
  <si>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</si>
  <si>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</si>
  <si>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</si>
  <si>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</si>
  <si>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</si>
  <si>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</si>
  <si>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</si>
  <si>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</si>
  <si>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</si>
  <si>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</si>
  <si>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</si>
  <si>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</si>
  <si>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</si>
  <si>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</si>
  <si>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</si>
  <si>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</si>
  <si>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</si>
  <si>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</si>
  <si>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</si>
  <si>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</si>
  <si>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</si>
  <si>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</si>
  <si>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</si>
  <si>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</si>
  <si>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</si>
  <si>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</si>
  <si>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</si>
  <si>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</si>
  <si>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</si>
  <si>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</si>
  <si>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</si>
  <si>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</si>
  <si>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</si>
  <si>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</si>
  <si>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</si>
  <si>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</si>
  <si>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</si>
  <si>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</si>
  <si>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</si>
  <si>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</si>
  <si>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</si>
  <si>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</si>
  <si>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</si>
  <si>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</si>
  <si>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</si>
  <si>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</si>
  <si>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</si>
  <si>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</si>
  <si>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</si>
  <si>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</si>
  <si>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</si>
  <si>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</si>
  <si>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</si>
  <si>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</si>
  <si>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</si>
  <si>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</si>
  <si>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</si>
  <si>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</si>
  <si>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</si>
  <si>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</si>
  <si>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</si>
  <si>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</si>
  <si>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</si>
  <si>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</si>
  <si>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</si>
  <si>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</si>
  <si>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</si>
  <si>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</si>
  <si>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</si>
  <si>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</si>
  <si>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</si>
  <si>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</si>
  <si>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</si>
  <si>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</si>
  <si>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</si>
  <si>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</si>
  <si>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</si>
  <si>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</si>
  <si>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</si>
  <si>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</si>
  <si>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</si>
  <si>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</si>
  <si>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</si>
  <si>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</si>
  <si>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</si>
  <si>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</si>
  <si>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</si>
  <si>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</si>
  <si>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</si>
  <si>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</si>
  <si>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</si>
  <si>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</si>
  <si>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</si>
  <si>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</si>
  <si>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</si>
  <si>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</si>
  <si>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</si>
  <si>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</si>
  <si>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</si>
  <si>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</si>
  <si>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</si>
  <si>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</si>
  <si>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</si>
  <si>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</si>
  <si>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</si>
  <si>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</si>
  <si>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</si>
  <si>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</si>
  <si>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</si>
  <si>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</si>
  <si>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</si>
  <si>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</si>
  <si>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</si>
  <si>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</si>
  <si>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</si>
  <si>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</si>
  <si>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</si>
  <si>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</si>
  <si>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</si>
  <si>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</si>
  <si>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</si>
  <si>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</si>
  <si>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</si>
  <si>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</si>
  <si>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</si>
  <si>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</si>
  <si>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</si>
  <si>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</si>
  <si>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</si>
  <si>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</si>
  <si>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</si>
  <si>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</si>
  <si>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</si>
  <si>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</si>
  <si>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</si>
  <si>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</si>
  <si>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</si>
  <si>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</si>
  <si>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</si>
  <si>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</si>
  <si>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</si>
  <si>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</si>
  <si>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</si>
  <si>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</si>
  <si>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</si>
  <si>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</si>
  <si>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</si>
  <si>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</si>
  <si>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</si>
  <si>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</si>
  <si>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</si>
  <si>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</si>
  <si>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</si>
  <si>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</si>
  <si>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</si>
  <si>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</si>
  <si>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</si>
  <si>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</si>
  <si>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</si>
  <si>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</si>
  <si>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</si>
  <si>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</si>
  <si>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</si>
  <si>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</si>
  <si>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</si>
  <si>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</si>
  <si>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</si>
  <si>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</si>
  <si>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</si>
  <si>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</si>
  <si>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</si>
  <si>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</si>
  <si>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</si>
  <si>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</si>
  <si>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</si>
  <si>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</si>
  <si>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</si>
  <si>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</si>
  <si>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</si>
  <si>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</si>
  <si>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</si>
  <si>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</si>
  <si>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</si>
  <si>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</si>
  <si>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</si>
  <si>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</si>
  <si>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</si>
  <si>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</si>
  <si>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</si>
  <si>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</si>
  <si>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</si>
  <si>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</si>
  <si>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</si>
  <si>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</si>
  <si>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</si>
  <si>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</si>
  <si>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</si>
  <si>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</si>
  <si>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</si>
  <si>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</si>
  <si>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</si>
  <si>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</si>
  <si>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</si>
  <si>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</si>
  <si>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</si>
  <si>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</si>
  <si>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</si>
  <si>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</si>
  <si>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</si>
  <si>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</si>
  <si>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</si>
  <si>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</si>
  <si>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</si>
  <si>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</si>
  <si>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</si>
  <si>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</si>
  <si>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</si>
  <si>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</si>
  <si>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</si>
  <si>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</si>
  <si>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</si>
  <si>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</si>
  <si>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</si>
  <si>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</si>
  <si>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</si>
  <si>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</si>
  <si>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</si>
  <si>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</si>
  <si>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</si>
  <si>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</si>
  <si>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</si>
  <si>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</si>
  <si>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</si>
  <si>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</si>
  <si>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</si>
  <si>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</si>
  <si>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</si>
  <si>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</si>
  <si>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</si>
  <si>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</si>
  <si>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</si>
  <si>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</si>
  <si>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</si>
  <si>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</si>
  <si>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</si>
  <si>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</si>
  <si>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</si>
  <si>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</si>
  <si>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</si>
  <si>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</si>
  <si>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</si>
  <si>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</si>
  <si>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</si>
  <si>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</si>
  <si>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</si>
  <si>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</si>
  <si>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</si>
  <si>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</si>
  <si>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</si>
  <si>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</si>
  <si>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</si>
  <si>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</si>
  <si>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</si>
  <si>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</si>
  <si>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</si>
  <si>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</si>
  <si>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</si>
  <si>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</si>
  <si>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</si>
  <si>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</si>
  <si>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</si>
  <si>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</si>
  <si>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</si>
  <si>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</si>
  <si>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</si>
  <si>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</si>
  <si>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</si>
  <si>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</si>
  <si>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</si>
  <si>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</si>
  <si>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</si>
  <si>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</si>
  <si>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</si>
  <si>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</si>
  <si>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</si>
  <si>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</si>
  <si>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</si>
  <si>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</si>
  <si>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</si>
  <si>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</si>
  <si>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</si>
  <si>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</si>
  <si>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</si>
  <si>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</si>
  <si>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</si>
  <si>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</si>
  <si>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</si>
  <si>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</si>
  <si>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</si>
  <si>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</si>
  <si>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</si>
  <si>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</si>
  <si>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</si>
  <si>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</si>
  <si>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</si>
  <si>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</si>
  <si>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</si>
  <si>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</si>
  <si>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</si>
  <si>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</si>
  <si>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</si>
  <si>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</si>
  <si>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</si>
  <si>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</si>
  <si>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</si>
  <si>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</si>
  <si>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</si>
  <si>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</si>
  <si>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</si>
  <si>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</si>
  <si>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</si>
  <si>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</si>
  <si>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</si>
  <si>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</si>
  <si>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</si>
  <si>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</si>
  <si>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</si>
  <si>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</si>
  <si>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</si>
  <si>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</si>
  <si>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</si>
  <si>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</si>
  <si>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</si>
  <si>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</si>
  <si>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</si>
  <si>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</si>
  <si>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</si>
  <si>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</si>
  <si>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</si>
  <si>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</si>
  <si>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</si>
  <si>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</si>
  <si>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</si>
  <si>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</si>
  <si>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</si>
  <si>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</si>
  <si>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</si>
  <si>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</si>
  <si>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</si>
  <si>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</si>
  <si>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</si>
  <si>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</si>
  <si>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</si>
  <si>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</si>
  <si>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</si>
  <si>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</si>
  <si>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</si>
  <si>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</si>
  <si>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</si>
  <si>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</si>
  <si>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</si>
  <si>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</si>
  <si>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</si>
  <si>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</si>
  <si>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</si>
  <si>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</si>
  <si>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</si>
  <si>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</si>
  <si>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</si>
  <si>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</si>
  <si>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</si>
  <si>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</si>
  <si>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</si>
  <si>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</si>
  <si>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</si>
  <si>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</si>
  <si>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</si>
  <si>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</si>
  <si>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</si>
  <si>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</si>
  <si>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</si>
  <si>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</si>
  <si>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</si>
  <si>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</si>
  <si>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</si>
  <si>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</si>
  <si>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</si>
  <si>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</si>
  <si>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</si>
  <si>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</si>
  <si>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</si>
  <si>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</si>
  <si>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</si>
  <si>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</si>
  <si>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</si>
  <si>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</si>
  <si>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</si>
  <si>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</si>
  <si>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</si>
  <si>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</si>
  <si>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</si>
  <si>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</si>
  <si>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</si>
  <si>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</si>
  <si>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</si>
  <si>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</si>
  <si>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</si>
  <si>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</si>
  <si>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</si>
  <si>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</si>
  <si>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</si>
  <si>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</si>
  <si>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</si>
  <si>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</si>
  <si>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</si>
  <si>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</si>
  <si>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</si>
  <si>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</si>
  <si>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</si>
  <si>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</si>
  <si>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</si>
  <si>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</si>
  <si>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</si>
  <si>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</si>
  <si>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</si>
  <si>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</si>
  <si>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</si>
  <si>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</si>
  <si>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</si>
  <si>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</si>
  <si>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</si>
  <si>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</si>
  <si>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</si>
  <si>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</si>
  <si>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</si>
  <si>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</si>
  <si>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</si>
  <si>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</si>
  <si>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</si>
  <si>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</si>
  <si>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</si>
  <si>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</si>
  <si>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</si>
  <si>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</si>
  <si>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</si>
  <si>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</si>
  <si>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</si>
  <si>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</si>
  <si>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</si>
  <si>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</si>
  <si>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</si>
  <si>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</si>
  <si>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</si>
  <si>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</si>
  <si>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</si>
  <si>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</si>
  <si>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</si>
  <si>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</si>
  <si>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</si>
  <si>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</si>
  <si>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</si>
  <si>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</si>
  <si>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</si>
  <si>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</si>
  <si>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</si>
  <si>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</si>
  <si>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</si>
  <si>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</si>
  <si>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</si>
  <si>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</si>
  <si>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</si>
  <si>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</si>
  <si>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</si>
  <si>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</si>
  <si>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</si>
  <si>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</si>
  <si>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</si>
  <si>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</si>
  <si>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</si>
  <si>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</si>
  <si>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</si>
  <si>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</si>
  <si>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</si>
  <si>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</si>
  <si>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</si>
  <si>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</si>
  <si>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</si>
  <si>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</si>
  <si>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</si>
  <si>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</si>
  <si>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</si>
  <si>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</si>
  <si>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</si>
  <si>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</si>
  <si>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</si>
  <si>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</si>
  <si>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</si>
  <si>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</si>
  <si>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</si>
  <si>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</si>
  <si>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</si>
  <si>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</si>
  <si>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</si>
  <si>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</si>
  <si>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</si>
  <si>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</si>
  <si>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</si>
  <si>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</si>
  <si>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</si>
  <si>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</si>
  <si>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</si>
  <si>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</si>
  <si>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</si>
  <si>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</si>
  <si>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</si>
  <si>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</si>
  <si>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</si>
  <si>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</si>
  <si>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</si>
  <si>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</si>
  <si>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</si>
  <si>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</si>
  <si>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</si>
  <si>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</si>
  <si>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</si>
  <si>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</si>
  <si>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</si>
  <si>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</si>
  <si>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</si>
  <si>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</si>
  <si>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</si>
  <si>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</si>
  <si>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</si>
  <si>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</si>
  <si>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</si>
  <si>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</si>
  <si>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</si>
  <si>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</si>
  <si>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</si>
  <si>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</si>
  <si>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</si>
  <si>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</si>
  <si>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</si>
  <si>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</si>
  <si>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</si>
  <si>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</si>
  <si>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</si>
  <si>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</si>
  <si>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</si>
  <si>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</si>
  <si>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</si>
  <si>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</si>
  <si>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</si>
  <si>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</si>
  <si>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</si>
  <si>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</si>
  <si>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</si>
  <si>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</si>
  <si>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</si>
  <si>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</si>
  <si>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</si>
  <si>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</si>
  <si>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</si>
  <si>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</si>
  <si>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</si>
  <si>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</si>
  <si>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</si>
  <si>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</si>
  <si>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</si>
  <si>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</si>
  <si>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</si>
  <si>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</si>
  <si>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</si>
  <si>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</si>
  <si>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</si>
  <si>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</si>
  <si>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</si>
  <si>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</si>
  <si>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</si>
  <si>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</si>
  <si>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</si>
  <si>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</si>
  <si>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</si>
  <si>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</si>
  <si>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</si>
  <si>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</si>
  <si>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</si>
  <si>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</si>
  <si>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</si>
  <si>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</si>
  <si>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</si>
  <si>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</si>
  <si>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</si>
  <si>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</si>
  <si>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</si>
  <si>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</si>
  <si>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</si>
  <si>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</si>
  <si>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</si>
  <si>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</si>
  <si>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</si>
  <si>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</si>
  <si>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</si>
  <si>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</si>
  <si>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</si>
  <si>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</si>
  <si>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</si>
  <si>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</si>
  <si>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</si>
  <si>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</si>
  <si>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</si>
  <si>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</si>
  <si>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</si>
  <si>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</si>
  <si>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</si>
  <si>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</si>
  <si>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</si>
  <si>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</si>
  <si>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</si>
  <si>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</si>
  <si>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</si>
  <si>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</si>
  <si>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</si>
  <si>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</si>
  <si>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</si>
  <si>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</si>
  <si>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</si>
  <si>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</si>
  <si>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</si>
  <si>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</si>
  <si>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</si>
  <si>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</si>
  <si>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</si>
  <si>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</si>
  <si>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</si>
  <si>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</si>
  <si>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</si>
  <si>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</si>
  <si>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</si>
  <si>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</si>
  <si>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</si>
  <si>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</si>
  <si>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</si>
  <si>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</si>
  <si>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</si>
  <si>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</si>
  <si>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</si>
  <si>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</si>
  <si>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</si>
  <si>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</si>
  <si>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</si>
  <si>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</si>
  <si>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</si>
  <si>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</si>
  <si>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</si>
  <si>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</si>
  <si>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</si>
  <si>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</si>
  <si>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</si>
  <si>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</si>
  <si>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</si>
  <si>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</si>
  <si>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</si>
  <si>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</si>
  <si>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</si>
  <si>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</si>
  <si>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</si>
  <si>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</si>
  <si>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</si>
  <si>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</si>
  <si>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</si>
  <si>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</si>
  <si>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</si>
  <si>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</si>
  <si>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</si>
  <si>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</si>
  <si>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</si>
  <si>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</si>
  <si>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</si>
  <si>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</si>
  <si>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</si>
  <si>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</si>
  <si>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</si>
  <si>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</si>
  <si>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</si>
  <si>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</si>
  <si>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</si>
  <si>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</si>
  <si>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</si>
  <si>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</si>
  <si>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</si>
  <si>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</si>
  <si>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</si>
  <si>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</si>
  <si>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</si>
  <si>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</si>
  <si>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</si>
  <si>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</si>
  <si>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</si>
  <si>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</si>
  <si>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</si>
  <si>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</si>
  <si>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</si>
  <si>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</si>
  <si>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</si>
  <si>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</si>
  <si>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</si>
  <si>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</si>
  <si>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</si>
  <si>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</si>
  <si>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</si>
  <si>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</si>
  <si>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</si>
  <si>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</si>
  <si>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</si>
  <si>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</si>
  <si>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</si>
  <si>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</si>
  <si>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</si>
  <si>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</si>
  <si>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</si>
  <si>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</si>
  <si>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</si>
  <si>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</si>
  <si>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</si>
  <si>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</si>
  <si>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</si>
  <si>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</si>
  <si>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</si>
  <si>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</si>
  <si>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</si>
  <si>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</si>
  <si>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</si>
  <si>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</si>
  <si>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</si>
  <si>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</si>
  <si>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</si>
  <si>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</si>
  <si>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</si>
  <si>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</si>
  <si>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</si>
  <si>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</si>
  <si>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</si>
  <si>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</si>
  <si>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</si>
  <si>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</si>
  <si>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</si>
  <si>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</si>
  <si>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</si>
  <si>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</si>
  <si>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</si>
  <si>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</si>
  <si>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</si>
  <si>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</si>
  <si>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</si>
  <si>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</si>
  <si>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</si>
  <si>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</si>
  <si>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</si>
  <si>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</si>
  <si>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</si>
  <si>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</si>
  <si>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</si>
  <si>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</si>
  <si>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</si>
  <si>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</si>
  <si>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</si>
  <si>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</si>
  <si>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</si>
  <si>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</si>
  <si>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</si>
  <si>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</si>
  <si>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</si>
  <si>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</si>
  <si>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</si>
  <si>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</si>
  <si>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</si>
  <si>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</si>
  <si>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</si>
  <si>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</si>
  <si>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</si>
  <si>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</si>
  <si>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</si>
  <si>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</si>
  <si>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</si>
  <si>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</si>
  <si>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</si>
  <si>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</si>
  <si>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</si>
  <si>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</si>
  <si>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</si>
  <si>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</si>
  <si>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</si>
  <si>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</si>
  <si>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</si>
  <si>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</si>
  <si>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</si>
  <si>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</si>
  <si>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</si>
  <si>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</si>
  <si>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</si>
  <si>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</si>
  <si>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</si>
  <si>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</si>
  <si>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</si>
  <si>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</si>
  <si>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</si>
  <si>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</si>
  <si>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</si>
  <si>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</si>
  <si>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</si>
  <si>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</si>
  <si>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</si>
  <si>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</si>
  <si>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</si>
  <si>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</si>
  <si>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</si>
  <si>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</si>
  <si>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</si>
  <si>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</si>
  <si>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</si>
  <si>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</si>
  <si>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</si>
  <si>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</si>
  <si>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</si>
  <si>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</si>
  <si>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</si>
  <si>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</si>
  <si>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</si>
  <si>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</si>
  <si>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</si>
  <si>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</si>
  <si>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</si>
  <si>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</si>
  <si>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</si>
  <si>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</si>
  <si>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</si>
  <si>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</si>
  <si>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</si>
  <si>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</si>
  <si>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</si>
  <si>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</si>
  <si>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</si>
  <si>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</si>
  <si>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</si>
  <si>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</si>
  <si>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</si>
  <si>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</si>
  <si>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</si>
  <si>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</si>
  <si>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</si>
  <si>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</si>
  <si>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</si>
  <si>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</si>
  <si>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</si>
  <si>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</si>
  <si>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</si>
  <si>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</si>
  <si>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</si>
  <si>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</si>
  <si>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</si>
  <si>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</si>
  <si>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</si>
  <si>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</si>
  <si>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</si>
  <si>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</si>
  <si>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</si>
  <si>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</si>
  <si>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</si>
  <si>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</si>
  <si>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</si>
  <si>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</si>
  <si>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</si>
  <si>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</si>
  <si>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</si>
  <si>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</si>
  <si>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</si>
  <si>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</si>
  <si>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</si>
  <si>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</si>
  <si>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</si>
  <si>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</si>
  <si>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</si>
  <si>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</si>
  <si>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</si>
  <si>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</si>
  <si>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</si>
  <si>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</si>
  <si>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</si>
  <si>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</si>
  <si>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</si>
  <si>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</si>
  <si>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</si>
  <si>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</si>
  <si>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</si>
  <si>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</si>
  <si>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</si>
  <si>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</si>
  <si>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</si>
  <si>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</si>
  <si>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</si>
  <si>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</si>
  <si>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</si>
  <si>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</si>
  <si>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</si>
  <si>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</si>
  <si>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</si>
  <si>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</si>
  <si>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</si>
  <si>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</si>
  <si>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</si>
  <si>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</si>
  <si>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</si>
  <si>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</si>
  <si>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</si>
  <si>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</si>
  <si>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</si>
  <si>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</si>
  <si>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</si>
  <si>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</si>
  <si>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</si>
  <si>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</si>
  <si>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</si>
  <si>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</si>
  <si>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</si>
  <si>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</si>
  <si>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</si>
  <si>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</si>
  <si>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</si>
  <si>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</si>
  <si>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</si>
  <si>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</si>
  <si>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</si>
  <si>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</si>
  <si>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</si>
  <si>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</si>
  <si>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</si>
  <si>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</si>
  <si>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</si>
  <si>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</si>
  <si>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</si>
  <si>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</si>
  <si>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</si>
  <si>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</si>
  <si>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</si>
  <si>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</si>
  <si>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</si>
  <si>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</si>
  <si>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</si>
  <si>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</si>
  <si>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</si>
  <si>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</si>
  <si>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</si>
  <si>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</si>
  <si>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</si>
  <si>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</si>
  <si>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</si>
  <si>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</si>
  <si>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</si>
  <si>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</si>
  <si>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</si>
  <si>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</si>
  <si>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</si>
  <si>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</si>
  <si>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</si>
  <si>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</si>
  <si>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</si>
  <si>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</si>
  <si>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</si>
  <si>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</si>
  <si>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</si>
  <si>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</si>
  <si>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</si>
  <si>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</si>
  <si>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</si>
  <si>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</si>
  <si>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</si>
  <si>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</si>
  <si>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</si>
  <si>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</si>
  <si>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</si>
  <si>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</si>
  <si>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</si>
  <si>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</si>
  <si>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</si>
  <si>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</si>
  <si>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</si>
  <si>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</si>
  <si>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</si>
  <si>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</si>
  <si>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</si>
  <si>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</si>
  <si>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</si>
  <si>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</si>
  <si>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</si>
  <si>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</si>
  <si>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</si>
  <si>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</si>
  <si>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</si>
  <si>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</si>
  <si>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</si>
  <si>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</si>
  <si>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</si>
  <si>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</si>
  <si>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</si>
  <si>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</si>
  <si>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</si>
  <si>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</si>
  <si>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</si>
  <si>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</si>
  <si>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</si>
  <si>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</si>
  <si>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</si>
  <si>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</si>
  <si>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</si>
  <si>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</si>
  <si>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</si>
  <si>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</si>
  <si>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</si>
  <si>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</si>
  <si>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</si>
  <si>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</si>
  <si>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</si>
  <si>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</si>
  <si>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</si>
  <si>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</si>
  <si>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</si>
  <si>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</si>
  <si>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</si>
  <si>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</si>
  <si>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</si>
  <si>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</si>
  <si>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</si>
  <si>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</si>
  <si>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</si>
  <si>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</si>
  <si>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</si>
  <si>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</si>
  <si>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</si>
  <si>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</si>
  <si>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</si>
  <si>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</si>
  <si>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</si>
  <si>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</si>
  <si>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</si>
  <si>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</si>
  <si>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</si>
  <si>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</si>
  <si>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</si>
  <si>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</si>
  <si>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</si>
  <si>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</si>
  <si>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</si>
  <si>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</si>
  <si>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</si>
  <si>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</si>
  <si>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</si>
  <si>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</si>
  <si>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</si>
  <si>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</si>
  <si>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</si>
  <si>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</si>
  <si>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</si>
  <si>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</si>
  <si>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</si>
  <si>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</si>
  <si>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</si>
  <si>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</si>
  <si>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</si>
  <si>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</si>
  <si>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</si>
  <si>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</si>
  <si>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</si>
  <si>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</si>
  <si>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</si>
  <si>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</si>
  <si>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</si>
  <si>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</si>
  <si>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</si>
  <si>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</si>
  <si>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</si>
  <si>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</si>
  <si>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</si>
  <si>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</si>
  <si>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</si>
  <si>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</si>
  <si>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</si>
  <si>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</si>
  <si>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</si>
  <si>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</si>
  <si>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</si>
  <si>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</si>
  <si>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</si>
  <si>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</si>
  <si>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</si>
  <si>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</si>
  <si>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</si>
  <si>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</si>
  <si>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</si>
  <si>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</si>
  <si>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</si>
  <si>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</si>
  <si>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</si>
  <si>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</si>
  <si>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</si>
  <si>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</si>
  <si>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</si>
  <si>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</si>
  <si>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</si>
  <si>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</si>
  <si>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</si>
  <si>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</si>
  <si>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</si>
  <si>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</si>
  <si>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</si>
  <si>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</si>
  <si>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</si>
  <si>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</si>
  <si>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</si>
  <si>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</si>
  <si>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</si>
  <si>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</si>
  <si>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</si>
  <si>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</si>
  <si>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</si>
  <si>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</si>
  <si>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</si>
  <si>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</si>
  <si>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</si>
  <si>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</si>
  <si>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</si>
  <si>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</si>
  <si>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</si>
  <si>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</si>
  <si>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</si>
  <si>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</si>
  <si>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</si>
  <si>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</si>
  <si>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</si>
  <si>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</si>
  <si>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</si>
  <si>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</si>
  <si>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</si>
  <si>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</si>
  <si>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</si>
  <si>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</si>
  <si>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</si>
  <si>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</si>
  <si>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</si>
  <si>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</si>
  <si>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</si>
  <si>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</si>
  <si>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</si>
  <si>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</si>
  <si>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</si>
  <si>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</si>
  <si>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</si>
  <si>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</si>
  <si>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</si>
  <si>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</si>
  <si>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</si>
  <si>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</si>
  <si>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</si>
  <si>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</si>
  <si>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</si>
  <si>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</si>
  <si>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</si>
  <si>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</si>
  <si>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</si>
  <si>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</si>
  <si>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</si>
  <si>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</si>
  <si>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</si>
  <si>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</si>
  <si>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</si>
  <si>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</si>
  <si>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</si>
  <si>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</si>
  <si>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</si>
  <si>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</si>
  <si>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</si>
  <si>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</si>
  <si>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</si>
  <si>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</si>
  <si>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</si>
  <si>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</si>
  <si>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</si>
  <si>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</si>
  <si>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</si>
  <si>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</si>
  <si>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</si>
  <si>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</si>
  <si>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</si>
  <si>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</si>
  <si>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</si>
  <si>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</si>
  <si>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</si>
  <si>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</si>
  <si>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</si>
  <si>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</si>
  <si>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</si>
  <si>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</si>
  <si>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</si>
  <si>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</si>
  <si>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</si>
  <si>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</si>
  <si>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</si>
  <si>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</si>
  <si>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</si>
  <si>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</si>
  <si>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</si>
  <si>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</si>
  <si>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</si>
  <si>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</si>
  <si>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</si>
  <si>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</si>
  <si>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</si>
  <si>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</si>
  <si>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</si>
  <si>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</si>
  <si>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</si>
  <si>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</si>
  <si>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</si>
  <si>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</si>
  <si>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</si>
  <si>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</si>
  <si>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</si>
  <si>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</si>
  <si>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</si>
  <si>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</si>
  <si>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</si>
  <si>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</si>
  <si>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</si>
  <si>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</si>
  <si>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</si>
  <si>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</si>
  <si>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</si>
  <si>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</si>
  <si>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</si>
  <si>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</si>
  <si>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</si>
  <si>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</si>
  <si>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</si>
  <si>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</si>
  <si>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</si>
  <si>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</si>
  <si>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</si>
  <si>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</si>
  <si>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</si>
  <si>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</si>
  <si>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</si>
  <si>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</si>
  <si>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</si>
  <si>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</si>
  <si>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</si>
  <si>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</si>
  <si>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</si>
  <si>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</si>
  <si>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</si>
  <si>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</si>
  <si>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</si>
  <si>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</si>
  <si>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</si>
  <si>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</si>
  <si>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</si>
  <si>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</si>
  <si>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</si>
  <si>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</si>
  <si>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</si>
  <si>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</si>
  <si>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</si>
  <si>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</si>
  <si>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</si>
  <si>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</si>
  <si>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</si>
  <si>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</si>
  <si>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</si>
  <si>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</si>
  <si>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</si>
  <si>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</si>
  <si>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</si>
  <si>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</si>
  <si>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</si>
  <si>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</si>
  <si>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</si>
  <si>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</si>
  <si>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</si>
  <si>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</si>
  <si>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</si>
  <si>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</si>
  <si>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</si>
  <si>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</si>
  <si>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</si>
  <si>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</si>
  <si>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</si>
  <si>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</si>
  <si>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</si>
  <si>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</si>
  <si>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</si>
  <si>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</si>
  <si>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</si>
  <si>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</si>
  <si>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</si>
  <si>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</si>
  <si>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</si>
  <si>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</si>
  <si>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</si>
  <si>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</si>
  <si>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</si>
  <si>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</si>
  <si>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</si>
  <si>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</si>
  <si>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</si>
  <si>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</si>
  <si>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</si>
  <si>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</si>
  <si>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</si>
  <si>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</si>
  <si>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</si>
  <si>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</si>
  <si>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</si>
  <si>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</si>
  <si>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</si>
  <si>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</si>
  <si>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</si>
  <si>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</si>
  <si>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</si>
  <si>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</si>
  <si>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</si>
  <si>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</si>
  <si>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</si>
  <si>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</si>
  <si>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</si>
  <si>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</si>
  <si>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</si>
  <si>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</si>
  <si>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</si>
  <si>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</si>
  <si>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</si>
  <si>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</si>
  <si>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</si>
  <si>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</si>
  <si>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</si>
  <si>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</si>
  <si>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</si>
  <si>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</si>
  <si>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</si>
  <si>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</si>
  <si>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</si>
  <si>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</si>
  <si>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</si>
  <si>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</si>
  <si>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</si>
  <si>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</si>
  <si>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</si>
  <si>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</si>
  <si>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</si>
  <si>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</si>
  <si>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</si>
  <si>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</si>
  <si>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</si>
  <si>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</si>
  <si>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</si>
  <si>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</si>
  <si>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</si>
  <si>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</si>
  <si>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</si>
  <si>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</si>
  <si>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</si>
  <si>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</si>
  <si>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</si>
  <si>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</si>
  <si>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</si>
  <si>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</si>
  <si>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</si>
  <si>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</si>
  <si>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</si>
  <si>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</si>
  <si>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</si>
  <si>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</si>
  <si>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</si>
  <si>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</si>
  <si>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</si>
  <si>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</si>
  <si>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</si>
  <si>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</si>
  <si>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</si>
  <si>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</si>
  <si>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</si>
  <si>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</si>
  <si>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</si>
  <si>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</si>
  <si>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</si>
  <si>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</si>
  <si>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</si>
  <si>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</si>
  <si>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</si>
  <si>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</si>
  <si>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</si>
  <si>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</si>
  <si>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</si>
  <si>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</si>
  <si>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</si>
  <si>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</si>
  <si>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</si>
  <si>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</si>
  <si>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</si>
  <si>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</si>
  <si>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</si>
  <si>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</si>
  <si>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</si>
  <si>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</si>
  <si>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</si>
  <si>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</si>
  <si>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</si>
  <si>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</si>
  <si>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</si>
  <si>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</si>
  <si>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</si>
  <si>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</si>
  <si>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</si>
  <si>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</si>
  <si>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</si>
  <si>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</si>
  <si>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</si>
  <si>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</si>
  <si>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</si>
  <si>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</si>
  <si>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</si>
  <si>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</si>
  <si>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</si>
  <si>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</si>
  <si>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</si>
  <si>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</si>
  <si>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</si>
  <si>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</si>
  <si>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</si>
  <si>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</si>
  <si>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</si>
  <si>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</si>
  <si>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</si>
  <si>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</si>
  <si>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</si>
  <si>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</si>
  <si>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</si>
  <si>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</si>
  <si>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</si>
  <si>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</si>
  <si>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</si>
  <si>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</si>
  <si>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</si>
  <si>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</si>
  <si>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</si>
  <si>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</si>
  <si>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</si>
  <si>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</si>
  <si>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</si>
  <si>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</si>
  <si>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</si>
  <si>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</si>
  <si>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</si>
  <si>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</si>
  <si>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</si>
  <si>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</si>
  <si>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</si>
  <si>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</si>
  <si>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</si>
  <si>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</si>
  <si>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</si>
  <si>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</si>
  <si>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</si>
  <si>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</si>
  <si>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</si>
  <si>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</si>
  <si>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</si>
  <si>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</si>
  <si>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</si>
  <si>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</si>
  <si>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</si>
  <si>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</si>
  <si>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</si>
  <si>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</si>
  <si>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</si>
  <si>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</si>
  <si>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</si>
  <si>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</si>
  <si>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</si>
  <si>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</si>
  <si>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</si>
  <si>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</si>
  <si>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</si>
  <si>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</si>
  <si>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</si>
  <si>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</si>
  <si>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</si>
  <si>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</si>
  <si>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</si>
  <si>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</si>
  <si>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</si>
  <si>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</si>
  <si>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</si>
  <si>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</si>
  <si>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</si>
  <si>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</si>
  <si>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</si>
  <si>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</si>
  <si>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</si>
  <si>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</si>
  <si>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</si>
  <si>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</si>
  <si>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</si>
  <si>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</si>
  <si>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</si>
  <si>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</si>
  <si>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</si>
  <si>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</si>
  <si>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</si>
  <si>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</si>
  <si>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</si>
  <si>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</si>
  <si>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</si>
  <si>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</si>
  <si>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</si>
  <si>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</si>
  <si>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</si>
  <si>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</si>
  <si>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</si>
  <si>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</si>
  <si>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</si>
  <si>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</si>
  <si>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</si>
  <si>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</si>
  <si>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</si>
  <si>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</si>
  <si>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</si>
  <si>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</si>
  <si>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</si>
  <si>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</si>
  <si>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</si>
  <si>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</si>
  <si>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</si>
  <si>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</si>
  <si>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</si>
  <si>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</si>
  <si>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</si>
  <si>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</si>
  <si>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</si>
  <si>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</si>
  <si>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</si>
  <si>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</si>
  <si>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</si>
  <si>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</si>
  <si>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</si>
  <si>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</si>
  <si>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</si>
  <si>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</si>
  <si>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</si>
  <si>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</si>
  <si>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</si>
  <si>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</si>
  <si>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</si>
  <si>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</si>
  <si>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</si>
  <si>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</si>
  <si>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</si>
  <si>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</si>
  <si>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</si>
  <si>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</si>
  <si>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</si>
  <si>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</si>
  <si>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</si>
  <si>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</si>
  <si>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</si>
  <si>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</si>
  <si>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</si>
  <si>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</si>
  <si>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</si>
  <si>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</si>
  <si>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</si>
  <si>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</si>
  <si>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</si>
  <si>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</si>
  <si>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</si>
  <si>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</si>
  <si>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</si>
  <si>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</si>
  <si>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</si>
  <si>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</si>
  <si>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</si>
  <si>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</si>
  <si>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</si>
  <si>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</si>
  <si>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</si>
  <si>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</si>
  <si>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</si>
  <si>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</si>
  <si>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</si>
  <si>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</si>
  <si>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</si>
  <si>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</si>
  <si>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</si>
  <si>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</si>
  <si>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</si>
  <si>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</si>
  <si>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</si>
  <si>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</si>
  <si>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</si>
  <si>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</si>
  <si>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</si>
  <si>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</si>
  <si>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</si>
  <si>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</si>
  <si>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</si>
  <si>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</si>
  <si>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</si>
  <si>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</si>
  <si>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</si>
  <si>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</si>
  <si>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</si>
  <si>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</si>
  <si>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</si>
  <si>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</si>
  <si>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</si>
  <si>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</si>
  <si>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</si>
  <si>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</si>
  <si>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</si>
  <si>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</si>
  <si>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</si>
  <si>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</si>
  <si>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</si>
  <si>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</si>
  <si>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</si>
  <si>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</si>
  <si>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</si>
  <si>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</si>
  <si>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</si>
  <si>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</si>
  <si>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</si>
  <si>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</si>
  <si>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</si>
  <si>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</si>
  <si>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</si>
  <si>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</si>
  <si>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</si>
  <si>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</si>
  <si>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</si>
  <si>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</si>
  <si>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</si>
  <si>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</si>
  <si>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</si>
  <si>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</si>
  <si>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</si>
  <si>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</si>
  <si>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</si>
  <si>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</si>
  <si>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</si>
  <si>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</si>
  <si>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</si>
  <si>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</si>
  <si>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</si>
  <si>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</si>
  <si>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</si>
  <si>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</si>
  <si>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</si>
  <si>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</si>
  <si>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</si>
  <si>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</si>
  <si>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</si>
  <si>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</si>
  <si>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</si>
  <si>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</si>
  <si>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</si>
  <si>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</si>
  <si>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</si>
  <si>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</si>
  <si>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</si>
  <si>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</si>
  <si>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</si>
  <si>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</si>
  <si>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</si>
  <si>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</si>
  <si>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</si>
  <si>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</si>
  <si>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</si>
  <si>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</si>
  <si>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</si>
  <si>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</si>
  <si>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</si>
  <si>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</si>
  <si>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</si>
  <si>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</si>
  <si>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</si>
  <si>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</si>
  <si>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</si>
  <si>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</si>
  <si>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</si>
  <si>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</si>
  <si>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</si>
  <si>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</si>
  <si>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</si>
  <si>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</si>
  <si>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</si>
  <si>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</si>
  <si>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</si>
  <si>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</si>
  <si>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</si>
  <si>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</si>
  <si>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</si>
  <si>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</si>
  <si>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</si>
  <si>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</si>
  <si>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</si>
  <si>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</si>
  <si>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</si>
  <si>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</si>
  <si>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</si>
  <si>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</si>
  <si>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</si>
  <si>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</si>
  <si>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</si>
  <si>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</si>
  <si>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</si>
  <si>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</si>
  <si>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</si>
  <si>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</si>
  <si>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</si>
  <si>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</si>
  <si>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</si>
  <si>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</si>
  <si>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</si>
  <si>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</si>
  <si>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</si>
  <si>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</si>
  <si>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</si>
  <si>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</si>
  <si>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</si>
  <si>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</si>
  <si>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</si>
  <si>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</si>
  <si>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</si>
  <si>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</si>
  <si>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</si>
  <si>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</si>
  <si>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</si>
  <si>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</si>
  <si>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</si>
  <si>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</si>
  <si>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</si>
  <si>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</si>
  <si>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</si>
  <si>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</si>
  <si>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</si>
  <si>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</si>
  <si>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</si>
  <si>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</si>
  <si>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</si>
  <si>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</si>
  <si>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</si>
  <si>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</si>
  <si>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</si>
  <si>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</si>
  <si>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</si>
  <si>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</si>
  <si>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</si>
  <si>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</si>
  <si>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</si>
  <si>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</si>
  <si>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</si>
  <si>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</si>
  <si>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</si>
  <si>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</si>
  <si>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</si>
  <si>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</si>
  <si>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</si>
  <si>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</si>
  <si>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</si>
  <si>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</si>
  <si>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</si>
  <si>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</si>
  <si>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</si>
  <si>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</si>
  <si>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</si>
  <si>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</si>
  <si>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</si>
  <si>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</si>
  <si>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</si>
  <si>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</si>
  <si>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</si>
  <si>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</si>
  <si>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</si>
  <si>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</si>
  <si>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</si>
  <si>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</si>
  <si>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</si>
  <si>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</si>
  <si>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</si>
  <si>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</si>
  <si>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</si>
  <si>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</si>
  <si>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</si>
  <si>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</si>
  <si>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</si>
  <si>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</si>
  <si>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</si>
  <si>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</si>
  <si>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</si>
  <si>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</si>
  <si>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</si>
  <si>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</si>
  <si>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</si>
  <si>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</si>
  <si>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</si>
  <si>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</si>
  <si>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</si>
  <si>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</si>
  <si>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</si>
  <si>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</si>
  <si>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</si>
  <si>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</si>
  <si>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</si>
  <si>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</si>
  <si>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</si>
  <si>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</si>
  <si>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</si>
  <si>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</si>
  <si>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</si>
  <si>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</si>
  <si>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</si>
  <si>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</si>
  <si>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</si>
  <si>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</si>
  <si>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</si>
  <si>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</si>
  <si>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</si>
  <si>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</si>
  <si>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</si>
  <si>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</si>
  <si>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</si>
  <si>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</si>
  <si>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</si>
  <si>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</si>
  <si>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</si>
  <si>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</si>
  <si>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</si>
  <si>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</si>
  <si>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</si>
  <si>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</si>
  <si>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</si>
  <si>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</si>
  <si>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</si>
  <si>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</si>
  <si>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</si>
  <si>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</si>
  <si>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</si>
  <si>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</si>
  <si>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</si>
  <si>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</si>
  <si>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</si>
  <si>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</si>
  <si>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</si>
  <si>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</si>
  <si>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</si>
  <si>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</si>
  <si>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</si>
  <si>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</si>
  <si>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</si>
  <si>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</si>
  <si>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</si>
  <si>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</si>
  <si>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</si>
  <si>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</si>
  <si>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</si>
  <si>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</si>
  <si>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</si>
  <si>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</si>
  <si>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</si>
  <si>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</si>
  <si>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</si>
  <si>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</si>
  <si>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</si>
  <si>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</si>
  <si>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</si>
  <si>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</si>
  <si>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</si>
  <si>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</si>
  <si>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</si>
  <si>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</si>
  <si>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</si>
  <si>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</si>
  <si>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</si>
  <si>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</si>
  <si>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</si>
  <si>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</si>
  <si>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</si>
  <si>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</si>
  <si>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</si>
  <si>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</si>
  <si>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</si>
  <si>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</si>
  <si>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</si>
  <si>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</si>
  <si>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</si>
  <si>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</si>
  <si>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</si>
  <si>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</si>
  <si>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</si>
  <si>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</si>
  <si>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</si>
  <si>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</si>
  <si>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</si>
  <si>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</si>
  <si>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</si>
  <si>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</si>
  <si>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</si>
  <si>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</si>
  <si>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</si>
  <si>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</si>
  <si>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出让</t>
  </si>
  <si>
    <t>上海市浦东新区惠南镇</t>
    <phoneticPr fontId="3" type="noConversion"/>
  </si>
  <si>
    <t>惠南颐景园</t>
    <phoneticPr fontId="6" type="noConversion"/>
  </si>
  <si>
    <t>企业</t>
  </si>
  <si>
    <t>上海三花颐景置业有限公司</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</si>
  <si>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</si>
  <si>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沪（</t>
    </r>
    <r>
      <rPr>
        <sz val="12"/>
        <color theme="9" tint="-0.249977111117893"/>
        <rFont val="Arial"/>
        <family val="2"/>
      </rPr>
      <t>2017</t>
    </r>
    <r>
      <rPr>
        <sz val="12"/>
        <color theme="9" tint="-0.249977111117893"/>
        <rFont val="宋体"/>
        <family val="3"/>
        <charset val="134"/>
      </rPr>
      <t>）浦字不动产权第</t>
    </r>
    <r>
      <rPr>
        <sz val="12"/>
        <color theme="9" tint="-0.249977111117893"/>
        <rFont val="Arial"/>
        <family val="2"/>
      </rPr>
      <t>035776</t>
    </r>
    <r>
      <rPr>
        <sz val="12"/>
        <color theme="9" tint="-0.249977111117893"/>
        <rFont val="宋体"/>
        <family val="3"/>
        <charset val="134"/>
      </rPr>
      <t>号，沪（</t>
    </r>
    <r>
      <rPr>
        <sz val="12"/>
        <color theme="9" tint="-0.249977111117893"/>
        <rFont val="Arial"/>
        <family val="2"/>
      </rPr>
      <t>2018</t>
    </r>
    <r>
      <rPr>
        <sz val="12"/>
        <color theme="9" tint="-0.249977111117893"/>
        <rFont val="宋体"/>
        <family val="3"/>
        <charset val="134"/>
      </rPr>
      <t>）浦字不动产权第</t>
    </r>
    <r>
      <rPr>
        <sz val="12"/>
        <color theme="9" tint="-0.249977111117893"/>
        <rFont val="Arial"/>
        <family val="2"/>
      </rPr>
      <t>012244</t>
    </r>
    <r>
      <rPr>
        <sz val="12"/>
        <color theme="9" tint="-0.249977111117893"/>
        <rFont val="宋体"/>
        <family val="3"/>
        <charset val="134"/>
      </rPr>
      <t>、</t>
    </r>
    <r>
      <rPr>
        <sz val="12"/>
        <color theme="9" tint="-0.249977111117893"/>
        <rFont val="Arial"/>
        <family val="2"/>
      </rPr>
      <t>054534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</si>
  <si>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</si>
  <si>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</si>
  <si>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复印件</t>
  </si>
  <si>
    <t>2018-1-0883</t>
    <phoneticPr fontId="6" type="noConversion"/>
  </si>
  <si>
    <t>上海三盛房地产（集团）有限责任公司</t>
    <phoneticPr fontId="6" type="noConversion"/>
  </si>
  <si>
    <t>房地产抵押价值</t>
  </si>
  <si>
    <t>抵押</t>
  </si>
  <si>
    <t>商业</t>
    <phoneticPr fontId="6" type="noConversion"/>
  </si>
  <si>
    <r>
      <rPr>
        <sz val="12"/>
        <color theme="9" tint="-0.249977111117893"/>
        <rFont val="宋体"/>
        <family val="3"/>
        <charset val="134"/>
      </rPr>
      <t>商业</t>
    </r>
    <r>
      <rPr>
        <sz val="12"/>
        <color theme="9" tint="-0.249977111117893"/>
        <rFont val="Arial"/>
        <family val="2"/>
      </rPr>
      <t>35.01</t>
    </r>
    <r>
      <rPr>
        <sz val="12"/>
        <color theme="9" tint="-0.249977111117893"/>
        <rFont val="宋体"/>
        <family val="3"/>
        <charset val="134"/>
      </rPr>
      <t>年</t>
    </r>
    <phoneticPr fontId="6" type="noConversion"/>
  </si>
  <si>
    <t>惠南商业明细</t>
  </si>
  <si>
    <t>地址</t>
  </si>
  <si>
    <t>预测面积</t>
  </si>
  <si>
    <t>实测面积</t>
  </si>
  <si>
    <t>备案价</t>
  </si>
  <si>
    <t>单价</t>
    <phoneticPr fontId="257" type="noConversion"/>
  </si>
  <si>
    <t>三期</t>
  </si>
  <si>
    <r>
      <rPr>
        <sz val="9"/>
        <rFont val="宋体"/>
        <family val="3"/>
        <charset val="134"/>
      </rPr>
      <t>听锦路4</t>
    </r>
    <r>
      <rPr>
        <sz val="9"/>
        <rFont val="宋体"/>
        <family val="3"/>
        <charset val="134"/>
      </rPr>
      <t>5.49.53-55（号）单</t>
    </r>
  </si>
  <si>
    <r>
      <rPr>
        <sz val="9"/>
        <rFont val="宋体"/>
        <family val="3"/>
        <charset val="134"/>
      </rPr>
      <t>听民路8</t>
    </r>
    <r>
      <rPr>
        <sz val="9"/>
        <rFont val="宋体"/>
        <family val="3"/>
        <charset val="134"/>
      </rPr>
      <t>43-851号（单），听锦路21-27号（单）</t>
    </r>
  </si>
  <si>
    <r>
      <rPr>
        <sz val="9"/>
        <rFont val="宋体"/>
        <family val="3"/>
        <charset val="134"/>
      </rPr>
      <t>拱泰路4</t>
    </r>
    <r>
      <rPr>
        <sz val="9"/>
        <rFont val="宋体"/>
        <family val="3"/>
        <charset val="134"/>
      </rPr>
      <t>2-50（号）双</t>
    </r>
  </si>
  <si>
    <r>
      <rPr>
        <sz val="9"/>
        <rFont val="宋体"/>
        <family val="3"/>
        <charset val="134"/>
      </rPr>
      <t>拱泰路6</t>
    </r>
    <r>
      <rPr>
        <sz val="9"/>
        <rFont val="宋体"/>
        <family val="3"/>
        <charset val="134"/>
      </rPr>
      <t>0.64-68号（双）、听晓路800-808号（双）</t>
    </r>
  </si>
  <si>
    <r>
      <rPr>
        <sz val="9"/>
        <rFont val="宋体"/>
        <family val="3"/>
        <charset val="134"/>
      </rPr>
      <t>拱泰路2</t>
    </r>
    <r>
      <rPr>
        <sz val="9"/>
        <rFont val="宋体"/>
        <family val="3"/>
        <charset val="134"/>
      </rPr>
      <t>0.22号</t>
    </r>
  </si>
  <si>
    <r>
      <rPr>
        <sz val="9"/>
        <rFont val="宋体"/>
        <family val="3"/>
        <charset val="134"/>
      </rPr>
      <t>听锦路6</t>
    </r>
    <r>
      <rPr>
        <sz val="9"/>
        <rFont val="宋体"/>
        <family val="3"/>
        <charset val="134"/>
      </rPr>
      <t>7号，听晓路816-820.826.836号（双）</t>
    </r>
  </si>
  <si>
    <t>二期</t>
  </si>
  <si>
    <t>听民路909-921.925单号</t>
  </si>
  <si>
    <t>听锦路46-52号（双)</t>
  </si>
  <si>
    <t>听惠路921-925.929号（单）</t>
  </si>
  <si>
    <t>听锦路64.66.70.72.76号</t>
  </si>
  <si>
    <t>听锦路24-28号（双）</t>
  </si>
  <si>
    <t>听惠路945.945-953号（单）</t>
  </si>
  <si>
    <t>一期</t>
  </si>
  <si>
    <t>听晓路690-694.698-704号（双）</t>
  </si>
  <si>
    <t>拱泰路39-47号（单）</t>
  </si>
  <si>
    <t>拱泰路1.5.9.77号</t>
  </si>
  <si>
    <t>听晓路662.666号</t>
  </si>
  <si>
    <t>听晓路712.716.718.722-728（双）号</t>
  </si>
  <si>
    <t>听晓路746号，拱泰路63.69号</t>
  </si>
  <si>
    <t>合计：</t>
  </si>
  <si>
    <t>地上</t>
  </si>
  <si>
    <t>是</t>
  </si>
  <si>
    <t>沿街商业（基准）</t>
    <phoneticPr fontId="3" type="noConversion"/>
  </si>
  <si>
    <t xml:space="preserve">沿街商业 </t>
    <phoneticPr fontId="3" type="noConversion"/>
  </si>
  <si>
    <t>独栋商业</t>
    <phoneticPr fontId="3" type="noConversion"/>
  </si>
  <si>
    <t>成新度</t>
  </si>
  <si>
    <t>收益法</t>
  </si>
  <si>
    <t>沿街商业（基准）</t>
  </si>
  <si>
    <t>押一</t>
  </si>
  <si>
    <t>钢混</t>
  </si>
  <si>
    <t>非生产用房</t>
  </si>
  <si>
    <t>按租金收入计税</t>
  </si>
  <si>
    <r>
      <t>1</t>
    </r>
    <r>
      <rPr>
        <sz val="10"/>
        <color indexed="8"/>
        <rFont val="宋体"/>
        <family val="3"/>
        <charset val="134"/>
      </rPr>
      <t>层</t>
    </r>
    <phoneticPr fontId="25" type="noConversion"/>
  </si>
  <si>
    <t>1层</t>
  </si>
  <si>
    <t>比较法-商业</t>
  </si>
  <si>
    <t>售价</t>
  </si>
  <si>
    <t>商业类型</t>
    <phoneticPr fontId="3" type="noConversion"/>
  </si>
  <si>
    <t>独栋商业</t>
  </si>
  <si>
    <t>独栋商业</t>
    <phoneticPr fontId="25" type="noConversion"/>
  </si>
  <si>
    <t>商业街商业</t>
  </si>
  <si>
    <t>商业街商业</t>
    <phoneticPr fontId="25" type="noConversion"/>
  </si>
  <si>
    <t>配套底商</t>
    <phoneticPr fontId="25" type="noConversion"/>
  </si>
  <si>
    <r>
      <t>1-3</t>
    </r>
    <r>
      <rPr>
        <sz val="10"/>
        <color indexed="8"/>
        <rFont val="宋体"/>
        <family val="3"/>
        <charset val="134"/>
      </rPr>
      <t>层</t>
    </r>
    <phoneticPr fontId="25" type="noConversion"/>
  </si>
  <si>
    <r>
      <t>1-4</t>
    </r>
    <r>
      <rPr>
        <sz val="10"/>
        <color indexed="8"/>
        <rFont val="宋体"/>
        <family val="3"/>
        <charset val="134"/>
      </rPr>
      <t>层</t>
    </r>
    <phoneticPr fontId="25" type="noConversion"/>
  </si>
  <si>
    <r>
      <t>1-2</t>
    </r>
    <r>
      <rPr>
        <sz val="10"/>
        <color indexed="8"/>
        <rFont val="宋体"/>
        <family val="3"/>
        <charset val="134"/>
      </rPr>
      <t>层</t>
    </r>
    <phoneticPr fontId="25" type="noConversion"/>
  </si>
  <si>
    <t>1-2层</t>
  </si>
  <si>
    <t>1-4层</t>
  </si>
  <si>
    <t>三期</t>
    <phoneticPr fontId="143" type="noConversion"/>
  </si>
  <si>
    <t>二期</t>
    <phoneticPr fontId="143" type="noConversion"/>
  </si>
  <si>
    <t>一期</t>
    <phoneticPr fontId="143" type="noConversion"/>
  </si>
  <si>
    <t>总建筑面积（地上）</t>
    <phoneticPr fontId="143" type="noConversion"/>
  </si>
  <si>
    <t>宗地面积</t>
    <phoneticPr fontId="143" type="noConversion"/>
  </si>
  <si>
    <t>本次分摊土地面积</t>
    <phoneticPr fontId="143" type="noConversion"/>
  </si>
  <si>
    <t>独栋商业</t>
    <phoneticPr fontId="31" type="noConversion"/>
  </si>
  <si>
    <t>商业街商业</t>
    <phoneticPr fontId="31" type="noConversion"/>
  </si>
  <si>
    <t>住宅底商</t>
  </si>
  <si>
    <t>住宅底商</t>
    <phoneticPr fontId="31" type="noConversion"/>
  </si>
  <si>
    <r>
      <t>1</t>
    </r>
    <r>
      <rPr>
        <sz val="11"/>
        <color indexed="8"/>
        <rFont val="宋体"/>
        <family val="3"/>
        <charset val="134"/>
      </rPr>
      <t>层</t>
    </r>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</si>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</sst>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theme="1"/>
      <name val="宋体"/>
      <family val="2"/>
      <scheme val="minor"/>
    </font>
    <font>
      <b/>
      <sz val="11"/>
      <color theme="1"/>
      <name val="宋体"/>
      <family val="2"/>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99" fillId="0" borderId="0" xfId="5" applyNumberFormat="1">
      <alignment vertical="center"/>
    </xf>
    <xf numFmtId="0" fontId="99" fillId="0" borderId="1" xfId="5" applyBorder="1">
      <alignment vertical="center"/>
    </xf>
    <xf numFmtId="0" fontId="256" fillId="0" borderId="1" xfId="5" applyFont="1" applyBorder="1" applyAlignment="1">
      <alignment horizontal="center" vertical="center"/>
    </xf>
    <xf numFmtId="49" fontId="0" fillId="0" borderId="0" xfId="5" applyNumberFormat="1" applyFont="1">
      <alignment vertical="center"/>
    </xf>
    <xf numFmtId="0" fontId="3" fillId="0" borderId="1" xfId="5" applyFont="1" applyFill="1" applyBorder="1" applyAlignment="1">
      <alignment horizontal="center" vertical="center"/>
    </xf>
    <xf numFmtId="0" fontId="99" fillId="0" borderId="1" xfId="5" applyNumberFormat="1" applyBorder="1" applyAlignment="1">
      <alignment horizontal="center" vertical="center"/>
    </xf>
    <xf numFmtId="43" fontId="0" fillId="0" borderId="0" xfId="17" applyFont="1">
      <alignment vertical="center"/>
    </xf>
    <xf numFmtId="43" fontId="99" fillId="0" borderId="0" xfId="5" applyNumberFormat="1">
      <alignment vertical="center"/>
    </xf>
    <xf numFmtId="0" fontId="3" fillId="0" borderId="1" xfId="5" applyFont="1" applyFill="1" applyBorder="1" applyAlignment="1">
      <alignment horizontal="center" vertical="center" wrapText="1"/>
    </xf>
    <xf numFmtId="0" fontId="3" fillId="17" borderId="1" xfId="5" applyFont="1" applyFill="1" applyBorder="1" applyAlignment="1">
      <alignment horizontal="center" vertical="center" wrapText="1"/>
    </xf>
    <xf numFmtId="0" fontId="3" fillId="17" borderId="1" xfId="5" applyFont="1" applyFill="1" applyBorder="1" applyAlignment="1">
      <alignment horizontal="center" vertical="center"/>
    </xf>
    <xf numFmtId="0" fontId="99" fillId="17" borderId="1" xfId="5" applyNumberFormat="1" applyFill="1" applyBorder="1" applyAlignment="1">
      <alignment horizontal="center" vertical="center"/>
    </xf>
    <xf numFmtId="0" fontId="3" fillId="5" borderId="1" xfId="5" applyFont="1" applyFill="1" applyBorder="1" applyAlignment="1">
      <alignment horizontal="center" vertical="center"/>
    </xf>
    <xf numFmtId="0" fontId="100" fillId="0" borderId="1" xfId="5" applyNumberFormat="1" applyFont="1" applyBorder="1" applyAlignment="1">
      <alignment horizontal="center" vertical="center"/>
    </xf>
    <xf numFmtId="0" fontId="256" fillId="0" borderId="1" xfId="5" applyFont="1" applyBorder="1">
      <alignment vertical="center"/>
    </xf>
    <xf numFmtId="0" fontId="256" fillId="0" borderId="1" xfId="5" applyNumberFormat="1" applyFont="1" applyBorder="1">
      <alignment vertical="center"/>
    </xf>
    <xf numFmtId="0" fontId="99" fillId="0" borderId="0" xfId="5" applyAlignment="1">
      <alignment horizontal="center"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protection locked="0"/>
    </xf>
    <xf numFmtId="197" fontId="100" fillId="0" borderId="1" xfId="5" applyNumberFormat="1" applyFont="1" applyBorder="1" applyAlignment="1">
      <alignment horizontal="center" vertical="center"/>
    </xf>
    <xf numFmtId="0" fontId="99" fillId="0" borderId="1" xfId="5" applyBorder="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5" applyFont="1" applyBorder="1" applyAlignment="1">
      <alignment horizontal="right" vertical="center"/>
    </xf>
    <xf numFmtId="0" fontId="255" fillId="0" borderId="0" xfId="5" applyFont="1" applyAlignment="1">
      <alignment horizontal="center" vertical="center"/>
    </xf>
    <xf numFmtId="0" fontId="256" fillId="0" borderId="1" xfId="5" applyFont="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581025</xdr:colOff>
      <xdr:row>30</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5382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95250</xdr:rowOff>
    </xdr:from>
    <xdr:to>
      <xdr:col>16</xdr:col>
      <xdr:colOff>657225</xdr:colOff>
      <xdr:row>90</xdr:row>
      <xdr:rowOff>123825</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10800"/>
          <a:ext cx="1163002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638175</xdr:colOff>
      <xdr:row>0</xdr:row>
      <xdr:rowOff>0</xdr:rowOff>
    </xdr:from>
    <xdr:to>
      <xdr:col>28</xdr:col>
      <xdr:colOff>38100</xdr:colOff>
      <xdr:row>36</xdr:row>
      <xdr:rowOff>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10975" y="0"/>
          <a:ext cx="76295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30</xdr:row>
      <xdr:rowOff>133350</xdr:rowOff>
    </xdr:from>
    <xdr:to>
      <xdr:col>16</xdr:col>
      <xdr:colOff>628650</xdr:colOff>
      <xdr:row>61</xdr:row>
      <xdr:rowOff>85725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5276850"/>
          <a:ext cx="1158240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上海市浦东新区惠南镇惠南颐景园出让国有建设用地使用权及在建建筑物房地产抵押价值预评估</v>
      </c>
    </row>
    <row r="3" spans="1:2" s="1593" customFormat="1">
      <c r="A3" s="1591" t="s">
        <v>1217</v>
      </c>
      <c r="B3" s="1592" t="str">
        <f>'预评函-封皮'!B40</f>
        <v>上海三盛房地产（集团）有限责任公司</v>
      </c>
    </row>
    <row r="4" spans="1:2" s="1593" customFormat="1">
      <c r="A4" s="1591" t="s">
        <v>1218</v>
      </c>
      <c r="B4" s="1592" t="str">
        <f>'预评函-封皮'!B46</f>
        <v>（注册号：0)、（注册号：0)</v>
      </c>
    </row>
    <row r="5" spans="1:2" s="1587" customFormat="1" ht="15" thickBot="1">
      <c r="A5" s="1594" t="s">
        <v>1219</v>
      </c>
      <c r="B5" s="1595" t="str">
        <f>'预评函-封皮'!B49</f>
        <v>康正预评字2018-1-0883号</v>
      </c>
    </row>
    <row r="6" spans="1:2" s="1590" customFormat="1" ht="15" thickTop="1">
      <c r="A6" s="1588" t="s">
        <v>1220</v>
      </c>
      <c r="B6" s="1589" t="str">
        <f>'预评函-1'!A4</f>
        <v>受贵公司委托，我公司对上海市浦东新区惠南镇惠南颐景园出让国有建设用地使用权及在建建筑物房地产抵押价值进行了预评估。</v>
      </c>
    </row>
    <row r="7" spans="1:2" s="1593" customFormat="1">
      <c r="A7" s="1591" t="s">
        <v>1260</v>
      </c>
      <c r="B7" s="1592" t="str">
        <f>'预评函-1'!A7</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12119平方米，建筑面积为31157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12119平方米，规划建筑面积为31157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2018年11月1日（评估专业人员实地查勘之日）</v>
      </c>
    </row>
    <row r="13" spans="1:2" s="1593" customFormat="1">
      <c r="A13" s="1591" t="s">
        <v>1223</v>
      </c>
      <c r="B13" s="1592" t="str">
        <f>'预评函-1'!A18</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1090</v>
      </c>
    </row>
    <row r="21" spans="1:2" s="1593" customFormat="1">
      <c r="A21" s="1591" t="s">
        <v>1231</v>
      </c>
      <c r="B21" s="1592">
        <f ca="1">'预评函-2'!D7</f>
        <v>350</v>
      </c>
    </row>
    <row r="22" spans="1:2" s="1593" customFormat="1">
      <c r="A22" s="1591" t="s">
        <v>1232</v>
      </c>
      <c r="B22" s="1592" t="str">
        <f ca="1">'预评函-2'!D6</f>
        <v>壹仟零玖拾万元整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1090</v>
      </c>
    </row>
    <row r="31" spans="1:2" s="1593" customFormat="1">
      <c r="A31" s="1591" t="s">
        <v>1270</v>
      </c>
      <c r="B31" s="1592">
        <f ca="1">'预评函-2'!D15</f>
        <v>350</v>
      </c>
    </row>
    <row r="32" spans="1:2" s="1593" customFormat="1">
      <c r="A32" s="1591" t="s">
        <v>1237</v>
      </c>
      <c r="B32" s="1592" t="str">
        <f ca="1">'预评函-2'!D14</f>
        <v>壹仟零玖拾万元整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上海市浦东新区惠南镇惠南颐景园出让国有建设用地使用权及在建建筑物房地产</v>
      </c>
    </row>
    <row r="42" spans="1:2" s="1593" customFormat="1">
      <c r="A42" s="1591" t="s">
        <v>1284</v>
      </c>
      <c r="B42" s="1592" t="str">
        <f>'预评函-3'!B2</f>
        <v>建筑面积</v>
      </c>
    </row>
    <row r="43" spans="1:2" s="1593" customFormat="1">
      <c r="A43" s="1591" t="s">
        <v>1285</v>
      </c>
      <c r="B43" s="1592">
        <f>'预评函-3'!B4</f>
        <v>31156.999999999996</v>
      </c>
    </row>
    <row r="44" spans="1:2" s="1593" customFormat="1">
      <c r="A44" s="1591" t="s">
        <v>1269</v>
      </c>
      <c r="B44" s="1592" t="str">
        <f>'预评函-3'!C2</f>
        <v>(分摊)土地面积</v>
      </c>
    </row>
    <row r="45" spans="1:2" s="1593" customFormat="1">
      <c r="A45" s="1591" t="s">
        <v>1241</v>
      </c>
      <c r="B45" s="1592">
        <f>'预评函-3'!C4</f>
        <v>12119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惠南镇惠南颐景园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8"/>
      <c r="B54" s="2022" t="s">
        <v>861</v>
      </c>
      <c r="C54" s="2019" t="s">
        <v>1277</v>
      </c>
    </row>
    <row r="55" spans="1:4">
      <c r="A55" s="3018"/>
      <c r="B55" s="2022" t="s">
        <v>862</v>
      </c>
      <c r="C55" s="2019" t="s">
        <v>1278</v>
      </c>
    </row>
    <row r="56" spans="1:4">
      <c r="A56" s="3018"/>
      <c r="B56" s="2022" t="s">
        <v>863</v>
      </c>
      <c r="C56" s="2019" t="s">
        <v>1282</v>
      </c>
    </row>
    <row r="57" spans="1:4">
      <c r="A57" s="301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8" sqref="M1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019" t="str">
        <f>IF(B10="北京市","北京市",C10)&amp;F10&amp;IF(结果表!G1="在建","出让国有建设用地使用权及在建建筑物",IF(结果表!G1="土地","出让国有建设用地使用权",))&amp;B9&amp;"预评估"</f>
        <v>上海市浦东新区惠南镇惠南颐景园出让国有建设用地使用权及在建建筑物房地产抵押价值预评估</v>
      </c>
      <c r="C1" s="3020"/>
      <c r="D1" s="3020"/>
      <c r="E1" s="3020"/>
      <c r="F1" s="3020"/>
      <c r="G1" s="3020"/>
      <c r="H1" s="3020"/>
      <c r="I1" s="302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上海市浦东新区惠南镇惠南颐景园出让国有建设用地使用权及在建建筑物房地产抵押价值</v>
      </c>
    </row>
    <row r="2" spans="1:19" ht="18" customHeight="1">
      <c r="A2" s="2026" t="s">
        <v>1773</v>
      </c>
      <c r="B2" s="1039" t="s">
        <v>3055</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上海市浦东新区惠南镇惠南颐景园出让国有建设用地使用权及在建建筑物房地产</v>
      </c>
    </row>
    <row r="3" spans="1:19" ht="18" customHeight="1">
      <c r="A3" s="2035" t="s">
        <v>1774</v>
      </c>
      <c r="B3" s="2036">
        <v>43405</v>
      </c>
      <c r="C3" s="2037" t="s">
        <v>1775</v>
      </c>
      <c r="D3" s="2036">
        <v>43405</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946" t="s">
        <v>3056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52"/>
      <c r="C7" s="2049"/>
      <c r="D7" s="2050"/>
      <c r="E7" s="2034"/>
      <c r="F7" s="2042"/>
      <c r="G7" s="2042"/>
      <c r="H7" s="2042"/>
      <c r="I7" s="2042"/>
      <c r="J7" s="2042"/>
      <c r="K7" s="2053"/>
      <c r="L7" s="2028"/>
      <c r="M7" s="2028"/>
      <c r="N7" s="2029"/>
      <c r="O7" s="2030"/>
      <c r="P7" s="2029"/>
      <c r="Q7" s="2029"/>
      <c r="R7" s="2029"/>
    </row>
    <row r="8" spans="1:19" ht="18" customHeight="1">
      <c r="A8" s="2047" t="s">
        <v>1780</v>
      </c>
      <c r="B8" s="2054" t="s">
        <v>3058</v>
      </c>
      <c r="C8" s="2055"/>
      <c r="D8" s="3022" t="s">
        <v>1781</v>
      </c>
      <c r="E8" s="2056" t="s">
        <v>3057</v>
      </c>
      <c r="F8" s="2057"/>
      <c r="G8" s="2026"/>
      <c r="H8" s="2026"/>
      <c r="I8" s="2026"/>
      <c r="J8" s="2042"/>
      <c r="K8" s="2043"/>
      <c r="L8" s="2028"/>
      <c r="M8" s="2028"/>
      <c r="N8" s="2029"/>
      <c r="O8" s="2030"/>
      <c r="P8" s="2029"/>
      <c r="Q8" s="2029"/>
      <c r="R8" s="2029"/>
    </row>
    <row r="9" spans="1:19" ht="18" customHeight="1" thickBot="1">
      <c r="A9" s="2040" t="s">
        <v>1782</v>
      </c>
      <c r="B9" s="2058" t="s">
        <v>3057</v>
      </c>
      <c r="C9" s="2059"/>
      <c r="D9" s="3023"/>
      <c r="E9" s="2058"/>
      <c r="F9" s="2060"/>
      <c r="G9" s="2061"/>
      <c r="H9" s="2061"/>
      <c r="I9" s="2061"/>
      <c r="J9" s="2042"/>
      <c r="K9" s="2053"/>
      <c r="L9" s="2028"/>
      <c r="M9" s="2028"/>
      <c r="N9" s="2029"/>
      <c r="O9" s="2030"/>
      <c r="P9" s="2029"/>
      <c r="Q9" s="2029"/>
      <c r="R9" s="2029"/>
    </row>
    <row r="10" spans="1:19" ht="18" customHeight="1" thickTop="1">
      <c r="A10" s="2062" t="s">
        <v>1783</v>
      </c>
      <c r="B10" s="2063"/>
      <c r="C10" s="2943" t="s">
        <v>3046</v>
      </c>
      <c r="D10" s="2046"/>
      <c r="E10" s="2064" t="s">
        <v>1784</v>
      </c>
      <c r="F10" s="2944" t="s">
        <v>3047</v>
      </c>
      <c r="G10" s="2065"/>
      <c r="H10" s="2066"/>
      <c r="I10" s="2046"/>
      <c r="J10" s="2042"/>
      <c r="K10" s="2053"/>
      <c r="L10" s="2028"/>
      <c r="M10" s="2028"/>
      <c r="N10" s="2029"/>
      <c r="O10" s="2030"/>
      <c r="P10" s="2029"/>
      <c r="Q10" s="2029"/>
      <c r="R10" s="2029"/>
    </row>
    <row r="11" spans="1:19" ht="18" customHeight="1">
      <c r="A11" s="2067" t="s">
        <v>1785</v>
      </c>
      <c r="B11" s="2068" t="s">
        <v>3048</v>
      </c>
      <c r="C11" s="2945" t="s">
        <v>3049</v>
      </c>
      <c r="D11" s="2069"/>
      <c r="E11" s="2042"/>
      <c r="F11" s="2042"/>
      <c r="G11" s="2042"/>
      <c r="H11" s="2042"/>
      <c r="I11" s="2042"/>
      <c r="J11" s="2042"/>
      <c r="K11" s="2053"/>
      <c r="L11" s="2028"/>
      <c r="M11" s="2028"/>
      <c r="N11" s="2029"/>
      <c r="O11" s="2030"/>
      <c r="P11" s="2029"/>
      <c r="Q11" s="2029"/>
      <c r="R11" s="2029"/>
    </row>
    <row r="12" spans="1:19" ht="18" customHeight="1">
      <c r="A12" s="2070" t="s">
        <v>1786</v>
      </c>
      <c r="B12" s="2068" t="s">
        <v>3045</v>
      </c>
      <c r="C12" s="2071" t="s">
        <v>1787</v>
      </c>
      <c r="D12" s="2072" t="s">
        <v>1788</v>
      </c>
      <c r="E12" s="2072" t="s">
        <v>1789</v>
      </c>
      <c r="F12" s="2072" t="s">
        <v>1790</v>
      </c>
      <c r="G12" s="2072" t="s">
        <v>1791</v>
      </c>
      <c r="H12" s="2072" t="s">
        <v>1792</v>
      </c>
      <c r="I12" s="2072" t="s">
        <v>1793</v>
      </c>
      <c r="J12" s="2042"/>
      <c r="K12" s="2053"/>
      <c r="L12" s="2028"/>
      <c r="M12" s="2028"/>
      <c r="N12" s="2029"/>
      <c r="O12" s="2030"/>
      <c r="P12" s="2029"/>
      <c r="Q12" s="2029"/>
      <c r="R12" s="2029"/>
    </row>
    <row r="13" spans="1:19" ht="18" customHeight="1">
      <c r="A13" s="2073"/>
      <c r="B13" s="2074"/>
      <c r="C13" s="2075" t="s">
        <v>1794</v>
      </c>
      <c r="D13" s="2076"/>
      <c r="E13" s="2076">
        <v>56185</v>
      </c>
      <c r="F13" s="2076"/>
      <c r="G13" s="2076"/>
      <c r="H13" s="2076"/>
      <c r="I13" s="1047"/>
      <c r="J13" s="2042"/>
      <c r="K13" s="2053"/>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2"/>
      <c r="B15" s="2078"/>
      <c r="C15" s="2075" t="s">
        <v>1796</v>
      </c>
      <c r="D15" s="1049" t="str">
        <f>IF(B12="出让",IF(D13="","",ROUNDDOWN(MIN((D13-$D$3)/365,D14),2)),D14)</f>
        <v/>
      </c>
      <c r="E15" s="1049">
        <f>IF(B12="出让",IF(E13="","",ROUNDDOWN(MIN((E13-$D$3)/365,E14),2)),E14)</f>
        <v>35.01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4" t="s">
        <v>1797</v>
      </c>
      <c r="B16" s="3029" t="s">
        <v>3059</v>
      </c>
      <c r="C16" s="3030"/>
      <c r="D16" s="3031"/>
      <c r="E16" s="2082" t="s">
        <v>1798</v>
      </c>
      <c r="F16" s="3032" t="s">
        <v>3060</v>
      </c>
      <c r="G16" s="3033"/>
      <c r="H16" s="3033"/>
      <c r="I16" s="3034"/>
      <c r="J16" s="2029"/>
      <c r="K16" s="2079"/>
      <c r="L16" s="2080"/>
      <c r="M16" s="2080"/>
      <c r="N16" s="2081"/>
      <c r="O16" s="2080"/>
      <c r="P16" s="2081"/>
      <c r="Q16" s="2029"/>
      <c r="R16" s="2029"/>
    </row>
    <row r="17" spans="1:22" ht="18" customHeight="1">
      <c r="A17" s="2083" t="s">
        <v>1799</v>
      </c>
      <c r="B17" s="2035" t="s">
        <v>1800</v>
      </c>
      <c r="C17" s="1054">
        <f>'数据-汇总表'!E3</f>
        <v>31156.999999999996</v>
      </c>
      <c r="D17" s="2084" t="s">
        <v>1801</v>
      </c>
      <c r="E17" s="3035" t="s">
        <v>3051</v>
      </c>
      <c r="F17" s="3036"/>
      <c r="G17" s="3036"/>
      <c r="H17" s="3036"/>
      <c r="I17" s="3037"/>
      <c r="J17" s="2029"/>
      <c r="K17" s="2085"/>
      <c r="L17" s="2080"/>
      <c r="M17" s="2080"/>
      <c r="N17" s="2081"/>
      <c r="O17" s="2080"/>
      <c r="P17" s="2081"/>
      <c r="Q17" s="2029"/>
      <c r="R17" s="2029"/>
      <c r="S17" s="2029"/>
      <c r="T17" s="2029"/>
      <c r="U17" s="2029"/>
      <c r="V17" s="2029"/>
    </row>
    <row r="18" spans="1:22" ht="36" customHeight="1" thickBot="1">
      <c r="A18" s="2086" t="s">
        <v>3050</v>
      </c>
      <c r="B18" s="2038" t="s">
        <v>1802</v>
      </c>
      <c r="C18" s="1444">
        <f>'数据-汇总表'!D3</f>
        <v>12119</v>
      </c>
      <c r="D18" s="2087" t="s">
        <v>1801</v>
      </c>
      <c r="E18" s="3035" t="s">
        <v>3051</v>
      </c>
      <c r="F18" s="3036"/>
      <c r="G18" s="3036"/>
      <c r="H18" s="3036"/>
      <c r="I18" s="3037"/>
      <c r="J18" s="2029"/>
      <c r="K18" s="2085"/>
      <c r="L18" s="2080"/>
      <c r="M18" s="2080"/>
      <c r="N18" s="2081"/>
      <c r="O18" s="2080"/>
      <c r="P18" s="2081"/>
      <c r="Q18" s="2029"/>
      <c r="R18" s="2029"/>
      <c r="S18" s="2029"/>
      <c r="T18" s="2029"/>
      <c r="U18" s="2029"/>
      <c r="V18" s="2029"/>
    </row>
    <row r="19" spans="1:22" ht="37.5" customHeight="1" thickTop="1" thickBot="1">
      <c r="A19" s="372" t="s">
        <v>1803</v>
      </c>
      <c r="B19" s="351" t="s">
        <v>1804</v>
      </c>
      <c r="C19" s="2088" t="s">
        <v>3052</v>
      </c>
      <c r="D19" s="2089" t="s">
        <v>1805</v>
      </c>
      <c r="E19" s="2090" t="s">
        <v>3052</v>
      </c>
      <c r="F19" s="2091" t="str">
        <f>IF(AND(C19="是",E19="否"),"是否提供他项权证或相关说明","")</f>
        <v/>
      </c>
      <c r="G19" s="2092"/>
      <c r="H19" s="2042"/>
      <c r="I19" s="2042"/>
      <c r="J19" s="2042"/>
      <c r="K19" s="2053"/>
      <c r="L19" s="2028"/>
      <c r="M19" s="2028"/>
      <c r="N19" s="2081"/>
      <c r="O19" s="2080"/>
      <c r="P19" s="2081"/>
      <c r="Q19" s="2029"/>
      <c r="R19" s="2029"/>
      <c r="S19" s="2029"/>
      <c r="T19" s="2029"/>
      <c r="U19" s="2029"/>
      <c r="V19" s="2029"/>
    </row>
    <row r="20" spans="1:22" ht="18" customHeight="1">
      <c r="A20" s="2093" t="s">
        <v>1806</v>
      </c>
      <c r="B20" s="3025" t="s">
        <v>1807</v>
      </c>
      <c r="C20" s="3026"/>
      <c r="D20" s="3027" t="s">
        <v>1808</v>
      </c>
      <c r="E20" s="3028"/>
      <c r="F20" s="2094" t="s">
        <v>1809</v>
      </c>
      <c r="G20" s="2042"/>
      <c r="H20" s="2042"/>
      <c r="I20" s="2042"/>
      <c r="J20" s="2042"/>
      <c r="K20" s="3024" t="s">
        <v>1810</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1"/>
      <c r="O20" s="2080"/>
      <c r="P20" s="2081"/>
      <c r="Q20" s="2029"/>
      <c r="R20" s="2029"/>
      <c r="S20" s="2029"/>
      <c r="T20" s="2029"/>
      <c r="U20" s="2029"/>
      <c r="V20" s="2029"/>
    </row>
    <row r="21" spans="1:22" ht="24.75" customHeight="1">
      <c r="A21" s="2093"/>
      <c r="B21" s="2095" t="s">
        <v>3053</v>
      </c>
      <c r="C21" s="2096" t="s">
        <v>3054</v>
      </c>
      <c r="D21" s="2097"/>
      <c r="E21" s="2098"/>
      <c r="F21" s="2099"/>
      <c r="G21" s="2042"/>
      <c r="H21" s="2042"/>
      <c r="I21" s="2042"/>
      <c r="J21" s="2042"/>
      <c r="K21" s="302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2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1811</v>
      </c>
      <c r="B23" s="182" t="s">
        <v>1812</v>
      </c>
      <c r="C23" s="2103"/>
      <c r="D23" s="2104" t="s">
        <v>1812</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2" t="s">
        <v>1813</v>
      </c>
      <c r="C24" s="2108"/>
      <c r="D24" s="2102" t="s">
        <v>1813</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2" t="s">
        <v>1814</v>
      </c>
      <c r="C25" s="2108"/>
      <c r="D25" s="2102" t="s">
        <v>1814</v>
      </c>
      <c r="E25" s="2109"/>
      <c r="F25" s="2101"/>
      <c r="G25" s="2042"/>
      <c r="H25" s="2042"/>
      <c r="I25" s="2042"/>
      <c r="J25" s="2042"/>
      <c r="K25" s="2053"/>
      <c r="L25" s="2028"/>
      <c r="M25" s="2028"/>
      <c r="N25" s="2081"/>
      <c r="O25" s="2080"/>
      <c r="P25" s="2081"/>
      <c r="Q25" s="2029"/>
      <c r="R25" s="2029"/>
      <c r="S25" s="2029"/>
      <c r="T25" s="2029"/>
      <c r="U25" s="2029"/>
      <c r="V25" s="2029"/>
    </row>
    <row r="26" spans="1:22" ht="18" customHeight="1" thickBot="1">
      <c r="A26" s="2110"/>
      <c r="B26" s="2111" t="s">
        <v>1815</v>
      </c>
      <c r="C26" s="2112"/>
      <c r="D26" s="2113" t="s">
        <v>1816</v>
      </c>
      <c r="E26" s="2114"/>
      <c r="F26" s="2115"/>
      <c r="G26" s="2061"/>
      <c r="H26" s="2061"/>
      <c r="I26" s="2061"/>
      <c r="J26" s="2042"/>
      <c r="K26" s="2053"/>
      <c r="L26" s="2028"/>
      <c r="M26" s="2028"/>
      <c r="N26" s="2081"/>
      <c r="O26" s="2080"/>
      <c r="P26" s="2081"/>
      <c r="Q26" s="2029"/>
      <c r="R26" s="2029"/>
      <c r="S26" s="2029"/>
      <c r="T26" s="2029"/>
      <c r="U26" s="2029"/>
      <c r="V26" s="2029"/>
    </row>
    <row r="27" spans="1:22" ht="18" customHeight="1" thickTop="1">
      <c r="A27" s="3039" t="s">
        <v>1817</v>
      </c>
      <c r="B27" s="2062" t="s">
        <v>1818</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9"/>
      <c r="B28" s="2035" t="s">
        <v>1819</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39"/>
      <c r="B29" s="2035" t="s">
        <v>1820</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40"/>
      <c r="B30" s="2035" t="s">
        <v>1821</v>
      </c>
      <c r="C30" s="3041"/>
      <c r="D30" s="304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3" t="s">
        <v>1822</v>
      </c>
      <c r="B31" s="2123"/>
      <c r="C31" s="2124" t="str">
        <f>IF(B31="现房","成新及维护状况正常否",IF(B31="在建","工程状态是否正常",IF(B31="土地","是否闲置","-")))</f>
        <v>-</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44"/>
      <c r="B32" s="2123"/>
      <c r="C32" s="2124" t="str">
        <f>IF(B32="现房","成新及维护状况是否正常",IF(B32="在建","工程状态是否正常",IF(B32="土地","是否闲置","-")))</f>
        <v>-</v>
      </c>
      <c r="D32" s="2125"/>
      <c r="E32" s="2126"/>
      <c r="F32" s="2042"/>
      <c r="G32" s="2042"/>
      <c r="H32" s="2042"/>
      <c r="I32" s="2042"/>
      <c r="J32" s="2042"/>
      <c r="K32" s="2053"/>
      <c r="L32" s="2028"/>
      <c r="M32" s="2028"/>
      <c r="N32" s="2029"/>
      <c r="O32" s="2030"/>
      <c r="P32" s="2029"/>
      <c r="Q32" s="2029"/>
      <c r="R32" s="2029"/>
      <c r="S32" s="2029"/>
      <c r="T32" s="2029"/>
      <c r="U32" s="2029"/>
      <c r="V32" s="2029"/>
    </row>
    <row r="33" spans="1:22" ht="18" customHeight="1">
      <c r="A33" s="3044"/>
      <c r="B33" s="2127"/>
      <c r="C33" s="2067" t="str">
        <f>IF(B33="现房","成新及维护状况是否正常",IF(B33="在建","工程状态是否正常",IF(B33="土地","是否闲置","-")))</f>
        <v>-</v>
      </c>
      <c r="D33" s="2128"/>
      <c r="E33" s="2129"/>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1823</v>
      </c>
      <c r="B34" s="2130"/>
      <c r="C34" s="2130"/>
      <c r="D34" s="2130"/>
      <c r="E34" s="2130"/>
      <c r="F34" s="2130"/>
      <c r="G34" s="2130"/>
      <c r="H34" s="2130"/>
      <c r="I34" s="2042"/>
      <c r="J34" s="2042"/>
      <c r="K34" s="1795">
        <f>COUNTIF(B34:H34,"——")</f>
        <v>0</v>
      </c>
      <c r="L34" s="2071" t="s">
        <v>1824</v>
      </c>
      <c r="M34" s="2071" t="s">
        <v>1825</v>
      </c>
      <c r="N34" s="2071" t="s">
        <v>1826</v>
      </c>
      <c r="O34" s="2071" t="s">
        <v>1827</v>
      </c>
      <c r="P34" s="2071" t="s">
        <v>1828</v>
      </c>
      <c r="Q34" s="2071" t="s">
        <v>1829</v>
      </c>
      <c r="R34" s="2071" t="s">
        <v>1830</v>
      </c>
      <c r="S34" s="3038" t="s">
        <v>1831</v>
      </c>
      <c r="T34" s="2131" t="str">
        <f>NUMBERSTRING(7-K34,1)&amp;"通"</f>
        <v>七通</v>
      </c>
      <c r="U34" s="2029"/>
      <c r="V34" s="2029"/>
    </row>
    <row r="35" spans="1:22" ht="18" customHeight="1">
      <c r="A35" s="2132"/>
      <c r="B35" s="3045" t="s">
        <v>1832</v>
      </c>
      <c r="C35" s="3045"/>
      <c r="D35" s="3045"/>
      <c r="E35" s="3045"/>
      <c r="F35" s="2133" t="str">
        <f>C10</f>
        <v>上海市浦东新区惠南镇</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8"/>
      <c r="T35" s="48" t="str">
        <f>IF(T34="一通",L35,IF(T34="二通",M35,IF(T34="三通",N35,IF(T34="四通",O35,IF(T34="五通",P35,IF(T34="六通",Q35,R35))))))</f>
        <v>、、、、、、</v>
      </c>
      <c r="U35" s="2029"/>
      <c r="V35" s="2029"/>
    </row>
    <row r="36" spans="1:22" ht="18" customHeight="1">
      <c r="A36" s="2134"/>
      <c r="B36" s="2133" t="s">
        <v>1833</v>
      </c>
      <c r="C36" s="2133" t="s">
        <v>1834</v>
      </c>
      <c r="D36" s="2133" t="s">
        <v>1835</v>
      </c>
      <c r="E36" s="2133" t="s">
        <v>1836</v>
      </c>
      <c r="F36" s="2135"/>
      <c r="G36" s="2042"/>
      <c r="H36" s="2042"/>
      <c r="I36" s="2042"/>
      <c r="J36" s="2042"/>
      <c r="K36" s="2053"/>
      <c r="L36" s="2028"/>
      <c r="M36" s="2028"/>
      <c r="N36" s="2029"/>
      <c r="O36" s="2030"/>
      <c r="P36" s="2029"/>
      <c r="Q36" s="2029"/>
      <c r="R36" s="2029"/>
      <c r="S36" s="2029"/>
      <c r="T36" s="2029"/>
      <c r="U36" s="2029"/>
      <c r="V36" s="2029"/>
    </row>
    <row r="37" spans="1:22" ht="18" customHeight="1">
      <c r="A37" s="2136" t="s">
        <v>1837</v>
      </c>
      <c r="B37" s="2137"/>
      <c r="C37" s="2137"/>
      <c r="D37" s="2137"/>
      <c r="E37" s="2137"/>
      <c r="F37" s="2135"/>
      <c r="G37" s="2042"/>
      <c r="H37" s="2042"/>
      <c r="I37" s="2042"/>
      <c r="J37" s="2042"/>
      <c r="K37" s="2053"/>
      <c r="L37" s="2028"/>
      <c r="M37" s="2028"/>
      <c r="N37" s="2029"/>
      <c r="O37" s="2030"/>
      <c r="P37" s="2029"/>
      <c r="Q37" s="2029"/>
      <c r="R37" s="2029"/>
      <c r="S37" s="2029"/>
      <c r="T37" s="2029"/>
      <c r="U37" s="2029"/>
      <c r="V37" s="2029"/>
    </row>
    <row r="38" spans="1:22" ht="18" customHeight="1" thickBot="1">
      <c r="A38" s="2138" t="s">
        <v>1838</v>
      </c>
      <c r="B38" s="2139"/>
      <c r="C38" s="2139"/>
      <c r="D38" s="2139"/>
      <c r="E38" s="2139"/>
      <c r="F38" s="2140"/>
      <c r="G38" s="2061"/>
      <c r="H38" s="2061"/>
      <c r="I38" s="2061"/>
      <c r="J38" s="2042"/>
      <c r="K38" s="2053"/>
      <c r="L38" s="2028"/>
      <c r="M38" s="2028"/>
      <c r="N38" s="2029"/>
      <c r="O38" s="2030"/>
      <c r="P38" s="2029"/>
      <c r="Q38" s="2029"/>
      <c r="R38" s="2029"/>
      <c r="S38" s="2029"/>
      <c r="T38" s="2029"/>
      <c r="U38" s="2029"/>
      <c r="V38" s="2029"/>
    </row>
    <row r="39" spans="1:22" s="2145" customFormat="1" ht="18" customHeight="1" thickTop="1" thickBot="1">
      <c r="A39" s="2141" t="s">
        <v>1839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1840</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1841</v>
      </c>
      <c r="B42" s="1795" t="s">
        <v>1842</v>
      </c>
      <c r="C42" s="1795" t="s">
        <v>1843</v>
      </c>
      <c r="D42" s="1795" t="s">
        <v>1844</v>
      </c>
      <c r="E42" s="1795" t="s">
        <v>1845</v>
      </c>
      <c r="F42" s="1795" t="s">
        <v>1846</v>
      </c>
      <c r="G42" s="1795" t="s">
        <v>1847</v>
      </c>
      <c r="H42" s="1795" t="s">
        <v>1848</v>
      </c>
      <c r="I42" s="1795" t="s">
        <v>1849</v>
      </c>
      <c r="J42" s="2149" t="s">
        <v>1850</v>
      </c>
      <c r="K42" s="2072" t="s">
        <v>1851</v>
      </c>
      <c r="L42" s="2072" t="s">
        <v>1852</v>
      </c>
      <c r="M42" s="2072" t="s">
        <v>1853</v>
      </c>
      <c r="N42" s="1795" t="s">
        <v>1854</v>
      </c>
      <c r="O42" s="1795" t="s">
        <v>1855</v>
      </c>
      <c r="P42" s="1795" t="s">
        <v>1856</v>
      </c>
      <c r="Q42" s="2071" t="s">
        <v>1857</v>
      </c>
      <c r="R42" s="2071" t="s">
        <v>1858</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1861</v>
      </c>
      <c r="B2" s="11" t="s">
        <v>1862</v>
      </c>
      <c r="C2" s="11" t="s">
        <v>1863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1864</v>
      </c>
      <c r="AZ2" s="1270" t="s">
        <v>1865</v>
      </c>
      <c r="BA2" s="11" t="s">
        <v>1866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Sheet1!L6</f>
        <v>12119</v>
      </c>
      <c r="B3" s="14">
        <f>IF(C3="否",G5-AT5,G5)</f>
        <v>31156.999999999996</v>
      </c>
      <c r="C3" s="2165" t="s">
        <v>1867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1868</v>
      </c>
      <c r="B5" s="1803"/>
      <c r="C5" s="1803"/>
      <c r="D5" s="1806"/>
      <c r="E5" s="16" t="s">
        <v>1</v>
      </c>
      <c r="F5" s="16">
        <f>SUM(F13:F587)</f>
        <v>0</v>
      </c>
      <c r="G5" s="16">
        <f>SUM(G13:G587)</f>
        <v>31156.999999999996</v>
      </c>
      <c r="H5" s="16">
        <f t="shared" ref="H5:AT5" si="0">SUM(H13:H656)</f>
        <v>31156.999999999996</v>
      </c>
      <c r="I5" s="16">
        <f t="shared" si="0"/>
        <v>5947.1100000000006</v>
      </c>
      <c r="J5" s="16">
        <f t="shared" si="0"/>
        <v>0</v>
      </c>
      <c r="K5" s="16">
        <f t="shared" si="0"/>
        <v>25209.889999999996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1868</v>
      </c>
      <c r="AW5" s="1803"/>
      <c r="AX5" s="1803"/>
      <c r="AY5" s="17" t="s">
        <v>3</v>
      </c>
      <c r="AZ5" s="18">
        <f t="shared" ref="AZ5:BT5" si="1">SUM(AZ13:AZ656)</f>
        <v>31156.999999999996</v>
      </c>
      <c r="BA5" s="18">
        <f t="shared" si="1"/>
        <v>31156.999999999996</v>
      </c>
      <c r="BB5" s="18">
        <f t="shared" si="1"/>
        <v>5947.1100000000006</v>
      </c>
      <c r="BC5" s="18">
        <f t="shared" si="1"/>
        <v>25209.889999999996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1869</v>
      </c>
      <c r="B6" s="2171"/>
      <c r="C6" s="2171"/>
      <c r="D6" s="2172"/>
      <c r="E6" s="16">
        <f>H6+AC6+AT6</f>
        <v>12119</v>
      </c>
      <c r="F6" s="16" t="s">
        <v>1</v>
      </c>
      <c r="G6" s="16" t="s">
        <v>2</v>
      </c>
      <c r="H6" s="20">
        <f>SUMIF(I$12:AB$12,"总值",I6:AB6)</f>
        <v>12119</v>
      </c>
      <c r="I6" s="16">
        <f t="shared" ref="I6:AB6" si="2">ROUND($A$3*I5/$B$3,2)</f>
        <v>2313.2199999999998</v>
      </c>
      <c r="J6" s="16">
        <f t="shared" si="2"/>
        <v>0</v>
      </c>
      <c r="K6" s="16">
        <f t="shared" si="2"/>
        <v>9805.7800000000007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1869</v>
      </c>
      <c r="AW6" s="2171"/>
      <c r="AX6" s="2171"/>
      <c r="AY6" s="21">
        <f>IF(AY3&gt;0,AY3,ROUND($A$3*AZ5/$B$3,2))</f>
        <v>12119</v>
      </c>
      <c r="AZ6" s="16" t="s">
        <v>3</v>
      </c>
      <c r="BA6" s="16">
        <f>ROUND($AY$6*BA5/$AZ$5,2)</f>
        <v>12119</v>
      </c>
      <c r="BB6" s="16">
        <f>ROUND($AY$6*BB5/$AZ$5,2)</f>
        <v>2313.2199999999998</v>
      </c>
      <c r="BC6" s="16">
        <f t="shared" ref="BC6:BH6" si="4">ROUND($AY$6*BC5/$AZ$5,2)</f>
        <v>9805.7800000000007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1877</v>
      </c>
      <c r="AV7" s="23" t="s">
        <v>1878</v>
      </c>
      <c r="AW7" s="2163" t="s">
        <v>1879</v>
      </c>
      <c r="AX7" s="23" t="s">
        <v>1872</v>
      </c>
      <c r="AY7" s="1803"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8"/>
      <c r="K8" s="1818"/>
      <c r="L8" s="1818"/>
      <c r="M8" s="1818"/>
      <c r="N8" s="1818"/>
      <c r="O8" s="1818"/>
      <c r="P8" s="1818"/>
      <c r="Q8" s="1818"/>
      <c r="R8" s="1818"/>
      <c r="S8" s="1818"/>
      <c r="T8" s="1818"/>
      <c r="U8" s="1818"/>
      <c r="V8" s="2183"/>
      <c r="W8" s="1818"/>
      <c r="X8" s="1818"/>
      <c r="Y8" s="1818"/>
      <c r="Z8" s="1818"/>
      <c r="AA8" s="2183"/>
      <c r="AB8" s="2184"/>
      <c r="AC8" s="981" t="s">
        <v>1883</v>
      </c>
      <c r="AD8" s="2185"/>
      <c r="AE8" s="2177"/>
      <c r="AF8" s="1818"/>
      <c r="AG8" s="1818"/>
      <c r="AH8" s="1818"/>
      <c r="AI8" s="1818"/>
      <c r="AJ8" s="1818"/>
      <c r="AK8" s="1818"/>
      <c r="AL8" s="1818"/>
      <c r="AM8" s="1818"/>
      <c r="AN8" s="1818"/>
      <c r="AO8" s="1818"/>
      <c r="AP8" s="1818"/>
      <c r="AQ8" s="1818"/>
      <c r="AR8" s="1818"/>
      <c r="AS8" s="1818"/>
      <c r="AT8" s="1292" t="s">
        <v>1884</v>
      </c>
      <c r="AU8" s="2179" t="s">
        <v>1885</v>
      </c>
      <c r="AV8" s="1292"/>
      <c r="AW8" s="2162"/>
      <c r="AX8" s="1292"/>
      <c r="AY8" s="2163" t="s">
        <v>1886</v>
      </c>
      <c r="AZ8" s="1817" t="s">
        <v>1887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1888</v>
      </c>
      <c r="I9" s="2188" t="s">
        <v>3089</v>
      </c>
      <c r="J9" s="981"/>
      <c r="K9" s="2188" t="s">
        <v>3089</v>
      </c>
      <c r="L9" s="981"/>
      <c r="M9" s="2188"/>
      <c r="N9" s="981"/>
      <c r="O9" s="2188"/>
      <c r="P9" s="981"/>
      <c r="Q9" s="2188"/>
      <c r="R9" s="981"/>
      <c r="S9" s="2188"/>
      <c r="T9" s="981"/>
      <c r="U9" s="2188"/>
      <c r="V9" s="981"/>
      <c r="W9" s="2188"/>
      <c r="X9" s="2189"/>
      <c r="Y9" s="2188"/>
      <c r="Z9" s="981"/>
      <c r="AA9" s="2188"/>
      <c r="AB9" s="981"/>
      <c r="AC9" s="2180" t="s">
        <v>1888</v>
      </c>
      <c r="AD9" s="15" t="s">
        <v>1889</v>
      </c>
      <c r="AE9" s="1298"/>
      <c r="AF9" s="15" t="s">
        <v>1890</v>
      </c>
      <c r="AG9" s="1298"/>
      <c r="AH9" s="15" t="s">
        <v>1889</v>
      </c>
      <c r="AI9" s="1298"/>
      <c r="AJ9" s="15" t="s">
        <v>1890</v>
      </c>
      <c r="AK9" s="1298"/>
      <c r="AL9" s="15" t="s">
        <v>1889</v>
      </c>
      <c r="AM9" s="1298"/>
      <c r="AN9" s="15" t="s">
        <v>1890</v>
      </c>
      <c r="AO9" s="1298"/>
      <c r="AP9" s="15" t="s">
        <v>1889</v>
      </c>
      <c r="AQ9" s="1298"/>
      <c r="AR9" s="15" t="s">
        <v>1890</v>
      </c>
      <c r="AS9" s="2190"/>
      <c r="AT9" s="2179"/>
      <c r="AU9" s="2179" t="s">
        <v>1891</v>
      </c>
      <c r="AV9" s="1292"/>
      <c r="AW9" s="2162"/>
      <c r="AX9" s="1292"/>
      <c r="AY9" s="28"/>
      <c r="AZ9" s="28" t="s">
        <v>1881</v>
      </c>
      <c r="BA9" s="2191" t="s">
        <v>1892</v>
      </c>
      <c r="BB9" s="2192"/>
      <c r="BC9" s="1338"/>
      <c r="BD9" s="1338"/>
      <c r="BE9" s="1338"/>
      <c r="BF9" s="1338"/>
      <c r="BG9" s="1338"/>
      <c r="BH9" s="1338"/>
      <c r="BI9" s="1338"/>
      <c r="BJ9" s="1338"/>
      <c r="BK9" s="2193"/>
      <c r="BL9" s="15" t="s">
        <v>1893</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t="s">
        <v>1373</v>
      </c>
      <c r="L10" s="981"/>
      <c r="M10" s="2194"/>
      <c r="N10" s="981"/>
      <c r="O10" s="2194"/>
      <c r="P10" s="981"/>
      <c r="Q10" s="2194"/>
      <c r="R10" s="981"/>
      <c r="S10" s="2194"/>
      <c r="T10" s="981"/>
      <c r="U10" s="2194"/>
      <c r="V10" s="981"/>
      <c r="W10" s="2194"/>
      <c r="X10" s="981"/>
      <c r="Y10" s="2194"/>
      <c r="Z10" s="981"/>
      <c r="AA10" s="2194"/>
      <c r="AB10" s="981"/>
      <c r="AC10" s="1292"/>
      <c r="AD10" s="15" t="s">
        <v>1894</v>
      </c>
      <c r="AE10" s="2195"/>
      <c r="AF10" s="15" t="s">
        <v>1894</v>
      </c>
      <c r="AG10" s="2195"/>
      <c r="AH10" s="15" t="s">
        <v>1895</v>
      </c>
      <c r="AI10" s="2195"/>
      <c r="AJ10" s="15" t="s">
        <v>1895</v>
      </c>
      <c r="AK10" s="2195"/>
      <c r="AL10" s="15" t="s">
        <v>1896</v>
      </c>
      <c r="AM10" s="1298"/>
      <c r="AN10" s="15" t="s">
        <v>1896</v>
      </c>
      <c r="AO10" s="1298"/>
      <c r="AP10" s="15" t="s">
        <v>1897</v>
      </c>
      <c r="AQ10" s="1298"/>
      <c r="AR10" s="15" t="s">
        <v>1897</v>
      </c>
      <c r="AS10" s="1298"/>
      <c r="AT10" s="2179"/>
      <c r="AU10" s="2179"/>
      <c r="AV10" s="1292"/>
      <c r="AW10" s="2162"/>
      <c r="AX10" s="1292"/>
      <c r="AY10" s="28"/>
      <c r="AZ10" s="28"/>
      <c r="BA10" s="2196" t="s">
        <v>1888</v>
      </c>
      <c r="BB10" s="2197" t="str">
        <f>I9</f>
        <v>地上</v>
      </c>
      <c r="BC10" s="29" t="str">
        <f>K9</f>
        <v>地上</v>
      </c>
      <c r="BD10" s="29">
        <f>M9</f>
        <v>0</v>
      </c>
      <c r="BE10" s="29">
        <f>O9</f>
        <v>0</v>
      </c>
      <c r="BF10" s="29">
        <f>Q9</f>
        <v>0</v>
      </c>
      <c r="BG10" s="29">
        <f>S9</f>
        <v>0</v>
      </c>
      <c r="BH10" s="29">
        <f>U9</f>
        <v>0</v>
      </c>
      <c r="BI10" s="29">
        <f>W9</f>
        <v>0</v>
      </c>
      <c r="BJ10" s="29">
        <f>Y9</f>
        <v>0</v>
      </c>
      <c r="BK10" s="29">
        <f>AA9</f>
        <v>0</v>
      </c>
      <c r="BL10" s="25" t="s">
        <v>1888</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1898</v>
      </c>
      <c r="AE11" s="1819"/>
      <c r="AF11" s="2201" t="s">
        <v>1898</v>
      </c>
      <c r="AG11" s="1819"/>
      <c r="AH11" s="2201" t="s">
        <v>1899</v>
      </c>
      <c r="AI11" s="2202"/>
      <c r="AJ11" s="2201" t="s">
        <v>1899</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2" t="s">
        <v>1901</v>
      </c>
      <c r="W12" s="11" t="s">
        <v>1900</v>
      </c>
      <c r="X12" s="11" t="s">
        <v>1901</v>
      </c>
      <c r="Y12" s="11" t="s">
        <v>1900</v>
      </c>
      <c r="Z12" s="11" t="s">
        <v>1901</v>
      </c>
      <c r="AA12" s="11" t="s">
        <v>1900</v>
      </c>
      <c r="AB12" s="11" t="s">
        <v>1901</v>
      </c>
      <c r="AC12" s="2206"/>
      <c r="AD12" s="1806"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4" t="s">
        <v>1901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3090</v>
      </c>
      <c r="E13" s="16">
        <f>IF($C$3="是",ROUND($A$3*G13/$B$3,2),ROUND($A$3*(G13-AT13)/$B$3,2))</f>
        <v>12119</v>
      </c>
      <c r="F13" s="32"/>
      <c r="G13" s="33">
        <f>H13+AC13+AT13</f>
        <v>31156.999999999996</v>
      </c>
      <c r="H13" s="20">
        <f>SUMIF(I$12:AB$12,"总值",I13:AB13)</f>
        <v>31156.999999999996</v>
      </c>
      <c r="I13" s="2211">
        <f>Sheet1!E3+Sheet1!E4+Sheet1!E5+Sheet1!E7+Sheet1!E10+Sheet1!E11+Sheet1!E12+Sheet1!E14+Sheet1!E17+Sheet1!E18+Sheet1!E19+Sheet1!E21</f>
        <v>5947.1100000000006</v>
      </c>
      <c r="J13" s="2211"/>
      <c r="K13" s="2211">
        <f>Sheet1!E6+Sheet1!E8+Sheet1!E13+Sheet1!E15+Sheet1!E20+Sheet1!E22</f>
        <v>25209.889999999996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12119</v>
      </c>
      <c r="AZ13" s="16">
        <f>BA13+BL13</f>
        <v>31156.999999999996</v>
      </c>
      <c r="BA13" s="16">
        <f>SUM(BB13:BK13)</f>
        <v>31156.999999999996</v>
      </c>
      <c r="BB13" s="16">
        <f>IF($D13="是",I13-J13,0)</f>
        <v>5947.1100000000006</v>
      </c>
      <c r="BC13" s="16">
        <f>IF($D13="是",K13-L13,0)</f>
        <v>25209.889999999996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1927</v>
      </c>
      <c r="B1" s="1392"/>
      <c r="C1" s="1392"/>
      <c r="D1" s="1392"/>
      <c r="E1" s="1392"/>
      <c r="F1" s="1392"/>
      <c r="G1" s="1392"/>
      <c r="H1" s="1392"/>
      <c r="I1" s="1392"/>
      <c r="J1" s="1392"/>
      <c r="K1" s="1392"/>
      <c r="L1" s="1392"/>
      <c r="M1" s="1392"/>
      <c r="N1" s="1392"/>
      <c r="O1" s="1392"/>
      <c r="P1" s="1392"/>
    </row>
    <row r="2" spans="1:16" ht="15">
      <c r="A2" s="3057" t="s">
        <v>1928</v>
      </c>
      <c r="B2" s="3057"/>
      <c r="C2" s="3057"/>
      <c r="D2" s="967" t="s">
        <v>1904</v>
      </c>
      <c r="E2" s="2224" t="s">
        <v>1905</v>
      </c>
      <c r="F2" s="1392"/>
      <c r="G2" s="2225"/>
      <c r="H2" s="2226"/>
      <c r="I2" s="2227" t="s">
        <v>1929</v>
      </c>
      <c r="J2" s="1392"/>
      <c r="K2" s="1392"/>
      <c r="L2" s="1392"/>
      <c r="M2" s="1392"/>
      <c r="N2" s="1427"/>
      <c r="O2" s="1392"/>
      <c r="P2" s="1392"/>
    </row>
    <row r="3" spans="1:16" ht="15.75" thickBot="1">
      <c r="A3" s="3058" t="s">
        <v>1902</v>
      </c>
      <c r="B3" s="3058"/>
      <c r="C3" s="3058"/>
      <c r="D3" s="46">
        <f>'数据-基础表'!AY6</f>
        <v>12119</v>
      </c>
      <c r="E3" s="46">
        <f>'数据-基础表'!AZ5</f>
        <v>31156.999999999996</v>
      </c>
      <c r="F3" s="1392"/>
      <c r="G3" s="1399"/>
      <c r="H3" s="1247" t="s">
        <v>1903</v>
      </c>
      <c r="I3" s="55">
        <f>ROUND('数据-基础表'!B3/'数据-基础表'!A3,2)</f>
        <v>2.57</v>
      </c>
      <c r="J3" s="1392"/>
      <c r="K3" s="1392"/>
      <c r="L3" s="1392"/>
      <c r="M3" s="1392"/>
      <c r="N3" s="1427"/>
      <c r="O3" s="1392"/>
      <c r="P3" s="1392"/>
    </row>
    <row r="4" spans="1:16" ht="15">
      <c r="A4" s="3059"/>
      <c r="B4" s="3060"/>
      <c r="C4" s="3061"/>
      <c r="D4" s="2228" t="s">
        <v>1904</v>
      </c>
      <c r="E4" s="2229" t="s">
        <v>1905</v>
      </c>
      <c r="F4" s="1392"/>
      <c r="G4" s="2230" t="s">
        <v>1930</v>
      </c>
      <c r="H4" s="1247" t="s">
        <v>1910</v>
      </c>
      <c r="I4" s="55">
        <f>ROUND(SUMIF('数据-基础表'!I9:AS9,"地上",'数据-基础表'!I5:AS5)/'数据-基础表'!A3,2)</f>
        <v>2.57</v>
      </c>
      <c r="J4" s="1392"/>
      <c r="K4" s="1392"/>
      <c r="L4" s="1392"/>
      <c r="M4" s="1392"/>
      <c r="N4" s="1427"/>
      <c r="O4" s="1392"/>
      <c r="P4" s="1392"/>
    </row>
    <row r="5" spans="1:16">
      <c r="A5" s="47" t="s">
        <v>1906</v>
      </c>
      <c r="B5" s="3062" t="s">
        <v>1907</v>
      </c>
      <c r="C5" s="3062"/>
      <c r="D5" s="48">
        <f>ROUND($D$3*E5/$E$3,2)</f>
        <v>0</v>
      </c>
      <c r="E5" s="49">
        <f>SUMIF('数据-基础表'!$11:$11,"住宅",'数据-基础表'!$5:$5)</f>
        <v>0</v>
      </c>
      <c r="F5" s="1392"/>
      <c r="G5" s="1399"/>
      <c r="H5" s="1247" t="s">
        <v>1903</v>
      </c>
      <c r="I5" s="55">
        <f>ROUND(E31/D31,2)</f>
        <v>2.57</v>
      </c>
      <c r="J5" s="1392"/>
      <c r="K5" s="1392"/>
      <c r="L5" s="1392"/>
      <c r="M5" s="1392"/>
      <c r="N5" s="1392"/>
      <c r="O5" s="1392"/>
      <c r="P5" s="1392"/>
    </row>
    <row r="6" spans="1:16" ht="15" thickBot="1">
      <c r="A6" s="2231"/>
      <c r="B6" s="3062" t="s">
        <v>1908</v>
      </c>
      <c r="C6" s="3062"/>
      <c r="D6" s="48">
        <f>ROUND($D$3*E6/$E$3,2)</f>
        <v>12119</v>
      </c>
      <c r="E6" s="49">
        <f>E3-E5</f>
        <v>31156.999999999996</v>
      </c>
      <c r="F6" s="1392"/>
      <c r="G6" s="2232" t="s">
        <v>1909</v>
      </c>
      <c r="H6" s="1399" t="s">
        <v>1910</v>
      </c>
      <c r="I6" s="939">
        <f>ROUND(F31/D31,2)</f>
        <v>2.57</v>
      </c>
      <c r="J6" s="1392"/>
      <c r="K6" s="1392"/>
      <c r="L6" s="1392"/>
      <c r="M6" s="1392"/>
      <c r="N6" s="1392"/>
      <c r="O6" s="1392"/>
      <c r="P6" s="1392"/>
    </row>
    <row r="7" spans="1:16" ht="15">
      <c r="A7" s="3054"/>
      <c r="B7" s="3055"/>
      <c r="C7" s="3056"/>
      <c r="D7" s="2228" t="s">
        <v>1904</v>
      </c>
      <c r="E7" s="2233" t="s">
        <v>1911</v>
      </c>
      <c r="F7" s="1392"/>
      <c r="G7" s="2225" t="s">
        <v>1912</v>
      </c>
      <c r="H7" s="63"/>
      <c r="I7" s="419"/>
      <c r="J7" s="1392"/>
      <c r="K7" s="1392"/>
      <c r="L7" s="1392"/>
      <c r="M7" s="1392"/>
      <c r="N7" s="1392"/>
      <c r="O7" s="1392"/>
      <c r="P7" s="1392"/>
    </row>
    <row r="8" spans="1:16">
      <c r="A8" s="47" t="s">
        <v>1913</v>
      </c>
      <c r="B8" s="50" t="s">
        <v>1914</v>
      </c>
      <c r="C8" s="48" t="s">
        <v>1915</v>
      </c>
      <c r="D8" s="48">
        <f t="shared" ref="D8:D15" si="0">ROUND($D$3*E8/$E$3,2)</f>
        <v>12119</v>
      </c>
      <c r="E8" s="51">
        <f>SUMIF('数据-基础表'!BB10:BK10,"地上",'数据-基础表'!BB5:BK5)</f>
        <v>31156.999999999996</v>
      </c>
      <c r="F8" s="1392"/>
      <c r="G8" s="2234"/>
      <c r="H8" s="2234"/>
      <c r="I8" s="1392"/>
      <c r="J8" s="1392"/>
      <c r="K8" s="1392"/>
      <c r="L8" s="1392"/>
      <c r="M8" s="1392"/>
      <c r="N8" s="1392"/>
      <c r="O8" s="1392"/>
      <c r="P8" s="1392"/>
    </row>
    <row r="9" spans="1:16">
      <c r="A9" s="2235"/>
      <c r="B9" s="2236"/>
      <c r="C9" s="48" t="s">
        <v>1916</v>
      </c>
      <c r="D9" s="48">
        <f t="shared" si="0"/>
        <v>0</v>
      </c>
      <c r="E9" s="52">
        <v>0</v>
      </c>
      <c r="F9" s="1392"/>
      <c r="G9" s="2234"/>
      <c r="H9" s="2234"/>
      <c r="I9" s="1392"/>
      <c r="J9" s="1392"/>
      <c r="K9" s="1392"/>
      <c r="L9" s="1392"/>
      <c r="M9" s="1392"/>
      <c r="N9" s="1392"/>
      <c r="O9" s="1392"/>
      <c r="P9" s="1392"/>
    </row>
    <row r="10" spans="1:16">
      <c r="A10" s="2235"/>
      <c r="B10" s="2236"/>
      <c r="C10" s="48" t="s">
        <v>1925</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1917</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1918</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1919</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1931</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1926</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1920</v>
      </c>
      <c r="D16" s="50">
        <f>SUM(D8:D15)</f>
        <v>12119</v>
      </c>
      <c r="E16" s="53">
        <f>SUM(E8:E15)</f>
        <v>31156.999999999996</v>
      </c>
      <c r="F16" s="1392"/>
      <c r="G16" s="2234"/>
      <c r="H16" s="2237" t="s">
        <v>1932</v>
      </c>
      <c r="I16" s="2238"/>
      <c r="J16" s="1392"/>
      <c r="K16" s="3051" t="s">
        <v>1932</v>
      </c>
      <c r="L16" s="3052"/>
      <c r="M16" s="3052"/>
      <c r="N16" s="3052"/>
      <c r="O16" s="3052"/>
      <c r="P16" s="3053"/>
    </row>
    <row r="17" spans="1:19" ht="15">
      <c r="A17" s="2239" t="s">
        <v>1933</v>
      </c>
      <c r="B17" s="2240" t="s">
        <v>1934</v>
      </c>
      <c r="C17" s="2241" t="s">
        <v>1935</v>
      </c>
      <c r="D17" s="2242" t="s">
        <v>1923</v>
      </c>
      <c r="E17" s="2243" t="s">
        <v>1924</v>
      </c>
      <c r="F17" s="2244"/>
      <c r="G17" s="2245"/>
      <c r="H17" s="2246" t="s">
        <v>1936</v>
      </c>
      <c r="I17" s="2247" t="s">
        <v>1921</v>
      </c>
      <c r="J17" s="1392"/>
      <c r="K17" s="3048" t="s">
        <v>1937</v>
      </c>
      <c r="L17" s="3049"/>
      <c r="M17" s="3050"/>
      <c r="N17" s="3048" t="s">
        <v>1938</v>
      </c>
      <c r="O17" s="3049"/>
      <c r="P17" s="3050"/>
      <c r="R17" s="2225" t="s">
        <v>1939</v>
      </c>
      <c r="S17" s="63"/>
    </row>
    <row r="18" spans="1:19" ht="15">
      <c r="A18" s="2235"/>
      <c r="B18" s="2248"/>
      <c r="C18" s="2249"/>
      <c r="D18" s="2250"/>
      <c r="E18" s="2251" t="s">
        <v>1940</v>
      </c>
      <c r="F18" s="2252" t="s">
        <v>1941</v>
      </c>
      <c r="G18" s="2253" t="s">
        <v>1942</v>
      </c>
      <c r="H18" s="1262" t="s">
        <v>1943</v>
      </c>
      <c r="I18" s="2254" t="s">
        <v>1944</v>
      </c>
      <c r="J18" s="1392"/>
      <c r="K18" s="1262" t="s">
        <v>1945</v>
      </c>
      <c r="L18" s="2255" t="s">
        <v>1946</v>
      </c>
      <c r="M18" s="1046" t="s">
        <v>1947</v>
      </c>
      <c r="N18" s="1262" t="s">
        <v>1945</v>
      </c>
      <c r="O18" s="2255" t="s">
        <v>1946</v>
      </c>
      <c r="P18" s="1046" t="s">
        <v>1947</v>
      </c>
      <c r="R18" s="1247" t="s">
        <v>1948</v>
      </c>
      <c r="S18" s="1247" t="s">
        <v>1949</v>
      </c>
    </row>
    <row r="19" spans="1:19">
      <c r="A19" s="2256"/>
      <c r="B19" s="50" t="s">
        <v>1922</v>
      </c>
      <c r="C19" s="2964" t="s">
        <v>3091</v>
      </c>
      <c r="D19" s="48">
        <f>ROUND($D$3*E19/$E$3,2)</f>
        <v>111.99</v>
      </c>
      <c r="E19" s="56">
        <f t="shared" ref="E19:E26" si="1">SUM(F19:G19)</f>
        <v>287.93</v>
      </c>
      <c r="F19" s="2965">
        <f>Sheet1!E3</f>
        <v>287.93</v>
      </c>
      <c r="G19" s="57"/>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111.99</v>
      </c>
      <c r="S19" s="1248">
        <f t="shared" si="5"/>
        <v>287.93</v>
      </c>
    </row>
    <row r="20" spans="1:19">
      <c r="A20" s="2259"/>
      <c r="B20" s="50" t="s">
        <v>1950</v>
      </c>
      <c r="C20" s="2964" t="s">
        <v>3092</v>
      </c>
      <c r="D20" s="48">
        <f t="shared" ref="D20:D26" si="6">ROUND($D$3*E20/$E$3,2)</f>
        <v>2201.23</v>
      </c>
      <c r="E20" s="56">
        <f t="shared" si="1"/>
        <v>5659.18</v>
      </c>
      <c r="F20" s="2965">
        <f>'数据-基础表'!I13-'数据-汇总表'!F19</f>
        <v>5659.18</v>
      </c>
      <c r="G20" s="57"/>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2201.23</v>
      </c>
      <c r="S20" s="1248">
        <f t="shared" si="5"/>
        <v>5659.18</v>
      </c>
    </row>
    <row r="21" spans="1:19">
      <c r="A21" s="2259"/>
      <c r="B21" s="50" t="s">
        <v>1950</v>
      </c>
      <c r="C21" s="2964" t="s">
        <v>3093</v>
      </c>
      <c r="D21" s="48">
        <f t="shared" si="6"/>
        <v>9805.7800000000007</v>
      </c>
      <c r="E21" s="56">
        <f t="shared" si="1"/>
        <v>25209.889999999996</v>
      </c>
      <c r="F21" s="2965">
        <f>'数据-基础表'!K13</f>
        <v>25209.889999999996</v>
      </c>
      <c r="G21" s="57"/>
      <c r="H21" s="720">
        <f t="shared" si="7"/>
        <v>0</v>
      </c>
      <c r="I21" s="51">
        <f t="shared" si="2"/>
        <v>0</v>
      </c>
      <c r="J21" s="1392"/>
      <c r="K21" s="1391">
        <f t="shared" si="3"/>
        <v>0</v>
      </c>
      <c r="L21" s="1247">
        <f t="shared" si="4"/>
        <v>0</v>
      </c>
      <c r="M21" s="1403">
        <f t="shared" si="8"/>
        <v>0</v>
      </c>
      <c r="N21" s="2257"/>
      <c r="O21" s="2258"/>
      <c r="P21" s="1403">
        <f t="shared" si="9"/>
        <v>0</v>
      </c>
      <c r="R21" s="1247">
        <f t="shared" si="5"/>
        <v>9805.7800000000007</v>
      </c>
      <c r="S21" s="1248">
        <f t="shared" si="5"/>
        <v>25209.889999999996</v>
      </c>
    </row>
    <row r="22" spans="1:19">
      <c r="A22" s="2259"/>
      <c r="B22" s="50" t="s">
        <v>1950</v>
      </c>
      <c r="C22" s="59"/>
      <c r="D22" s="48">
        <f t="shared" si="6"/>
        <v>0</v>
      </c>
      <c r="E22" s="56">
        <f t="shared" si="1"/>
        <v>0</v>
      </c>
      <c r="F22" s="60"/>
      <c r="G22" s="61"/>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1950</v>
      </c>
      <c r="C23" s="59"/>
      <c r="D23" s="48">
        <f>ROUND($D$3*E23/$E$3,2)</f>
        <v>0</v>
      </c>
      <c r="E23" s="56">
        <f>SUM(F23:G23)</f>
        <v>0</v>
      </c>
      <c r="F23" s="60"/>
      <c r="G23" s="61"/>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1950</v>
      </c>
      <c r="C24" s="59"/>
      <c r="D24" s="48">
        <f>ROUND($D$3*E24/$E$3,2)</f>
        <v>0</v>
      </c>
      <c r="E24" s="56">
        <f>SUM(F24:G24)</f>
        <v>0</v>
      </c>
      <c r="F24" s="60"/>
      <c r="G24" s="61"/>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1950</v>
      </c>
      <c r="C25" s="59"/>
      <c r="D25" s="48">
        <f t="shared" si="6"/>
        <v>0</v>
      </c>
      <c r="E25" s="56">
        <f t="shared" si="1"/>
        <v>0</v>
      </c>
      <c r="F25" s="60"/>
      <c r="G25" s="61"/>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1950</v>
      </c>
      <c r="C26" s="62"/>
      <c r="D26" s="48">
        <f t="shared" si="6"/>
        <v>0</v>
      </c>
      <c r="E26" s="56">
        <f t="shared" si="1"/>
        <v>0</v>
      </c>
      <c r="F26" s="60"/>
      <c r="G26" s="61"/>
      <c r="H26" s="47">
        <f t="shared" si="7"/>
        <v>0</v>
      </c>
      <c r="I26" s="51">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8"/>
      <c r="C27" s="2262" t="s">
        <v>1951</v>
      </c>
      <c r="D27" s="1393">
        <f>SUM(D19:D26)</f>
        <v>12119</v>
      </c>
      <c r="E27" s="1394">
        <f>IF(SUM(E19:E26)='数据-基础表'!BA5,SUM(E19:E26),IF(F27="地上面积有误","面积有误","地下面积有误"))</f>
        <v>31156.999999999996</v>
      </c>
      <c r="F27" s="1393">
        <f>IF(SUM(F19:F26)=E8,SUM(F19:F26),"地上面积有误")</f>
        <v>31156.999999999996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12119</v>
      </c>
      <c r="S27" s="1247">
        <f>IF(SUM(S19:S26)=$E$3,SUM(S19:S26),SUM(S19:S26)&amp;"误差"&amp;ROUND(SUM(S19:S26)-E3,2))</f>
        <v>31156.999999999996</v>
      </c>
    </row>
    <row r="28" spans="1:19">
      <c r="A28" s="2259"/>
      <c r="B28" s="50" t="s">
        <v>1952</v>
      </c>
      <c r="C28" s="1259" t="s">
        <v>1953</v>
      </c>
      <c r="D28" s="48">
        <f>ROUND($D$3*E28/$E$3,2)</f>
        <v>0</v>
      </c>
      <c r="E28" s="56">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9"/>
      <c r="B29" s="50" t="s">
        <v>1952</v>
      </c>
      <c r="C29" s="2263" t="s">
        <v>1954</v>
      </c>
      <c r="D29" s="48">
        <f>ROUND($D$3*E29/$E$3,2)</f>
        <v>0</v>
      </c>
      <c r="E29" s="56">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50"/>
      <c r="C30" s="2264" t="s">
        <v>1951</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1955</v>
      </c>
      <c r="D31" s="726">
        <f>D27+D30</f>
        <v>12119</v>
      </c>
      <c r="E31" s="726">
        <f>E27+E30</f>
        <v>31156.999999999996</v>
      </c>
      <c r="F31" s="727">
        <f>F27+F30</f>
        <v>31156.999999999996</v>
      </c>
      <c r="G31" s="728">
        <f>G27+G30</f>
        <v>0</v>
      </c>
      <c r="H31" s="1392"/>
      <c r="I31" s="1392"/>
      <c r="J31" s="1392"/>
      <c r="K31" s="1392"/>
      <c r="L31" s="1392"/>
      <c r="M31" s="1392"/>
      <c r="N31" s="1392"/>
      <c r="O31" s="1392"/>
      <c r="P31" s="1392"/>
    </row>
    <row r="32" spans="1:19">
      <c r="A32" s="2230"/>
      <c r="B32" s="2230" t="s">
        <v>1956</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21"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29"/>
      <c r="C1" s="1581"/>
      <c r="D1" s="2269"/>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1958</v>
      </c>
      <c r="B2" s="1266">
        <f>项目基本情况!D3</f>
        <v>43405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1" t="s">
        <v>1963</v>
      </c>
      <c r="AA4" s="2241"/>
      <c r="AB4" s="2241"/>
      <c r="AC4" s="2241"/>
      <c r="AD4" s="2241"/>
      <c r="AE4" s="2239" t="s">
        <v>1964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1965</v>
      </c>
      <c r="B5" s="2286" t="s">
        <v>1966</v>
      </c>
      <c r="C5" s="2287" t="s">
        <v>1967</v>
      </c>
      <c r="D5" s="2288" t="s">
        <v>1968</v>
      </c>
      <c r="E5" s="1268" t="s">
        <v>1969</v>
      </c>
      <c r="F5" s="2289" t="s">
        <v>1970</v>
      </c>
      <c r="G5" s="1268" t="s">
        <v>1971</v>
      </c>
      <c r="H5" s="1268" t="s">
        <v>1972</v>
      </c>
      <c r="I5" s="1268" t="s">
        <v>1973</v>
      </c>
      <c r="J5" s="2290" t="s">
        <v>1974</v>
      </c>
      <c r="K5" s="2291" t="s">
        <v>1975</v>
      </c>
      <c r="L5" s="2292" t="s">
        <v>1976</v>
      </c>
      <c r="M5" s="2293" t="s">
        <v>1977</v>
      </c>
      <c r="N5" s="2294" t="s">
        <v>3094</v>
      </c>
      <c r="O5" s="2292" t="s">
        <v>1978</v>
      </c>
      <c r="P5" s="2295" t="s">
        <v>1979</v>
      </c>
      <c r="Q5" s="68" t="s">
        <v>1980</v>
      </c>
      <c r="R5" s="2296" t="s">
        <v>1981</v>
      </c>
      <c r="S5" s="2297" t="s">
        <v>1982</v>
      </c>
      <c r="T5" s="2298" t="s">
        <v>1983</v>
      </c>
      <c r="U5" s="1267" t="s">
        <v>1984</v>
      </c>
      <c r="V5" s="1268" t="s">
        <v>1985</v>
      </c>
      <c r="W5" s="1268" t="s">
        <v>1986</v>
      </c>
      <c r="X5" s="70"/>
      <c r="Y5" s="69" t="s">
        <v>1987</v>
      </c>
      <c r="Z5" s="2299" t="s">
        <v>1984</v>
      </c>
      <c r="AA5" s="1268" t="s">
        <v>1985</v>
      </c>
      <c r="AB5" s="1268" t="s">
        <v>1986</v>
      </c>
      <c r="AC5" s="70"/>
      <c r="AD5" s="70" t="s">
        <v>1987</v>
      </c>
      <c r="AE5" s="1267" t="s">
        <v>1988</v>
      </c>
      <c r="AF5" s="1268" t="s">
        <v>1989</v>
      </c>
      <c r="AG5" s="69" t="s">
        <v>1990</v>
      </c>
      <c r="AH5" s="1267" t="s">
        <v>1991</v>
      </c>
      <c r="AI5" s="2299" t="s">
        <v>1992</v>
      </c>
      <c r="AJ5" s="2299" t="s">
        <v>1993</v>
      </c>
      <c r="AK5" s="1268" t="s">
        <v>1994</v>
      </c>
      <c r="AL5" s="1268" t="s">
        <v>1995</v>
      </c>
      <c r="AM5" s="69" t="s">
        <v>1996</v>
      </c>
      <c r="AN5" s="2300" t="s">
        <v>1997</v>
      </c>
      <c r="AO5" s="2071" t="s">
        <v>1998</v>
      </c>
      <c r="AP5" s="1249" t="s">
        <v>1999</v>
      </c>
      <c r="AQ5" s="2301" t="s">
        <v>2000</v>
      </c>
      <c r="AR5" s="2301"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沿街商业（基准）</v>
      </c>
      <c r="B6" s="2303" t="str">
        <f>IF(A6=0,"","经营性")</f>
        <v>经营性</v>
      </c>
      <c r="C6" s="2304" t="s">
        <v>1373</v>
      </c>
      <c r="D6" s="1051">
        <f>SUMIF(项目基本情况!D$12:I$12,C6,项目基本情况!D$14:I$14)</f>
        <v>40</v>
      </c>
      <c r="E6" s="1048">
        <f>IF(B6="","",SUMIF(项目基本情况!D$12:I$12,C6,项目基本情况!D$13:I$13))</f>
        <v>56185</v>
      </c>
      <c r="F6" s="71">
        <f>SUMIF(项目基本情况!D$12:I$12,C6,项目基本情况!D$15:I$15)</f>
        <v>35.01</v>
      </c>
      <c r="G6" s="72">
        <f>IF(ISERROR(ROUND(POWER(1+H6,D6-F6)*(POWER(1+H6,F6)-1)/(POWER(1+H6,D6)-1),3)),0,ROUND(POWER(1+H6,D6-F6)*(POWER(1+H6,F6)-1)/(POWER(1+H6,D6)-1),3))</f>
        <v>0.95399999999999996</v>
      </c>
      <c r="H6" s="799">
        <v>0.05</v>
      </c>
      <c r="I6" s="799">
        <v>5.5E-2</v>
      </c>
      <c r="J6" s="73">
        <v>0.08</v>
      </c>
      <c r="K6" s="1251">
        <f>SUMIF('数据-汇总表'!C$19:C$33,A6,'数据-汇总表'!E$19:E$33)</f>
        <v>287.93</v>
      </c>
      <c r="L6" s="800">
        <v>2400</v>
      </c>
      <c r="M6" s="74">
        <f t="shared" ref="M6:M14" si="0">ROUND(K6*L6/10000,0)</f>
        <v>69</v>
      </c>
      <c r="N6" s="798">
        <v>1</v>
      </c>
      <c r="O6" s="74" t="str">
        <f>IF($N$5="成新度","——",ROUND(M6*N6,0))</f>
        <v>——</v>
      </c>
      <c r="P6" s="75" t="str">
        <f>IF($N$5="成新度","——",M6-O6)</f>
        <v>——</v>
      </c>
      <c r="Q6" s="801">
        <v>0.1</v>
      </c>
      <c r="R6" s="76">
        <f ca="1">SUMIF('数据-汇总表'!C$19:C$33,A6,'数据-汇总表'!R$19:R$27)</f>
        <v>111.99</v>
      </c>
      <c r="S6" s="54">
        <f>IF('数据-汇总表'!$I$17="按面积比例",SUMIF('数据-汇总表'!C$19:C$33,A6,'数据-汇总表'!K$19:K$33),SUMIF('数据-汇总表'!C$19:C$33,A6,'数据-汇总表'!N$19:N$33))</f>
        <v>0</v>
      </c>
      <c r="T6" s="1443">
        <f>ROUND($L$14*S6/10000,0)</f>
        <v>0</v>
      </c>
      <c r="U6" s="77">
        <v>6</v>
      </c>
      <c r="V6" s="78">
        <v>0.03</v>
      </c>
      <c r="W6" s="78">
        <v>0.15</v>
      </c>
      <c r="X6" s="1261"/>
      <c r="Y6" s="79">
        <f>N6</f>
        <v>1</v>
      </c>
      <c r="Z6" s="80"/>
      <c r="AA6" s="73"/>
      <c r="AB6" s="73"/>
      <c r="AC6" s="1261"/>
      <c r="AD6" s="81"/>
      <c r="AE6" s="1262">
        <f ca="1">IF(AN6="",0,SUMIF(INDIRECT("'"&amp;AN6&amp;"'"&amp;"!E:E"),$AE$5,INDIRECT("'"&amp;AN6&amp;"'"&amp;"!F:F")))</f>
        <v>35.01</v>
      </c>
      <c r="AF6" s="1804"/>
      <c r="AG6" s="146">
        <f>IF(AF6="",0,AE6-AF6)</f>
        <v>0</v>
      </c>
      <c r="AH6" s="82"/>
      <c r="AI6" s="84">
        <v>365</v>
      </c>
      <c r="AJ6" s="85"/>
      <c r="AK6" s="86">
        <v>1.4999999999999999E-2</v>
      </c>
      <c r="AL6" s="87">
        <v>1.5E-3</v>
      </c>
      <c r="AM6" s="88">
        <v>0.02</v>
      </c>
      <c r="AN6" s="2305" t="s">
        <v>3095</v>
      </c>
      <c r="AO6" s="55">
        <f ca="1">SUMIF(INDIRECT("'"&amp;AN6&amp;"'"&amp;"!A:A"),"总价",INDIRECT("'"&amp;AN6&amp;"'"&amp;"!B:B"))</f>
        <v>954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 xml:space="preserve">沿街商业 </v>
      </c>
      <c r="B7" s="2303" t="str">
        <f t="shared" ref="B7:B13" si="1">IF(A7=0,"","经营性")</f>
        <v>经营性</v>
      </c>
      <c r="C7" s="2304" t="s">
        <v>1373</v>
      </c>
      <c r="D7" s="1051">
        <f>SUMIF(项目基本情况!D$12:I$12,C7,项目基本情况!D$14:I$14)</f>
        <v>40</v>
      </c>
      <c r="E7" s="1048">
        <f>IF(B7="","",SUMIF(项目基本情况!D$12:I$12,C7,项目基本情况!D$13:I$13))</f>
        <v>56185</v>
      </c>
      <c r="F7" s="71">
        <f>SUMIF(项目基本情况!D$12:I$12,C7,项目基本情况!D$15:I$15)</f>
        <v>35.01</v>
      </c>
      <c r="G7" s="72">
        <f t="shared" ref="G7:G11" si="2">IF(ISERROR(ROUND(POWER(1+H7,D7-F7)*(POWER(1+H7,F7)-1)/(POWER(1+H7,D7)-1),3)),0,ROUND(POWER(1+H7,D7-F7)*(POWER(1+H7,F7)-1)/(POWER(1+H7,D7)-1),3))</f>
        <v>0.95399999999999996</v>
      </c>
      <c r="H7" s="799">
        <v>0.05</v>
      </c>
      <c r="I7" s="799">
        <v>5.5E-2</v>
      </c>
      <c r="J7" s="73">
        <v>0.08</v>
      </c>
      <c r="K7" s="1251">
        <f>SUMIF('数据-汇总表'!C$19:C$33,A7,'数据-汇总表'!E$19:E$33)</f>
        <v>5659.18</v>
      </c>
      <c r="L7" s="800">
        <v>2400</v>
      </c>
      <c r="M7" s="74">
        <f t="shared" si="0"/>
        <v>1358</v>
      </c>
      <c r="N7" s="798">
        <v>1</v>
      </c>
      <c r="O7" s="74" t="str">
        <f t="shared" ref="O7:O14" si="3">IF($N$5="成新度","——",ROUND(M7*N7,0))</f>
        <v>——</v>
      </c>
      <c r="P7" s="75" t="str">
        <f t="shared" ref="P7:P14" si="4">IF($N$5="成新度","——",M7-O7)</f>
        <v>——</v>
      </c>
      <c r="Q7" s="801">
        <v>0.1</v>
      </c>
      <c r="R7" s="76">
        <f ca="1">SUMIF('数据-汇总表'!C$19:C$33,A7,'数据-汇总表'!R$19:R$27)</f>
        <v>2201.23</v>
      </c>
      <c r="S7" s="54">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独栋商业</v>
      </c>
      <c r="B8" s="2303" t="str">
        <f t="shared" si="1"/>
        <v>经营性</v>
      </c>
      <c r="C8" s="2304" t="s">
        <v>1373</v>
      </c>
      <c r="D8" s="1051">
        <f>SUMIF(项目基本情况!D$12:I$12,C8,项目基本情况!D$14:I$14)</f>
        <v>40</v>
      </c>
      <c r="E8" s="1048">
        <f>IF(B8="","",SUMIF(项目基本情况!D$12:I$12,C8,项目基本情况!D$13:I$13))</f>
        <v>56185</v>
      </c>
      <c r="F8" s="71">
        <f>SUMIF(项目基本情况!D$12:I$12,C8,项目基本情况!D$15:I$15)</f>
        <v>35.01</v>
      </c>
      <c r="G8" s="72">
        <f t="shared" si="2"/>
        <v>0.95399999999999996</v>
      </c>
      <c r="H8" s="799">
        <v>0.05</v>
      </c>
      <c r="I8" s="799">
        <v>5.5E-2</v>
      </c>
      <c r="J8" s="73">
        <v>0.08</v>
      </c>
      <c r="K8" s="1251">
        <f>SUMIF('数据-汇总表'!C$19:C$33,A8,'数据-汇总表'!E$19:E$33)</f>
        <v>25209.889999999996</v>
      </c>
      <c r="L8" s="800">
        <v>2400</v>
      </c>
      <c r="M8" s="74">
        <f>ROUND(K8*L8/10000,0)</f>
        <v>6050</v>
      </c>
      <c r="N8" s="798">
        <v>1</v>
      </c>
      <c r="O8" s="74" t="str">
        <f t="shared" si="3"/>
        <v>——</v>
      </c>
      <c r="P8" s="75" t="str">
        <f t="shared" si="4"/>
        <v>——</v>
      </c>
      <c r="Q8" s="801">
        <v>0.1</v>
      </c>
      <c r="R8" s="76">
        <f ca="1">SUMIF('数据-汇总表'!C$19:C$33,A8,'数据-汇总表'!R$19:R$27)</f>
        <v>9805.7800000000007</v>
      </c>
      <c r="S8" s="54">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2002</v>
      </c>
      <c r="B14" s="2303" t="s">
        <v>2003</v>
      </c>
      <c r="C14" s="2308" t="s">
        <v>2002</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4"/>
      <c r="T14" s="1443"/>
      <c r="U14" s="720"/>
      <c r="V14" s="1256"/>
      <c r="W14" s="1256"/>
      <c r="X14" s="1257"/>
      <c r="Y14" s="1258"/>
      <c r="Z14" s="1259"/>
      <c r="AA14" s="1260"/>
      <c r="AB14" s="1260"/>
      <c r="AC14" s="1261"/>
      <c r="AD14" s="1257"/>
      <c r="AE14" s="1262"/>
      <c r="AF14" s="55"/>
      <c r="AG14" s="146"/>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2004</v>
      </c>
      <c r="B15" s="2303" t="s">
        <v>2003</v>
      </c>
      <c r="C15" s="2308" t="s">
        <v>2005</v>
      </c>
      <c r="D15" s="1051"/>
      <c r="E15" s="1048"/>
      <c r="F15" s="71"/>
      <c r="G15" s="72"/>
      <c r="H15" s="1250"/>
      <c r="I15" s="1250"/>
      <c r="J15" s="1250"/>
      <c r="K15" s="1251">
        <f>SUMIF('数据-汇总表'!C$19:C$33,A15,'数据-汇总表'!E$19:E$33)</f>
        <v>0</v>
      </c>
      <c r="L15" s="1252"/>
      <c r="M15" s="74"/>
      <c r="N15" s="1253"/>
      <c r="O15" s="74"/>
      <c r="P15" s="75"/>
      <c r="Q15" s="1254"/>
      <c r="R15" s="76"/>
      <c r="S15" s="54"/>
      <c r="T15" s="1443"/>
      <c r="U15" s="720"/>
      <c r="V15" s="1256"/>
      <c r="W15" s="1256"/>
      <c r="X15" s="1257"/>
      <c r="Y15" s="1258"/>
      <c r="Z15" s="1259"/>
      <c r="AA15" s="1260"/>
      <c r="AB15" s="1260"/>
      <c r="AC15" s="1261"/>
      <c r="AD15" s="1257"/>
      <c r="AE15" s="1262"/>
      <c r="AF15" s="55"/>
      <c r="AG15" s="146"/>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2006</v>
      </c>
      <c r="B16" s="96"/>
      <c r="C16" s="1005"/>
      <c r="D16" s="2310"/>
      <c r="E16" s="96"/>
      <c r="F16" s="96"/>
      <c r="G16" s="97">
        <f>ROUND(SUMPRODUCT(G6:G13,K6:K13)/SUMPRODUCT((G6:G13&gt;0)*(K6:K13)),3)</f>
        <v>0.95399999999999996</v>
      </c>
      <c r="H16" s="98">
        <f>ROUND(SUMPRODUCT(H6:H13,K6:K13)/SUMPRODUCT((H6:H13&gt;0)*(K6:K13)),3)</f>
        <v>0.05</v>
      </c>
      <c r="I16" s="99"/>
      <c r="J16" s="99"/>
      <c r="K16" s="100">
        <f>SUM(K6:K15)</f>
        <v>31156.999999999996</v>
      </c>
      <c r="L16" s="101">
        <f>ROUND(M16*10000/SUM(K6:K14),0)</f>
        <v>2400</v>
      </c>
      <c r="M16" s="101">
        <f>SUM(M6:M14)</f>
        <v>7477</v>
      </c>
      <c r="N16" s="102">
        <f>ROUND(SUMPRODUCT(M6:M14,N6:N14)/M16,3)</f>
        <v>1</v>
      </c>
      <c r="O16" s="101">
        <f>SUM(O6:O14)</f>
        <v>0</v>
      </c>
      <c r="P16" s="101">
        <f>SUM(P6:P14)</f>
        <v>0</v>
      </c>
      <c r="Q16" s="103">
        <f>ROUND(SUMPRODUCT(Q6:Q13,K6:K13)/SUMPRODUCT((Q6:Q13&gt;0)*(K6:K13)),2)</f>
        <v>0.1</v>
      </c>
      <c r="R16" s="1255">
        <f ca="1">SUM(R6:R13)</f>
        <v>12119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2007</v>
      </c>
      <c r="B18" s="2276"/>
      <c r="C18" s="2273"/>
      <c r="D18" s="2274"/>
      <c r="E18" s="2273"/>
      <c r="F18" s="2273"/>
      <c r="G18" s="2273"/>
      <c r="H18" s="2273"/>
      <c r="I18" s="2273"/>
      <c r="J18" s="2273"/>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2008</v>
      </c>
      <c r="B19" s="111">
        <v>0</v>
      </c>
      <c r="C19" s="2273" t="s">
        <v>2009</v>
      </c>
      <c r="D19" s="2274"/>
      <c r="E19" s="2273"/>
      <c r="F19" s="2273"/>
      <c r="G19" s="2273"/>
      <c r="H19" s="2273"/>
      <c r="I19" s="2273"/>
      <c r="J19" s="2273"/>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2010</v>
      </c>
      <c r="B20" s="112">
        <v>1.5</v>
      </c>
      <c r="C20" s="2273" t="s">
        <v>2011</v>
      </c>
      <c r="D20" s="2274"/>
      <c r="E20" s="2273"/>
      <c r="F20" s="2273"/>
      <c r="G20" s="2273"/>
      <c r="H20" s="2273"/>
      <c r="I20" s="2273"/>
      <c r="J20" s="2273"/>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2012</v>
      </c>
      <c r="B21" s="112">
        <v>1.5</v>
      </c>
      <c r="C21" s="2273"/>
      <c r="D21" s="2274"/>
      <c r="E21" s="2273"/>
      <c r="F21" s="2273"/>
      <c r="G21" s="2273"/>
      <c r="H21" s="2273"/>
      <c r="I21" s="2273"/>
      <c r="J21" s="2273"/>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2013</v>
      </c>
      <c r="B22" s="113">
        <f>B19+B20</f>
        <v>1.5</v>
      </c>
      <c r="C22" s="2273"/>
      <c r="D22" s="2274"/>
      <c r="E22" s="2273"/>
      <c r="F22" s="2273"/>
      <c r="G22" s="2273"/>
      <c r="H22" s="2273"/>
      <c r="I22" s="2273"/>
      <c r="J22" s="2273"/>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2014</v>
      </c>
      <c r="B23" s="113">
        <f>B19+B21</f>
        <v>1.5</v>
      </c>
      <c r="C23" s="2273"/>
      <c r="D23" s="2274"/>
      <c r="E23" s="2273"/>
      <c r="F23" s="2273"/>
      <c r="G23" s="2273"/>
      <c r="H23" s="2273"/>
      <c r="I23" s="2273"/>
      <c r="J23" s="2273"/>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2015</v>
      </c>
      <c r="B24" s="114">
        <f>B20-B21</f>
        <v>0</v>
      </c>
      <c r="C24" s="2273"/>
      <c r="D24" s="2274"/>
      <c r="E24" s="2273"/>
      <c r="F24" s="2273"/>
      <c r="G24" s="2273"/>
      <c r="H24" s="2273"/>
      <c r="I24" s="2273"/>
      <c r="J24" s="2273"/>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2016</v>
      </c>
      <c r="B26" s="2316" t="s">
        <v>2017</v>
      </c>
      <c r="C26" s="2317" t="s">
        <v>2018</v>
      </c>
      <c r="D26" s="2274"/>
      <c r="E26" s="2273"/>
      <c r="F26" s="2273"/>
      <c r="G26" s="2273"/>
      <c r="H26" s="2273"/>
      <c r="I26" s="2273"/>
      <c r="J26" s="2273"/>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2019</v>
      </c>
      <c r="B27" s="115">
        <v>430</v>
      </c>
      <c r="C27" s="1764" t="s">
        <v>2020</v>
      </c>
      <c r="D27" s="2319"/>
      <c r="E27" s="1427"/>
      <c r="F27" s="1427"/>
      <c r="G27" s="2273"/>
      <c r="H27" s="2273"/>
      <c r="I27" s="2273"/>
      <c r="J27" s="2273"/>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2021</v>
      </c>
      <c r="B28" s="118">
        <v>430</v>
      </c>
      <c r="C28" s="2322"/>
      <c r="D28" s="2319"/>
      <c r="E28" s="1427"/>
      <c r="F28" s="1427"/>
      <c r="G28" s="2273"/>
      <c r="H28" s="2273"/>
      <c r="I28" s="2273"/>
      <c r="J28" s="2273"/>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2022</v>
      </c>
      <c r="B29" s="120"/>
      <c r="C29" s="1764" t="s">
        <v>2023</v>
      </c>
      <c r="D29" s="2319"/>
      <c r="E29" s="1427"/>
      <c r="F29" s="1427"/>
      <c r="G29" s="2273"/>
      <c r="H29" s="2273"/>
      <c r="I29" s="2273"/>
      <c r="J29" s="2273"/>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2024</v>
      </c>
      <c r="B30" s="721">
        <v>200</v>
      </c>
      <c r="C30" s="2322"/>
      <c r="D30" s="2319"/>
      <c r="E30" s="1427"/>
      <c r="F30" s="1427"/>
      <c r="G30" s="2273"/>
      <c r="H30" s="2273"/>
      <c r="I30" s="2273"/>
      <c r="J30" s="2273"/>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2025</v>
      </c>
      <c r="B31" s="119">
        <f>B30-B32</f>
        <v>200</v>
      </c>
      <c r="C31" s="1764"/>
      <c r="D31" s="2319"/>
      <c r="E31" s="1427"/>
      <c r="F31" s="1427"/>
      <c r="G31" s="2273"/>
      <c r="H31" s="2273"/>
      <c r="I31" s="2273"/>
      <c r="J31" s="2273"/>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2026</v>
      </c>
      <c r="B32" s="722">
        <v>0</v>
      </c>
      <c r="C32" s="2322"/>
      <c r="D32" s="2274"/>
      <c r="E32" s="2273"/>
      <c r="F32" s="2273"/>
      <c r="G32" s="2273"/>
      <c r="H32" s="2273"/>
      <c r="I32" s="2273"/>
      <c r="J32" s="2273"/>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2027</v>
      </c>
      <c r="B33" s="723">
        <v>0.03</v>
      </c>
      <c r="C33" s="1763" t="s">
        <v>2028</v>
      </c>
      <c r="D33" s="2274"/>
      <c r="E33" s="2273"/>
      <c r="F33" s="2273"/>
      <c r="G33" s="2273"/>
      <c r="H33" s="2273"/>
      <c r="I33" s="2273"/>
      <c r="J33" s="2273"/>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2029</v>
      </c>
      <c r="B34" s="121">
        <v>0</v>
      </c>
      <c r="C34" s="1763" t="s">
        <v>2030</v>
      </c>
      <c r="D34" s="2274" t="s">
        <v>2031</v>
      </c>
      <c r="E34" s="729"/>
      <c r="F34" s="2273"/>
      <c r="G34" s="2273"/>
      <c r="H34" s="2273"/>
      <c r="I34" s="2273"/>
      <c r="J34" s="2273"/>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2032</v>
      </c>
      <c r="B35" s="118">
        <v>200</v>
      </c>
      <c r="C35" s="1763" t="s">
        <v>2033</v>
      </c>
      <c r="D35" s="2319"/>
      <c r="E35" s="1427"/>
      <c r="F35" s="1427"/>
      <c r="G35" s="2273"/>
      <c r="H35" s="2273"/>
      <c r="I35" s="2273"/>
      <c r="J35" s="2273"/>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2034</v>
      </c>
      <c r="B36" s="122">
        <v>1.4999999999999999E-2</v>
      </c>
      <c r="C36" s="1763" t="s">
        <v>2035</v>
      </c>
      <c r="D36" s="2274"/>
      <c r="E36" s="2273"/>
      <c r="F36" s="2273"/>
      <c r="G36" s="2273"/>
      <c r="H36" s="2273"/>
      <c r="I36" s="2273"/>
      <c r="J36" s="2273"/>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2036</v>
      </c>
      <c r="B37" s="123">
        <v>0.02</v>
      </c>
      <c r="C37" s="1763" t="s">
        <v>2037</v>
      </c>
      <c r="D37" s="2274"/>
      <c r="E37" s="2273"/>
      <c r="F37" s="2273"/>
      <c r="G37" s="2273"/>
      <c r="H37" s="2273"/>
      <c r="I37" s="2273"/>
      <c r="J37" s="2273"/>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2038</v>
      </c>
      <c r="B38" s="121">
        <v>0.02</v>
      </c>
      <c r="C38" s="1763" t="s">
        <v>2037</v>
      </c>
      <c r="D38" s="2274"/>
      <c r="E38" s="2273"/>
      <c r="F38" s="2273"/>
      <c r="G38" s="2273"/>
      <c r="H38" s="2273"/>
      <c r="I38" s="2273"/>
      <c r="J38" s="2273"/>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2039</v>
      </c>
      <c r="B39" s="361">
        <f ca="1">存贷款利率!I1</f>
        <v>1.4999999999999999E-2</v>
      </c>
      <c r="C39" s="1763"/>
      <c r="D39" s="2274"/>
      <c r="E39" s="2273"/>
      <c r="F39" s="2273"/>
      <c r="G39" s="2273"/>
      <c r="H39" s="2273"/>
      <c r="I39" s="2273"/>
      <c r="J39" s="2273"/>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2040</v>
      </c>
      <c r="B40" s="1300">
        <f ca="1">存贷款利率!G1</f>
        <v>4.7500000000000001E-2</v>
      </c>
      <c r="C40" s="1763" t="s">
        <v>2041</v>
      </c>
      <c r="D40" s="1581"/>
      <c r="E40" s="2274"/>
      <c r="F40" s="2273"/>
      <c r="G40" s="2273"/>
      <c r="H40" s="2273"/>
      <c r="I40" s="2273"/>
      <c r="J40" s="2273"/>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2042</v>
      </c>
      <c r="B41" s="124">
        <f>B42+B43</f>
        <v>5.5000000000000007E-2</v>
      </c>
      <c r="C41" s="1764"/>
      <c r="D41" s="1581"/>
      <c r="E41" s="2274"/>
      <c r="F41" s="2273"/>
      <c r="G41" s="2273"/>
      <c r="H41" s="2273"/>
      <c r="I41" s="2273"/>
      <c r="J41" s="2273"/>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2043</v>
      </c>
      <c r="B42" s="125">
        <v>0.05</v>
      </c>
      <c r="C42" s="2327">
        <f>IF(B2&lt;DATE(2016,5,1),0,B42)</f>
        <v>0.05</v>
      </c>
      <c r="D42" s="2274"/>
      <c r="E42" s="2273"/>
      <c r="F42" s="2273"/>
      <c r="G42" s="2273"/>
      <c r="H42" s="2273"/>
      <c r="I42" s="2273"/>
      <c r="J42" s="2273"/>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2044</v>
      </c>
      <c r="B43" s="126">
        <f>B42*(B44+B45+B46)+B47</f>
        <v>5.000000000000001E-3</v>
      </c>
      <c r="C43" s="1764"/>
      <c r="D43" s="2274"/>
      <c r="E43" s="2273"/>
      <c r="F43" s="2273"/>
      <c r="G43" s="2273"/>
      <c r="H43" s="2273"/>
      <c r="I43" s="2273"/>
      <c r="J43" s="2273"/>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2045</v>
      </c>
      <c r="B44" s="127">
        <v>0.05</v>
      </c>
      <c r="C44" s="1763" t="s">
        <v>2046</v>
      </c>
      <c r="D44" s="2274"/>
      <c r="E44" s="2273"/>
      <c r="F44" s="2273"/>
      <c r="G44" s="2273"/>
      <c r="H44" s="2273"/>
      <c r="I44" s="2273"/>
      <c r="J44" s="2273"/>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2047</v>
      </c>
      <c r="B45" s="125">
        <v>0.03</v>
      </c>
      <c r="C45" s="1764" t="s">
        <v>2048</v>
      </c>
      <c r="D45" s="2274"/>
      <c r="E45" s="2273"/>
      <c r="F45" s="2273"/>
      <c r="G45" s="2273"/>
      <c r="H45" s="2273"/>
      <c r="I45" s="2273"/>
      <c r="J45" s="2273"/>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2049</v>
      </c>
      <c r="B46" s="125">
        <v>0.02</v>
      </c>
      <c r="C46" s="1764" t="s">
        <v>2050</v>
      </c>
      <c r="D46" s="2274"/>
      <c r="E46" s="2273"/>
      <c r="F46" s="2273"/>
      <c r="G46" s="2273"/>
      <c r="H46" s="2273"/>
      <c r="I46" s="2273"/>
      <c r="J46" s="2273"/>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2051</v>
      </c>
      <c r="B47" s="128"/>
      <c r="C47" s="1764" t="s">
        <v>2052</v>
      </c>
      <c r="D47" s="2274"/>
      <c r="E47" s="2273"/>
      <c r="F47" s="2273"/>
      <c r="G47" s="2273"/>
      <c r="H47" s="2273"/>
      <c r="I47" s="2273"/>
      <c r="J47" s="2273"/>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2053</v>
      </c>
      <c r="B48" s="129">
        <v>0.03</v>
      </c>
      <c r="C48" s="1771" t="s">
        <v>2054</v>
      </c>
      <c r="D48" s="2274"/>
      <c r="E48" s="2273"/>
      <c r="F48" s="2273"/>
      <c r="G48" s="2273"/>
      <c r="H48" s="2273"/>
      <c r="I48" s="2273"/>
      <c r="J48" s="2273"/>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2055</v>
      </c>
      <c r="B49" s="125">
        <v>5.0000000000000001E-4</v>
      </c>
      <c r="C49" s="1771" t="s">
        <v>2056</v>
      </c>
      <c r="D49" s="2274"/>
      <c r="E49" s="2273"/>
      <c r="F49" s="2273"/>
      <c r="G49" s="2273"/>
      <c r="H49" s="2273"/>
      <c r="I49" s="2273"/>
      <c r="J49" s="2273"/>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2057</v>
      </c>
      <c r="B50" s="130">
        <v>1.2E-2</v>
      </c>
      <c r="C50" s="1427"/>
      <c r="D50" s="2274"/>
      <c r="E50" s="2273"/>
      <c r="F50" s="2273"/>
      <c r="G50" s="2273"/>
      <c r="H50" s="2273"/>
      <c r="I50" s="2273"/>
      <c r="J50" s="2273"/>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2058</v>
      </c>
      <c r="B51" s="131">
        <v>0.12</v>
      </c>
      <c r="C51" s="1427"/>
      <c r="D51" s="2274"/>
      <c r="E51" s="2273"/>
      <c r="F51" s="2273"/>
      <c r="G51" s="2273"/>
      <c r="H51" s="2273"/>
      <c r="I51" s="2273"/>
      <c r="J51" s="2273"/>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2059</v>
      </c>
      <c r="B52" s="132">
        <f>SUMIF(A54:A63,B53,B54:B63)</f>
        <v>6</v>
      </c>
      <c r="C52" s="1427"/>
      <c r="D52" s="2274"/>
      <c r="E52" s="2273"/>
      <c r="F52" s="2273"/>
      <c r="G52" s="2273"/>
      <c r="H52" s="2273"/>
      <c r="I52" s="2273"/>
      <c r="J52" s="2273"/>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2060</v>
      </c>
      <c r="B53" s="2332" t="s">
        <v>137</v>
      </c>
      <c r="C53" s="1427" t="s">
        <v>2061</v>
      </c>
      <c r="D53" s="2333" t="s">
        <v>2062</v>
      </c>
      <c r="E53" s="2273"/>
      <c r="F53" s="2273"/>
      <c r="G53" s="2273"/>
      <c r="H53" s="2273"/>
      <c r="I53" s="2273"/>
      <c r="J53" s="2273"/>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2063</v>
      </c>
      <c r="B54" s="2966">
        <v>30</v>
      </c>
      <c r="C54" s="1427">
        <v>30</v>
      </c>
      <c r="D54" s="2274"/>
      <c r="E54" s="2273"/>
      <c r="F54" s="2273"/>
      <c r="G54" s="2273"/>
      <c r="H54" s="2273"/>
      <c r="I54" s="2273"/>
      <c r="J54" s="2273"/>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2064</v>
      </c>
      <c r="B55" s="2966">
        <v>20</v>
      </c>
      <c r="C55" s="1427">
        <v>24</v>
      </c>
      <c r="D55" s="2274"/>
      <c r="E55" s="2273"/>
      <c r="F55" s="2273"/>
      <c r="G55" s="2273"/>
      <c r="H55" s="2273"/>
      <c r="I55" s="2335"/>
      <c r="J55" s="2273"/>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2065</v>
      </c>
      <c r="B56" s="2966">
        <v>12</v>
      </c>
      <c r="C56" s="1427">
        <v>18</v>
      </c>
      <c r="D56" s="2274"/>
      <c r="E56" s="2273"/>
      <c r="F56" s="2273"/>
      <c r="G56" s="2273"/>
      <c r="H56" s="2273"/>
      <c r="I56" s="2273"/>
      <c r="J56" s="2273"/>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2066</v>
      </c>
      <c r="B57" s="2966">
        <v>6</v>
      </c>
      <c r="C57" s="1427">
        <v>12</v>
      </c>
      <c r="D57" s="2274"/>
      <c r="E57" s="2273"/>
      <c r="F57" s="2273"/>
      <c r="G57" s="2273"/>
      <c r="H57" s="2273"/>
      <c r="I57" s="2273"/>
      <c r="J57" s="2273"/>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2067</v>
      </c>
      <c r="B58" s="2966">
        <v>3</v>
      </c>
      <c r="C58" s="1427">
        <v>3</v>
      </c>
      <c r="D58" s="2274"/>
      <c r="E58" s="2273"/>
      <c r="F58" s="2273"/>
      <c r="G58" s="2273"/>
      <c r="H58" s="2273"/>
      <c r="I58" s="2273"/>
      <c r="J58" s="2273"/>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2068</v>
      </c>
      <c r="B59" s="2966">
        <v>1.5</v>
      </c>
      <c r="C59" s="1427">
        <v>1.5</v>
      </c>
      <c r="D59" s="2274"/>
      <c r="E59" s="2273"/>
      <c r="F59" s="2273"/>
      <c r="G59" s="2273"/>
      <c r="H59" s="2273"/>
      <c r="I59" s="2273"/>
      <c r="J59" s="2273"/>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2069</v>
      </c>
      <c r="B60" s="83"/>
      <c r="C60" s="2273"/>
      <c r="D60" s="2274"/>
      <c r="E60" s="2273"/>
      <c r="F60" s="2273"/>
      <c r="G60" s="2273"/>
      <c r="H60" s="2273"/>
      <c r="I60" s="2273"/>
      <c r="J60" s="2273"/>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2070</v>
      </c>
      <c r="B61" s="83"/>
      <c r="C61" s="2273"/>
      <c r="D61" s="2274"/>
      <c r="E61" s="2273"/>
      <c r="F61" s="2273"/>
      <c r="G61" s="2273"/>
      <c r="H61" s="2273"/>
      <c r="I61" s="2273"/>
      <c r="J61" s="2273"/>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2071</v>
      </c>
      <c r="B62" s="83"/>
      <c r="C62" s="2273"/>
      <c r="D62" s="2274"/>
      <c r="E62" s="2273"/>
      <c r="F62" s="2273"/>
      <c r="G62" s="2273"/>
      <c r="H62" s="2273"/>
      <c r="I62" s="2273"/>
      <c r="J62" s="2273"/>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2072</v>
      </c>
      <c r="B63" s="133"/>
      <c r="C63" s="2273"/>
      <c r="D63" s="2274"/>
      <c r="E63" s="2273"/>
      <c r="F63" s="2273"/>
      <c r="G63" s="2273"/>
      <c r="H63" s="2273"/>
      <c r="I63" s="2273"/>
      <c r="J63" s="2273"/>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3" t="s">
        <v>2073</v>
      </c>
      <c r="B1" s="3064"/>
      <c r="C1" s="3064"/>
      <c r="D1" s="3064"/>
      <c r="E1" s="3064"/>
      <c r="F1" s="3064"/>
      <c r="G1" s="306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4" t="s">
        <v>2076</v>
      </c>
      <c r="B3" s="1268" t="s">
        <v>2077</v>
      </c>
      <c r="C3" s="2366" t="s">
        <v>2078</v>
      </c>
      <c r="D3" s="2367"/>
      <c r="E3" s="430" t="s">
        <v>2076</v>
      </c>
      <c r="F3" s="2368" t="s">
        <v>2079</v>
      </c>
      <c r="G3" s="2369" t="s">
        <v>2080</v>
      </c>
      <c r="H3" s="2364"/>
      <c r="I3" s="2364"/>
      <c r="J3" s="2364"/>
      <c r="K3" s="2364"/>
      <c r="L3" s="2364"/>
      <c r="M3" s="2364"/>
      <c r="N3" s="2364"/>
      <c r="O3" s="2364"/>
      <c r="P3" s="2364"/>
      <c r="Q3" s="2364"/>
      <c r="R3" s="2364"/>
    </row>
    <row r="4" spans="1:29" ht="41.25">
      <c r="A4" s="430"/>
      <c r="B4" s="1795" t="s">
        <v>2081</v>
      </c>
      <c r="C4" s="2370" t="s">
        <v>2082</v>
      </c>
      <c r="D4" s="2367"/>
      <c r="E4" s="2371"/>
      <c r="F4" s="42" t="s">
        <v>2083</v>
      </c>
      <c r="G4" s="2372" t="s">
        <v>2084</v>
      </c>
      <c r="H4" s="2364"/>
      <c r="I4" s="2364"/>
      <c r="J4" s="2364"/>
      <c r="K4" s="2364"/>
      <c r="L4" s="2364"/>
      <c r="M4" s="2364"/>
      <c r="N4" s="2364"/>
      <c r="O4" s="2364"/>
      <c r="P4" s="2364"/>
      <c r="Q4" s="2364"/>
      <c r="R4" s="2364"/>
    </row>
    <row r="5" spans="1:29" ht="41.25">
      <c r="A5" s="430"/>
      <c r="B5" s="1795" t="s">
        <v>2085</v>
      </c>
      <c r="C5" s="2370" t="s">
        <v>2086</v>
      </c>
      <c r="D5" s="2367"/>
      <c r="E5" s="2371"/>
      <c r="F5" s="1795" t="s">
        <v>2087</v>
      </c>
      <c r="G5" s="2372" t="s">
        <v>2088</v>
      </c>
      <c r="H5" s="2364"/>
      <c r="I5" s="2364"/>
      <c r="J5" s="2364"/>
      <c r="K5" s="2364"/>
      <c r="L5" s="2364"/>
      <c r="M5" s="2364"/>
      <c r="N5" s="2364"/>
      <c r="O5" s="2364"/>
      <c r="P5" s="2364"/>
      <c r="Q5" s="2364"/>
      <c r="R5" s="2364"/>
    </row>
    <row r="6" spans="1:29" ht="54">
      <c r="A6" s="430"/>
      <c r="B6" s="1795" t="s">
        <v>2089</v>
      </c>
      <c r="C6" s="2372" t="s">
        <v>2084</v>
      </c>
      <c r="D6" s="2367"/>
      <c r="E6" s="2371"/>
      <c r="F6" s="1795" t="s">
        <v>2090</v>
      </c>
      <c r="G6" s="2372" t="s">
        <v>2091</v>
      </c>
      <c r="H6" s="2364"/>
      <c r="I6" s="2364"/>
      <c r="J6" s="2364"/>
      <c r="K6" s="2364"/>
      <c r="L6" s="2364"/>
      <c r="M6" s="2364"/>
      <c r="N6" s="2364"/>
      <c r="O6" s="2364"/>
      <c r="P6" s="2364"/>
      <c r="Q6" s="2364"/>
      <c r="R6" s="2364"/>
    </row>
    <row r="7" spans="1:29" ht="41.25" thickBot="1">
      <c r="A7" s="430"/>
      <c r="B7" s="1795" t="s">
        <v>2087</v>
      </c>
      <c r="C7" s="2372" t="s">
        <v>2088</v>
      </c>
      <c r="D7" s="2373"/>
      <c r="E7" s="2374"/>
      <c r="F7" s="2375" t="s">
        <v>2092</v>
      </c>
      <c r="G7" s="2376" t="s">
        <v>2093</v>
      </c>
      <c r="H7" s="2364"/>
      <c r="I7" s="2364"/>
      <c r="J7" s="2364"/>
      <c r="K7" s="2364"/>
      <c r="L7" s="2364"/>
      <c r="M7" s="2364"/>
      <c r="N7" s="2364"/>
      <c r="O7" s="2364"/>
      <c r="P7" s="2364"/>
      <c r="Q7" s="2364"/>
      <c r="R7" s="2364"/>
    </row>
    <row r="8" spans="1:29" ht="27">
      <c r="A8" s="430"/>
      <c r="B8" s="1795" t="s">
        <v>2090</v>
      </c>
      <c r="C8" s="2372" t="s">
        <v>2091</v>
      </c>
      <c r="D8" s="2373"/>
      <c r="E8" s="2373"/>
      <c r="F8" s="1133"/>
      <c r="G8" s="1133"/>
      <c r="H8" s="2364"/>
      <c r="I8" s="2364"/>
      <c r="J8" s="2364"/>
      <c r="K8" s="2364"/>
      <c r="L8" s="2364"/>
      <c r="M8" s="2364"/>
      <c r="N8" s="2364"/>
      <c r="O8" s="2364"/>
      <c r="P8" s="2364"/>
      <c r="Q8" s="2364"/>
      <c r="R8" s="2364"/>
    </row>
    <row r="9" spans="1:29" ht="27">
      <c r="A9" s="430"/>
      <c r="B9" s="1795" t="s">
        <v>2094</v>
      </c>
      <c r="C9" s="2370" t="s">
        <v>2095</v>
      </c>
      <c r="D9" s="2367"/>
      <c r="E9" s="2373"/>
      <c r="F9" s="1133"/>
      <c r="G9" s="1133"/>
      <c r="H9" s="2364"/>
      <c r="I9" s="2364"/>
      <c r="J9" s="2364"/>
      <c r="K9" s="2364"/>
      <c r="L9" s="2364"/>
      <c r="M9" s="2364"/>
      <c r="N9" s="2364"/>
      <c r="O9" s="2364"/>
      <c r="P9" s="2364"/>
      <c r="Q9" s="2364"/>
      <c r="R9" s="2364"/>
    </row>
    <row r="10" spans="1:29" s="116" customFormat="1" ht="15.75" thickBot="1">
      <c r="A10" s="2377"/>
      <c r="B10" s="2378" t="s">
        <v>2096</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2097</v>
      </c>
      <c r="B13" s="2384"/>
      <c r="C13" s="2384"/>
      <c r="D13" s="2391"/>
      <c r="E13" s="2384"/>
      <c r="F13" s="2384"/>
      <c r="G13" s="2384"/>
    </row>
    <row r="14" spans="1:29" ht="15.75" thickBot="1">
      <c r="A14" s="2395"/>
      <c r="B14" s="2396"/>
      <c r="C14" s="2397" t="s">
        <v>2098</v>
      </c>
      <c r="D14" s="2367"/>
      <c r="E14" s="2398"/>
      <c r="F14" s="2398"/>
      <c r="G14" s="2361" t="s">
        <v>2099</v>
      </c>
    </row>
    <row r="15" spans="1:29" ht="57">
      <c r="A15" s="67" t="s">
        <v>2100</v>
      </c>
      <c r="B15" s="1267" t="s">
        <v>2077</v>
      </c>
      <c r="C15" s="2399" t="str">
        <f>C3</f>
        <v>估价对象周边居住用地比例、居住小区规模和社区发展完善程度，综合评价居住社区成熟度一般</v>
      </c>
      <c r="D15" s="2367"/>
      <c r="E15" s="2400" t="s">
        <v>2101</v>
      </c>
      <c r="F15" s="1267" t="s">
        <v>2102</v>
      </c>
      <c r="G15" s="134" t="str">
        <f>G3</f>
        <v>估价对象位于XX开发区，园区建设成熟度XX，产业集聚程度XX</v>
      </c>
    </row>
    <row r="16" spans="1:29" ht="42.75">
      <c r="A16" s="644"/>
      <c r="B16" s="2401" t="s">
        <v>2081</v>
      </c>
      <c r="C16" s="2402" t="str">
        <f>C4</f>
        <v>估价对象位于XX商圈，周边商业氛围成熟，人流量大，商业繁华度好</v>
      </c>
      <c r="D16" s="2367"/>
      <c r="E16" s="2403"/>
      <c r="F16" s="2404" t="s">
        <v>2083</v>
      </c>
      <c r="G16" s="135" t="str">
        <f>G4</f>
        <v>估价对象周边道路状况、公共交通通达情况、停车便捷程度，综合评价交通便捷度较好</v>
      </c>
    </row>
    <row r="17" spans="1:18" ht="42.75">
      <c r="A17" s="644"/>
      <c r="B17" s="2401" t="s">
        <v>2085</v>
      </c>
      <c r="C17" s="2402" t="str">
        <f>C5</f>
        <v>估价对象位于XX商圈，周边办公楼项目较多，入驻率高，办公集聚程度较好</v>
      </c>
      <c r="D17" s="2373"/>
      <c r="E17" s="2403"/>
      <c r="F17" s="2404" t="s">
        <v>2103</v>
      </c>
      <c r="G17" s="1569"/>
    </row>
    <row r="18" spans="1:18" ht="57">
      <c r="A18" s="644"/>
      <c r="B18" s="2404" t="s">
        <v>2089</v>
      </c>
      <c r="C18" s="135" t="str">
        <f>C6</f>
        <v>估价对象周边道路状况、公共交通通达情况、停车便捷程度，综合评价交通便捷度较好</v>
      </c>
      <c r="D18" s="2373"/>
      <c r="E18" s="2403"/>
      <c r="F18" s="2404" t="s">
        <v>2092</v>
      </c>
      <c r="G18" s="135" t="str">
        <f>G7</f>
        <v>该园区内是否有污染型企业，绿化情况，卫生条件，整体环境状况判断</v>
      </c>
    </row>
    <row r="19" spans="1:18" ht="28.5">
      <c r="A19" s="644"/>
      <c r="B19" s="2404" t="s">
        <v>2104</v>
      </c>
      <c r="C19" s="1569"/>
      <c r="D19" s="2367"/>
      <c r="E19" s="2403"/>
      <c r="F19" s="1795" t="s">
        <v>2087</v>
      </c>
      <c r="G19" s="135" t="str">
        <f>G5</f>
        <v>估价对象所在区域公共配套设施齐备情况</v>
      </c>
    </row>
    <row r="20" spans="1:18" ht="28.5">
      <c r="A20" s="644"/>
      <c r="B20" s="2404" t="s">
        <v>2105</v>
      </c>
      <c r="C20" s="2402" t="str">
        <f>C9</f>
        <v>区域自然环境：；人文环境；综合评价环境状况一般</v>
      </c>
      <c r="D20" s="2373"/>
      <c r="E20" s="2403"/>
      <c r="F20" s="1795" t="s">
        <v>2106</v>
      </c>
      <c r="G20" s="135" t="str">
        <f>G6</f>
        <v>估价对象所在区域基础设施水平</v>
      </c>
    </row>
    <row r="21" spans="1:18" ht="28.5">
      <c r="A21" s="644"/>
      <c r="B21" s="1795" t="s">
        <v>2087</v>
      </c>
      <c r="C21" s="135" t="str">
        <f>C7</f>
        <v>估价对象所在区域公共配套设施齐备情况</v>
      </c>
      <c r="D21" s="2367"/>
      <c r="E21" s="2403"/>
      <c r="F21" s="2404" t="s">
        <v>2107</v>
      </c>
      <c r="G21" s="2405"/>
    </row>
    <row r="22" spans="1:18" ht="13.5" customHeight="1">
      <c r="A22" s="644"/>
      <c r="B22" s="1795" t="s">
        <v>2090</v>
      </c>
      <c r="C22" s="135" t="str">
        <f>C8</f>
        <v>估价对象所在区域基础设施水平</v>
      </c>
      <c r="D22" s="2367"/>
      <c r="E22" s="2403"/>
      <c r="F22" s="2404" t="s">
        <v>2096</v>
      </c>
      <c r="G22" s="1569"/>
    </row>
    <row r="23" spans="1:18" s="2364" customFormat="1" ht="15.75" thickBot="1">
      <c r="A23" s="644"/>
      <c r="B23" s="2404" t="s">
        <v>2107</v>
      </c>
      <c r="C23" s="2405"/>
      <c r="D23" s="2392"/>
      <c r="E23" s="2406"/>
      <c r="F23" s="2407" t="s">
        <v>2108</v>
      </c>
      <c r="G23" s="2408"/>
      <c r="H23" s="2392"/>
      <c r="I23" s="2393"/>
      <c r="J23" s="2392"/>
      <c r="K23" s="2392"/>
      <c r="L23" s="2393"/>
      <c r="M23" s="2392"/>
      <c r="N23" s="2392"/>
      <c r="O23" s="2393"/>
      <c r="P23" s="2392"/>
      <c r="Q23" s="2392"/>
      <c r="R23" s="2394"/>
    </row>
    <row r="24" spans="1:18" s="2364" customFormat="1" ht="15.75" thickBot="1">
      <c r="A24" s="2409"/>
      <c r="B24" s="2407" t="s">
        <v>2109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5" sqref="F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31156.999999999996</v>
      </c>
      <c r="C1" s="1742"/>
      <c r="D1" s="1742"/>
      <c r="E1" s="1742"/>
      <c r="F1" s="1742"/>
      <c r="G1" s="1740"/>
    </row>
    <row r="2" spans="1:10" ht="16.5">
      <c r="A2" s="1743" t="s">
        <v>1349</v>
      </c>
      <c r="B2" s="1743">
        <f>SUM(C14:C23)</f>
        <v>12119</v>
      </c>
      <c r="C2" s="1742"/>
      <c r="D2" s="1742"/>
      <c r="E2" s="1742"/>
      <c r="F2" s="1742"/>
      <c r="G2" s="1740"/>
    </row>
    <row r="3" spans="1:10" ht="16.5">
      <c r="A3" s="1743" t="s">
        <v>1358</v>
      </c>
      <c r="B3" s="1744">
        <f>项目基本情况!D3</f>
        <v>43405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106193</v>
      </c>
      <c r="C5" s="1743">
        <f ca="1">ROUND(B5*10000/$B$1,0)</f>
        <v>34083</v>
      </c>
      <c r="D5" s="1743">
        <f ca="1">ROUND(B5*10000/$B$2,0)</f>
        <v>87625</v>
      </c>
      <c r="E5" s="1742"/>
      <c r="F5" s="1740"/>
      <c r="G5" s="1740"/>
    </row>
    <row r="6" spans="1:10" ht="16.5">
      <c r="A6" s="1743" t="s">
        <v>1352</v>
      </c>
      <c r="B6" s="1743">
        <f ca="1">SUM(G14:G23)</f>
        <v>106193</v>
      </c>
      <c r="C6" s="1743">
        <f ca="1">ROUND(B6*10000/$B$1,0)</f>
        <v>34083</v>
      </c>
      <c r="D6" s="1743">
        <f ca="1">ROUND(B6*10000/$B$2,0)</f>
        <v>87625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31156.999999999996</v>
      </c>
      <c r="C14" s="1741">
        <f>结果表!C118</f>
        <v>12119</v>
      </c>
      <c r="D14" s="1741">
        <f ca="1">典型户型修正!B20</f>
        <v>106193</v>
      </c>
      <c r="E14" s="1741">
        <f ca="1">ROUND(D14*10000/B14,0)</f>
        <v>34083</v>
      </c>
      <c r="F14" s="1741">
        <f ca="1">ROUND(D14*10000/C14,0)</f>
        <v>87625</v>
      </c>
      <c r="G14" s="1741">
        <f ca="1">典型户型修正!B20</f>
        <v>106193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2110</v>
      </c>
      <c r="B1" s="2415"/>
      <c r="C1" s="2416"/>
      <c r="D1" s="2415"/>
      <c r="E1" s="2415"/>
      <c r="F1" s="2417" t="s">
        <v>2111</v>
      </c>
      <c r="G1" s="2068" t="s">
        <v>2112</v>
      </c>
      <c r="H1" s="2418" t="str">
        <f>IF(G1="现房","——","估价对象范围")</f>
        <v>估价对象范围</v>
      </c>
      <c r="I1" s="2419"/>
    </row>
    <row r="2" spans="1:12" ht="21.75" customHeight="1" thickBot="1">
      <c r="A2" s="3137" t="str">
        <f>项目基本情况!S2</f>
        <v>上海市浦东新区惠南镇惠南颐景园出让国有建设用地使用权及在建建筑物房地产</v>
      </c>
      <c r="B2" s="3138"/>
      <c r="C2" s="3138"/>
      <c r="D2" s="3138"/>
      <c r="E2" s="3138"/>
      <c r="F2" s="3138"/>
      <c r="G2" s="3138"/>
      <c r="H2" s="3138"/>
      <c r="I2" s="3139"/>
    </row>
    <row r="3" spans="1:12" ht="12.75">
      <c r="A3" s="3140" t="s">
        <v>2113</v>
      </c>
      <c r="B3" s="3141"/>
      <c r="C3" s="3141"/>
      <c r="D3" s="3141"/>
      <c r="E3" s="3141"/>
      <c r="F3" s="3141"/>
      <c r="G3" s="3141"/>
      <c r="H3" s="3141"/>
      <c r="I3" s="3141"/>
    </row>
    <row r="4" spans="1:12" ht="14.25">
      <c r="A4" s="2422" t="s">
        <v>2114</v>
      </c>
      <c r="B4" s="2423" t="s">
        <v>2115</v>
      </c>
      <c r="C4" s="2424" t="s">
        <v>3103</v>
      </c>
      <c r="D4" s="2424" t="s">
        <v>3095</v>
      </c>
      <c r="E4" s="3121" t="s">
        <v>2116</v>
      </c>
      <c r="F4" s="3134"/>
      <c r="G4" s="3134"/>
      <c r="H4" s="3134"/>
      <c r="I4" s="3122"/>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2" t="s">
        <v>2117</v>
      </c>
      <c r="B5" s="3038">
        <v>25</v>
      </c>
      <c r="C5" s="3142"/>
      <c r="D5" s="3130"/>
      <c r="E5" s="139" t="s">
        <v>2118</v>
      </c>
      <c r="F5" s="2426"/>
      <c r="G5" s="2426"/>
      <c r="H5" s="2426"/>
      <c r="I5" s="1831"/>
    </row>
    <row r="6" spans="1:12" ht="12.75">
      <c r="A6" s="3112"/>
      <c r="B6" s="3038"/>
      <c r="C6" s="3144"/>
      <c r="D6" s="3130"/>
      <c r="E6" s="139" t="s">
        <v>2119</v>
      </c>
      <c r="F6" s="2426"/>
      <c r="G6" s="2426"/>
      <c r="H6" s="2426"/>
      <c r="I6" s="1831"/>
    </row>
    <row r="7" spans="1:12" ht="12.75">
      <c r="A7" s="3112"/>
      <c r="B7" s="3038"/>
      <c r="C7" s="3143"/>
      <c r="D7" s="3130"/>
      <c r="E7" s="139" t="s">
        <v>2120</v>
      </c>
      <c r="F7" s="2426"/>
      <c r="G7" s="2426"/>
      <c r="H7" s="2426"/>
      <c r="I7" s="1831"/>
    </row>
    <row r="8" spans="1:12" ht="12.75">
      <c r="A8" s="3112" t="s">
        <v>2121</v>
      </c>
      <c r="B8" s="3038">
        <v>15</v>
      </c>
      <c r="C8" s="3142"/>
      <c r="D8" s="3130"/>
      <c r="E8" s="139" t="s">
        <v>2122</v>
      </c>
      <c r="F8" s="2426"/>
      <c r="G8" s="2426"/>
      <c r="H8" s="2426"/>
      <c r="I8" s="1831"/>
    </row>
    <row r="9" spans="1:12" ht="12.75">
      <c r="A9" s="3112"/>
      <c r="B9" s="3038"/>
      <c r="C9" s="3143"/>
      <c r="D9" s="3130"/>
      <c r="E9" s="139" t="s">
        <v>2123</v>
      </c>
      <c r="F9" s="2426"/>
      <c r="G9" s="2426"/>
      <c r="H9" s="2426"/>
      <c r="I9" s="1831"/>
    </row>
    <row r="10" spans="1:12" ht="12.75">
      <c r="A10" s="3112" t="s">
        <v>2124</v>
      </c>
      <c r="B10" s="3038">
        <v>15</v>
      </c>
      <c r="C10" s="3142"/>
      <c r="D10" s="3130"/>
      <c r="E10" s="139" t="s">
        <v>2125</v>
      </c>
      <c r="F10" s="2426"/>
      <c r="G10" s="2426"/>
      <c r="H10" s="2426"/>
      <c r="I10" s="1831"/>
    </row>
    <row r="11" spans="1:12" ht="12.75">
      <c r="A11" s="3112"/>
      <c r="B11" s="3038"/>
      <c r="C11" s="3143"/>
      <c r="D11" s="3130"/>
      <c r="E11" s="139" t="s">
        <v>2126</v>
      </c>
      <c r="F11" s="2426"/>
      <c r="G11" s="2426"/>
      <c r="H11" s="2426"/>
      <c r="I11" s="1831"/>
    </row>
    <row r="12" spans="1:12" ht="12.75">
      <c r="A12" s="3112" t="s">
        <v>2127</v>
      </c>
      <c r="B12" s="3038">
        <v>15</v>
      </c>
      <c r="C12" s="3142"/>
      <c r="D12" s="3130"/>
      <c r="E12" s="139" t="s">
        <v>2128</v>
      </c>
      <c r="F12" s="2426"/>
      <c r="G12" s="2426"/>
      <c r="H12" s="2426"/>
      <c r="I12" s="1831"/>
    </row>
    <row r="13" spans="1:12" ht="12.75">
      <c r="A13" s="3112"/>
      <c r="B13" s="3038"/>
      <c r="C13" s="3143"/>
      <c r="D13" s="3130"/>
      <c r="E13" s="139" t="s">
        <v>2129</v>
      </c>
      <c r="F13" s="2426"/>
      <c r="G13" s="2426"/>
      <c r="H13" s="2426"/>
      <c r="I13" s="1831"/>
    </row>
    <row r="14" spans="1:12" ht="12.75">
      <c r="A14" s="3112" t="s">
        <v>2130</v>
      </c>
      <c r="B14" s="3038">
        <v>30</v>
      </c>
      <c r="C14" s="3142">
        <v>5</v>
      </c>
      <c r="D14" s="3130">
        <f>10-C14</f>
        <v>5</v>
      </c>
      <c r="E14" s="139" t="s">
        <v>2131</v>
      </c>
      <c r="F14" s="2426"/>
      <c r="G14" s="2426"/>
      <c r="H14" s="2426"/>
      <c r="I14" s="1831"/>
    </row>
    <row r="15" spans="1:12" ht="12.75">
      <c r="A15" s="3112"/>
      <c r="B15" s="3038"/>
      <c r="C15" s="3144"/>
      <c r="D15" s="3130"/>
      <c r="E15" s="139" t="s">
        <v>2132</v>
      </c>
      <c r="F15" s="2426"/>
      <c r="G15" s="2426"/>
      <c r="H15" s="2426"/>
      <c r="I15" s="1831"/>
    </row>
    <row r="16" spans="1:12" ht="12.75">
      <c r="A16" s="3112"/>
      <c r="B16" s="3038"/>
      <c r="C16" s="3143"/>
      <c r="D16" s="3130"/>
      <c r="E16" s="139" t="s">
        <v>2133</v>
      </c>
      <c r="F16" s="2426"/>
      <c r="G16" s="2426"/>
      <c r="H16" s="2426"/>
      <c r="I16" s="1831"/>
    </row>
    <row r="17" spans="1:35" ht="15">
      <c r="A17" s="2427" t="s">
        <v>2134</v>
      </c>
      <c r="B17" s="63"/>
      <c r="C17" s="140">
        <f>SUM(C5:C16)</f>
        <v>5</v>
      </c>
      <c r="D17" s="140">
        <f>SUM(D5:D16)</f>
        <v>5</v>
      </c>
      <c r="E17" s="137"/>
      <c r="F17" s="137"/>
      <c r="G17" s="137"/>
      <c r="H17" s="137"/>
      <c r="I17" s="137"/>
      <c r="K17" s="2425"/>
      <c r="L17" s="2428" t="s">
        <v>2135</v>
      </c>
      <c r="M17" s="2428" t="s">
        <v>2136</v>
      </c>
    </row>
    <row r="18" spans="1:35" ht="15.75" thickBot="1">
      <c r="A18" s="2429" t="s">
        <v>2137</v>
      </c>
      <c r="B18" s="2430"/>
      <c r="C18" s="141">
        <f>ROUND(C17/SUM(C17:D17),2)</f>
        <v>0.5</v>
      </c>
      <c r="D18" s="141">
        <f>1-C18</f>
        <v>0.5</v>
      </c>
      <c r="E18" s="137"/>
      <c r="F18" s="137"/>
      <c r="G18" s="137"/>
      <c r="H18" s="137"/>
      <c r="I18" s="137"/>
      <c r="K18" s="2425" t="s">
        <v>2138</v>
      </c>
      <c r="L18" s="2425">
        <f>IF(C1="",'数据-汇总表'!E3,SUMIF(项目类型,C1,'数据-汇总表'!E17:E26)+SUMIF(项目类型,C1,'数据-汇总表'!I17:I26))</f>
        <v>31156.999999999996</v>
      </c>
      <c r="M18" s="2425">
        <f>IF(C1="",'数据-汇总表'!E3,SUMIF(项目类型,C1,'数据-汇总表'!E17:E26))</f>
        <v>31156.999999999996</v>
      </c>
    </row>
    <row r="19" spans="1:35" ht="15">
      <c r="A19" s="2431" t="s">
        <v>2139</v>
      </c>
      <c r="B19" s="2432" t="s">
        <v>2140</v>
      </c>
      <c r="C19" s="142">
        <f ca="1">SUMIF(INDIRECT("'"&amp;C4&amp;"'"&amp;"!A:A"),结果表!B19,INDIRECT("'"&amp;C4&amp;"'"&amp;"!B:B"))</f>
        <v>1226</v>
      </c>
      <c r="D19" s="143">
        <f ca="1">SUMIF(INDIRECT("'"&amp;D4&amp;"'"&amp;"!A:A"),结果表!B19,INDIRECT("'"&amp;D4&amp;"'"&amp;"!B:B"))</f>
        <v>954</v>
      </c>
      <c r="E19" s="2431" t="s">
        <v>2141</v>
      </c>
      <c r="F19" s="2432" t="s">
        <v>2140</v>
      </c>
      <c r="G19" s="144">
        <f ca="1">ROUND(C19*$C$18+D19*$D$18,0)</f>
        <v>1090</v>
      </c>
      <c r="H19" s="2433" t="s">
        <v>2142</v>
      </c>
      <c r="I19" s="137"/>
      <c r="K19" s="2425" t="s">
        <v>2143</v>
      </c>
      <c r="L19" s="2425">
        <f>IF(C1="",'数据-汇总表'!D3,SUMIF(项目类型,C1,'数据-汇总表'!D17:D26)+SUMIF(项目类型,C1,'数据-汇总表'!H17:H27))</f>
        <v>12119</v>
      </c>
      <c r="M19" s="2425">
        <f>IF(C1="",'数据-汇总表'!D3,SUMIF(项目类型,C1,'数据-汇总表'!D17:D26))</f>
        <v>12119</v>
      </c>
    </row>
    <row r="20" spans="1:35" ht="15">
      <c r="A20" s="2434"/>
      <c r="B20" s="1247" t="s">
        <v>2144</v>
      </c>
      <c r="C20" s="145">
        <f ca="1">SUMIF(INDIRECT("'"&amp;C4&amp;"'"&amp;"!A:A"),结果表!B20,INDIRECT("'"&amp;C4&amp;"'"&amp;"!B:B"))</f>
        <v>42566</v>
      </c>
      <c r="D20" s="146">
        <f ca="1">SUMIF(INDIRECT("'"&amp;D4&amp;"'"&amp;"!A:A"),结果表!B20,INDIRECT("'"&amp;D4&amp;"'"&amp;"!B:B"))</f>
        <v>33133</v>
      </c>
      <c r="E20" s="2434"/>
      <c r="F20" s="1247" t="s">
        <v>2144</v>
      </c>
      <c r="G20" s="147">
        <f ca="1">ROUND(C20*$C$18+D20*$D$18,0)</f>
        <v>37850</v>
      </c>
      <c r="H20" s="980" t="s">
        <v>2145</v>
      </c>
      <c r="I20" s="137"/>
    </row>
    <row r="21" spans="1:35" ht="15" customHeight="1" thickBot="1">
      <c r="A21" s="1000"/>
      <c r="B21" s="2435" t="s">
        <v>2146</v>
      </c>
      <c r="C21" s="786">
        <f ca="1">ROUND(C19*10000/L19,0)</f>
        <v>1012</v>
      </c>
      <c r="D21" s="787">
        <f ca="1">ROUND(D19*10000/L19,0)</f>
        <v>787</v>
      </c>
      <c r="E21" s="1000"/>
      <c r="F21" s="2435" t="s">
        <v>2146</v>
      </c>
      <c r="G21" s="148">
        <f ca="1">ROUND(G19*10000/L19,0)</f>
        <v>899</v>
      </c>
      <c r="H21" s="2436" t="s">
        <v>2145</v>
      </c>
      <c r="I21" s="137"/>
    </row>
    <row r="22" spans="1:35" ht="15" thickBot="1">
      <c r="A22" s="2277" t="s">
        <v>2147</v>
      </c>
      <c r="B22" s="2437"/>
      <c r="C22" s="2438"/>
      <c r="D22" s="788">
        <f ca="1">IF(C19&lt;D19,D19/C19-1,C19/D19-1)</f>
        <v>0.2851153039832286</v>
      </c>
      <c r="E22" s="137"/>
      <c r="F22" s="137"/>
      <c r="G22" s="137"/>
      <c r="H22" s="137"/>
      <c r="I22" s="137"/>
    </row>
    <row r="23" spans="1:35" ht="13.5" thickBot="1">
      <c r="A23" s="2415"/>
      <c r="B23" s="2415"/>
      <c r="C23" s="2415"/>
      <c r="D23" s="2415"/>
      <c r="E23" s="137"/>
      <c r="F23" s="137"/>
      <c r="G23" s="137"/>
      <c r="H23" s="137"/>
      <c r="I23" s="137"/>
    </row>
    <row r="24" spans="1:35" ht="14.25">
      <c r="A24" s="3151" t="s">
        <v>2148</v>
      </c>
      <c r="B24" s="2432" t="s">
        <v>2140</v>
      </c>
      <c r="C24" s="144">
        <f>IF(B30=0,0,D30)</f>
        <v>0</v>
      </c>
      <c r="D24" s="2439"/>
      <c r="E24" s="137"/>
      <c r="F24" s="137"/>
      <c r="G24" s="137"/>
      <c r="H24" s="137"/>
      <c r="I24" s="137"/>
    </row>
    <row r="25" spans="1:35" ht="14.25">
      <c r="A25" s="3152"/>
      <c r="B25" s="1247" t="s">
        <v>2144</v>
      </c>
      <c r="C25" s="149">
        <f>IF(B30=0,0,C30)</f>
        <v>0</v>
      </c>
      <c r="D25" s="2440"/>
      <c r="E25" s="137"/>
      <c r="F25" s="137"/>
      <c r="G25" s="137"/>
      <c r="H25" s="137"/>
      <c r="I25" s="137"/>
    </row>
    <row r="26" spans="1:35" ht="13.5" customHeight="1">
      <c r="A26" s="2441" t="s">
        <v>2149</v>
      </c>
      <c r="B26" s="150" t="s">
        <v>2150</v>
      </c>
      <c r="C26" s="150" t="s">
        <v>2151</v>
      </c>
      <c r="D26" s="151" t="s">
        <v>2152</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2153</v>
      </c>
      <c r="B30" s="150"/>
      <c r="C30" s="150"/>
      <c r="D30" s="150"/>
      <c r="E30" s="2924" t="s">
        <v>3029</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2154</v>
      </c>
      <c r="B32" s="2445"/>
      <c r="C32" s="152">
        <f ca="1">IF(D32="总价",G19-C24,G20-C25)</f>
        <v>1090</v>
      </c>
      <c r="D32" s="2446" t="s">
        <v>2155</v>
      </c>
      <c r="E32" s="137"/>
      <c r="F32" s="137"/>
      <c r="G32" s="137"/>
      <c r="H32" s="137"/>
      <c r="I32" s="137"/>
    </row>
    <row r="33" spans="1:15" ht="15">
      <c r="A33" s="957" t="s">
        <v>2156</v>
      </c>
      <c r="B33" s="2447"/>
      <c r="C33" s="2448"/>
      <c r="D33" s="2449"/>
      <c r="E33" s="2450" t="s">
        <v>2157</v>
      </c>
      <c r="F33" s="2451" t="str">
        <f>IF(D32="楼面单价","取值（单价）","取值（总价）")</f>
        <v>取值（总价）</v>
      </c>
      <c r="G33" s="137"/>
      <c r="H33" s="137"/>
      <c r="I33" s="137"/>
    </row>
    <row r="34" spans="1:15" ht="15">
      <c r="A34" s="2452"/>
      <c r="B34" s="2453" t="s">
        <v>2158</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2159</v>
      </c>
      <c r="F34" s="1736"/>
      <c r="G34" s="137"/>
      <c r="H34" s="137"/>
      <c r="I34" s="137"/>
    </row>
    <row r="35" spans="1:15" ht="15.75" thickBot="1">
      <c r="A35" s="2455"/>
      <c r="B35" s="2456" t="s">
        <v>2160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2161</v>
      </c>
      <c r="F35" s="162"/>
      <c r="G35" s="137"/>
      <c r="H35" s="137"/>
      <c r="I35" s="137"/>
    </row>
    <row r="36" spans="1:15" ht="15.75" thickBot="1">
      <c r="A36" s="3131" t="s">
        <v>2162</v>
      </c>
      <c r="B36" s="2458" t="s">
        <v>2163</v>
      </c>
      <c r="C36" s="153"/>
      <c r="D36" s="2459"/>
      <c r="E36" s="2460"/>
      <c r="F36" s="2461"/>
      <c r="G36" s="137"/>
      <c r="H36" s="137"/>
      <c r="I36" s="137"/>
    </row>
    <row r="37" spans="1:15" ht="15.75" thickBot="1">
      <c r="A37" s="3132"/>
      <c r="B37" s="2263" t="s">
        <v>2164</v>
      </c>
      <c r="C37" s="155"/>
      <c r="D37" s="1392"/>
      <c r="E37" s="1392"/>
      <c r="F37" s="2461"/>
      <c r="G37" s="137"/>
      <c r="H37" s="137"/>
      <c r="I37" s="137"/>
    </row>
    <row r="38" spans="1:15" ht="15.75" thickBot="1">
      <c r="A38" s="3133"/>
      <c r="B38" s="2462" t="s">
        <v>2165</v>
      </c>
      <c r="C38" s="724"/>
      <c r="D38" s="2463" t="s">
        <v>2166</v>
      </c>
      <c r="E38" s="1392"/>
      <c r="F38" s="2461"/>
      <c r="G38" s="137"/>
      <c r="H38" s="137"/>
      <c r="I38" s="137"/>
    </row>
    <row r="39" spans="1:15" ht="15">
      <c r="A39" s="2434" t="s">
        <v>2167</v>
      </c>
      <c r="B39" s="2464" t="s">
        <v>2168</v>
      </c>
      <c r="C39" s="2465" t="s">
        <v>2169</v>
      </c>
      <c r="D39" s="2465" t="s">
        <v>2170</v>
      </c>
      <c r="E39" s="2466" t="s">
        <v>2171</v>
      </c>
      <c r="F39" s="2461"/>
      <c r="G39" s="137"/>
      <c r="H39" s="137"/>
      <c r="I39" s="137"/>
    </row>
    <row r="40" spans="1:15" ht="14.25">
      <c r="A40" s="2467" t="s">
        <v>2172</v>
      </c>
      <c r="B40" s="157"/>
      <c r="C40" s="158"/>
      <c r="D40" s="158"/>
      <c r="E40" s="159"/>
      <c r="F40" s="2461"/>
      <c r="G40" s="137"/>
      <c r="H40" s="137"/>
      <c r="I40" s="137"/>
    </row>
    <row r="41" spans="1:15" ht="14.25">
      <c r="A41" s="2467" t="s">
        <v>2173</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2174</v>
      </c>
      <c r="B44" s="2472"/>
      <c r="C44" s="2472"/>
      <c r="D44" s="2473"/>
      <c r="E44" s="2473"/>
      <c r="F44" s="2474"/>
      <c r="G44" s="2474"/>
      <c r="H44" s="2474"/>
      <c r="I44" s="2474"/>
      <c r="J44" s="2475" t="s">
        <v>2175</v>
      </c>
      <c r="K44" s="2476"/>
      <c r="L44" s="2476"/>
      <c r="M44" s="2476"/>
      <c r="N44" s="2476"/>
      <c r="O44" s="2476"/>
    </row>
    <row r="45" spans="1:15" ht="14.25" customHeight="1" thickBot="1">
      <c r="A45" s="3148" t="s">
        <v>2176</v>
      </c>
      <c r="B45" s="3149"/>
      <c r="C45" s="3150"/>
      <c r="D45" s="163">
        <f ca="1">ROUND(H101*F45,0)</f>
        <v>1090</v>
      </c>
      <c r="E45" s="164" t="s">
        <v>2177</v>
      </c>
      <c r="F45" s="165">
        <v>1</v>
      </c>
      <c r="G45" s="166" t="s">
        <v>2178</v>
      </c>
      <c r="H45" s="137"/>
      <c r="I45" s="137"/>
      <c r="J45" s="3067" t="s">
        <v>2179</v>
      </c>
      <c r="K45" s="3067"/>
      <c r="L45" s="3067"/>
      <c r="M45" s="3067"/>
      <c r="N45" s="3067"/>
      <c r="O45" s="3067"/>
    </row>
    <row r="46" spans="1:15" ht="14.25" customHeight="1">
      <c r="A46" s="3145" t="s">
        <v>2180</v>
      </c>
      <c r="B46" s="3146"/>
      <c r="C46" s="3146"/>
      <c r="D46" s="3146"/>
      <c r="E46" s="3146"/>
      <c r="F46" s="3146"/>
      <c r="G46" s="3147"/>
      <c r="H46" s="2477"/>
      <c r="I46" s="167"/>
      <c r="J46" s="1809">
        <v>1</v>
      </c>
      <c r="K46" s="3067" t="s">
        <v>2181</v>
      </c>
      <c r="L46" s="3067"/>
      <c r="M46" s="3068"/>
      <c r="N46" s="3068"/>
      <c r="O46" s="3068"/>
    </row>
    <row r="47" spans="1:15" ht="12" customHeight="1">
      <c r="A47" s="168" t="s">
        <v>2182</v>
      </c>
      <c r="B47" s="169"/>
      <c r="C47" s="170"/>
      <c r="D47" s="171" t="s">
        <v>2183</v>
      </c>
      <c r="E47" s="24" t="s">
        <v>2184</v>
      </c>
      <c r="F47" s="172" t="s">
        <v>2185</v>
      </c>
      <c r="G47" s="173" t="s">
        <v>2186</v>
      </c>
      <c r="H47" s="2477"/>
      <c r="I47" s="167"/>
      <c r="J47" s="1809">
        <v>2</v>
      </c>
      <c r="K47" s="3067" t="s">
        <v>2187</v>
      </c>
      <c r="L47" s="3067"/>
      <c r="M47" s="3069">
        <f>'数据-取费表'!B2</f>
        <v>43405</v>
      </c>
      <c r="N47" s="3069"/>
      <c r="O47" s="3069"/>
    </row>
    <row r="48" spans="1:15" ht="25.5">
      <c r="A48" s="3135" t="s">
        <v>2188</v>
      </c>
      <c r="B48" s="3136"/>
      <c r="C48" s="3136"/>
      <c r="D48" s="139">
        <f>IF(H48="情况1",0,IF(H48="情况2",D52,IF(H48="情况3",D53,IF(H48="情况4",D54))))</f>
        <v>0</v>
      </c>
      <c r="E48" s="1798" t="str">
        <f>IF(H48="情况4","(销售额-原购置价)×税（费）率","销售额×税（费）率")</f>
        <v>销售额×税（费）率</v>
      </c>
      <c r="F48" s="174" t="str">
        <f>IF(H48="情况1","免征",'数据-取费表'!B41)</f>
        <v>免征</v>
      </c>
      <c r="G48" s="2478" t="s">
        <v>2189</v>
      </c>
      <c r="H48" s="2479" t="s">
        <v>2190</v>
      </c>
      <c r="I48" s="2477"/>
      <c r="J48" s="1809">
        <v>3</v>
      </c>
      <c r="K48" s="3067" t="s">
        <v>2191</v>
      </c>
      <c r="L48" s="3067"/>
      <c r="M48" s="3070">
        <f ca="1">H101</f>
        <v>1090</v>
      </c>
      <c r="N48" s="3070"/>
      <c r="O48" s="3070"/>
    </row>
    <row r="49" spans="1:35" ht="25.5" customHeight="1">
      <c r="A49" s="175" t="s">
        <v>2192</v>
      </c>
      <c r="B49" s="3115" t="s">
        <v>2193</v>
      </c>
      <c r="C49" s="3115"/>
      <c r="D49" s="176">
        <v>0</v>
      </c>
      <c r="E49" s="23" t="s">
        <v>2194</v>
      </c>
      <c r="F49" s="28" t="s">
        <v>34</v>
      </c>
      <c r="G49" s="3096"/>
      <c r="H49" s="137"/>
      <c r="I49" s="2480"/>
      <c r="J49" s="1809">
        <v>4</v>
      </c>
      <c r="K49" s="3067" t="str">
        <f>IF(项目基本情况!E8="房地产抵押价值","房地产抵押价值","抵押担保权已注销时的房地产抵押价值")</f>
        <v>房地产抵押价值</v>
      </c>
      <c r="L49" s="3067"/>
      <c r="M49" s="3070">
        <f ca="1">IF(项目基本情况!E8="房地产抵押价值",H107,H109)</f>
        <v>1090</v>
      </c>
      <c r="N49" s="3070"/>
      <c r="O49" s="3070"/>
    </row>
    <row r="50" spans="1:35" ht="25.5" customHeight="1">
      <c r="A50" s="177"/>
      <c r="B50" s="3115" t="s">
        <v>2195</v>
      </c>
      <c r="C50" s="3115"/>
      <c r="D50" s="178"/>
      <c r="E50" s="31"/>
      <c r="F50" s="179"/>
      <c r="G50" s="3097"/>
      <c r="H50" s="137"/>
      <c r="I50" s="2480"/>
      <c r="J50" s="3067" t="s">
        <v>2196</v>
      </c>
      <c r="K50" s="3067"/>
      <c r="L50" s="3067"/>
      <c r="M50" s="3067"/>
      <c r="N50" s="3067"/>
      <c r="O50" s="3067"/>
    </row>
    <row r="51" spans="1:35" ht="12" customHeight="1">
      <c r="A51" s="180"/>
      <c r="B51" s="3115" t="s">
        <v>2197</v>
      </c>
      <c r="C51" s="3115"/>
      <c r="D51" s="181"/>
      <c r="E51" s="30"/>
      <c r="F51" s="179"/>
      <c r="G51" s="3098"/>
      <c r="H51" s="137"/>
      <c r="I51" s="2480"/>
      <c r="J51" s="2481" t="s">
        <v>2198</v>
      </c>
      <c r="K51" s="3067" t="s">
        <v>2199</v>
      </c>
      <c r="L51" s="3067"/>
      <c r="M51" s="2481" t="s">
        <v>2200</v>
      </c>
      <c r="N51" s="2481" t="s">
        <v>2201</v>
      </c>
      <c r="O51" s="2481" t="s">
        <v>2202</v>
      </c>
    </row>
    <row r="52" spans="1:35" ht="24" customHeight="1">
      <c r="A52" s="182" t="s">
        <v>2203</v>
      </c>
      <c r="B52" s="3115" t="s">
        <v>2204</v>
      </c>
      <c r="C52" s="3115"/>
      <c r="D52" s="181">
        <f ca="1">ROUND(D45*'数据-取费表'!B41/(1+'数据-取费表'!C42),0)</f>
        <v>57</v>
      </c>
      <c r="E52" s="11" t="s">
        <v>2205</v>
      </c>
      <c r="F52" s="183">
        <f>'数据-取费表'!B41</f>
        <v>5.5000000000000007E-2</v>
      </c>
      <c r="G52" s="2482"/>
      <c r="H52" s="137"/>
      <c r="I52" s="2480"/>
      <c r="J52" s="1809">
        <v>1</v>
      </c>
      <c r="K52" s="3090" t="s">
        <v>2206</v>
      </c>
      <c r="L52" s="3090"/>
      <c r="M52" s="1751">
        <f>D48</f>
        <v>0</v>
      </c>
      <c r="N52" s="1809" t="str">
        <f>E48</f>
        <v>销售额×税（费）率</v>
      </c>
      <c r="O52" s="1752" t="str">
        <f>F48</f>
        <v>免征</v>
      </c>
    </row>
    <row r="53" spans="1:35" ht="12" customHeight="1">
      <c r="A53" s="182" t="s">
        <v>2207</v>
      </c>
      <c r="B53" s="3116" t="s">
        <v>2208</v>
      </c>
      <c r="C53" s="3117"/>
      <c r="D53" s="181">
        <f ca="1">ROUND(D45*'数据-取费表'!B41/(1+'数据-取费表'!C42),0)</f>
        <v>57</v>
      </c>
      <c r="E53" s="11" t="s">
        <v>2205</v>
      </c>
      <c r="F53" s="183">
        <f>'数据-取费表'!B41</f>
        <v>5.5000000000000007E-2</v>
      </c>
      <c r="G53" s="2482"/>
      <c r="H53" s="137"/>
      <c r="I53" s="2480"/>
      <c r="J53" s="1809">
        <v>2</v>
      </c>
      <c r="K53" s="3090" t="s">
        <v>2209</v>
      </c>
      <c r="L53" s="3090"/>
      <c r="M53" s="1751">
        <f t="shared" ref="M53:O54" ca="1" si="0">D55</f>
        <v>1</v>
      </c>
      <c r="N53" s="1809" t="str">
        <f t="shared" si="0"/>
        <v>销售额×税（费）率</v>
      </c>
      <c r="O53" s="1752">
        <f t="shared" si="0"/>
        <v>5.0000000000000001E-4</v>
      </c>
    </row>
    <row r="54" spans="1:35" ht="12" customHeight="1">
      <c r="A54" s="182" t="s">
        <v>2210</v>
      </c>
      <c r="B54" s="3116" t="s">
        <v>2211</v>
      </c>
      <c r="C54" s="3117"/>
      <c r="D54" s="181">
        <f ca="1">C68</f>
        <v>57</v>
      </c>
      <c r="E54" s="30" t="s">
        <v>2212</v>
      </c>
      <c r="F54" s="183">
        <f>'数据-取费表'!B41</f>
        <v>5.5000000000000007E-2</v>
      </c>
      <c r="G54" s="2482"/>
      <c r="H54" s="2483"/>
      <c r="I54" s="2480"/>
      <c r="J54" s="1809">
        <v>3</v>
      </c>
      <c r="K54" s="3090" t="s">
        <v>2213</v>
      </c>
      <c r="L54" s="3090"/>
      <c r="M54" s="1751">
        <f t="shared" ca="1" si="0"/>
        <v>618</v>
      </c>
      <c r="N54" s="1809" t="str">
        <f t="shared" si="0"/>
        <v>增值额×税（费）率</v>
      </c>
      <c r="O54" s="1753" t="str">
        <f t="shared" si="0"/>
        <v>——</v>
      </c>
    </row>
    <row r="55" spans="1:35" ht="24" customHeight="1">
      <c r="A55" s="3154" t="s">
        <v>2214</v>
      </c>
      <c r="B55" s="3136"/>
      <c r="C55" s="3136"/>
      <c r="D55" s="184">
        <f ca="1">IF(H55="个人住宅",0,ROUND(D45*I55,0))</f>
        <v>1</v>
      </c>
      <c r="E55" s="11" t="s">
        <v>2215</v>
      </c>
      <c r="F55" s="183">
        <f>IF(H55="正常",I55,"免征")</f>
        <v>5.0000000000000001E-4</v>
      </c>
      <c r="G55" s="2482"/>
      <c r="H55" s="2479" t="s">
        <v>2216</v>
      </c>
      <c r="I55" s="185">
        <f>'数据-取费表'!B49</f>
        <v>5.0000000000000001E-4</v>
      </c>
      <c r="J55" s="1809" t="str">
        <f>IF(H59="非个人房产","",4)</f>
        <v/>
      </c>
      <c r="K55" s="3090" t="str">
        <f>IF(H59="非个人房产","——","个人所得税")</f>
        <v>——</v>
      </c>
      <c r="L55" s="3090"/>
      <c r="M55" s="1754" t="str">
        <f>D59</f>
        <v>——</v>
      </c>
      <c r="N55" s="1807" t="str">
        <f>E59</f>
        <v>——</v>
      </c>
      <c r="O55" s="1755" t="str">
        <f>F59</f>
        <v>——</v>
      </c>
    </row>
    <row r="56" spans="1:35" ht="24.75">
      <c r="A56" s="3154" t="s">
        <v>2217</v>
      </c>
      <c r="B56" s="3136"/>
      <c r="C56" s="3136"/>
      <c r="D56" s="184">
        <f ca="1">IF(H56="个人住宅",D57,D58)</f>
        <v>618</v>
      </c>
      <c r="E56" s="11" t="s">
        <v>2218</v>
      </c>
      <c r="F56" s="183" t="str">
        <f>IF(H56="正常",F58,"免征")</f>
        <v>——</v>
      </c>
      <c r="G56" s="2484" t="s">
        <v>2219</v>
      </c>
      <c r="H56" s="2485" t="s">
        <v>2216</v>
      </c>
      <c r="I56" s="2486"/>
      <c r="J56" s="1809" t="str">
        <f>IF(项目基本情况!K6="上海银行",IF(J55="",4,J55+1),"")</f>
        <v/>
      </c>
      <c r="K56" s="3073" t="str">
        <f>IF(项目基本情况!K6="上海银行","其他处置费用","")</f>
        <v/>
      </c>
      <c r="L56" s="3074"/>
      <c r="M56" s="1751" t="str">
        <f>IF(项目基本情况!K6="上海银行",M69,"")</f>
        <v/>
      </c>
      <c r="N56" s="3076" t="str">
        <f>IF(项目基本情况!K6="上海银行","包含处置中涉及的律师、诉讼、拍卖、评估等费用","")</f>
        <v/>
      </c>
      <c r="O56" s="3077"/>
    </row>
    <row r="57" spans="1:35" ht="12.75">
      <c r="A57" s="182" t="s">
        <v>2192</v>
      </c>
      <c r="B57" s="3121" t="s">
        <v>2220</v>
      </c>
      <c r="C57" s="3122"/>
      <c r="D57" s="186">
        <v>0</v>
      </c>
      <c r="E57" s="23" t="s">
        <v>2194</v>
      </c>
      <c r="F57" s="154"/>
      <c r="G57" s="2482"/>
      <c r="H57" s="2486"/>
      <c r="I57" s="2486"/>
      <c r="J57" s="3090">
        <f>IF(AND(J55="",J56=""),4,IF(项目基本情况!K6="上海银行",结果表!J56+1,结果表!J55+1))</f>
        <v>4</v>
      </c>
      <c r="K57" s="3090" t="s">
        <v>2221</v>
      </c>
      <c r="L57" s="2487" t="s">
        <v>2222</v>
      </c>
      <c r="M57" s="1756"/>
      <c r="N57" s="1757">
        <f ca="1">SUMIF(M52:M56,"&lt;9e307")</f>
        <v>619</v>
      </c>
      <c r="O57" s="2488"/>
      <c r="P57" s="1750">
        <f ca="1">N57/M49</f>
        <v>0.56788990825688068</v>
      </c>
    </row>
    <row r="58" spans="1:35" ht="24.75">
      <c r="A58" s="182" t="s">
        <v>2203</v>
      </c>
      <c r="B58" s="3121" t="s">
        <v>2223</v>
      </c>
      <c r="C58" s="3134"/>
      <c r="D58" s="184">
        <f ca="1">IF(H58="转让取得",C81,C97)</f>
        <v>618</v>
      </c>
      <c r="E58" s="11" t="s">
        <v>2218</v>
      </c>
      <c r="F58" s="24" t="s">
        <v>34</v>
      </c>
      <c r="G58" s="2482"/>
      <c r="H58" s="2485" t="s">
        <v>2224</v>
      </c>
      <c r="I58" s="2486"/>
      <c r="J58" s="3090"/>
      <c r="K58" s="3090"/>
      <c r="L58" s="2487" t="s">
        <v>2225</v>
      </c>
      <c r="M58" s="1758"/>
      <c r="N58" s="2489" t="str">
        <f ca="1">NUMBERSTRING(INT(N57*10000),2)&amp;"元整"</f>
        <v>陆佰壹拾玖万元整</v>
      </c>
      <c r="O58" s="2490"/>
    </row>
    <row r="59" spans="1:35" ht="24.75" thickBot="1">
      <c r="A59" s="3094" t="s">
        <v>2226</v>
      </c>
      <c r="B59" s="3095"/>
      <c r="C59" s="3095"/>
      <c r="D59" s="187" t="str">
        <f>IF(H59="非个人房产","——",IF(H59="个人住宅",0,ROUND(D45*I59,0)))</f>
        <v>——</v>
      </c>
      <c r="E59" s="188" t="str">
        <f>IF(H59="非个人房产","——","销售额×税（费）率")</f>
        <v>——</v>
      </c>
      <c r="F59" s="189" t="str">
        <f>IF(H59="非个人房产","——",IF(H59="个人住宅","免征",I59))</f>
        <v>——</v>
      </c>
      <c r="G59" s="2491" t="s">
        <v>2219</v>
      </c>
      <c r="H59" s="2485" t="s">
        <v>2227</v>
      </c>
      <c r="I59" s="190">
        <v>0.01</v>
      </c>
      <c r="J59" s="3092">
        <f>J57+1</f>
        <v>5</v>
      </c>
      <c r="K59" s="3090" t="s">
        <v>2228</v>
      </c>
      <c r="L59" s="1809" t="s">
        <v>2222</v>
      </c>
      <c r="M59" s="1759"/>
      <c r="N59" s="1760">
        <f ca="1">M49-N57</f>
        <v>471</v>
      </c>
      <c r="O59" s="2492"/>
    </row>
    <row r="60" spans="1:35" ht="12" customHeight="1">
      <c r="A60" s="2493"/>
      <c r="B60" s="2415"/>
      <c r="C60" s="2415"/>
      <c r="D60" s="2415"/>
      <c r="E60" s="2163"/>
      <c r="F60" s="2486"/>
      <c r="G60" s="2486"/>
      <c r="H60" s="2494"/>
      <c r="I60" s="137"/>
      <c r="J60" s="3093"/>
      <c r="K60" s="3090"/>
      <c r="L60" s="2487" t="s">
        <v>2225</v>
      </c>
      <c r="M60" s="1758"/>
      <c r="N60" s="2489" t="str">
        <f ca="1">NUMBERSTRING(INT(N59*10000),2)&amp;"元整"</f>
        <v>肆佰柒拾壹万元整</v>
      </c>
      <c r="O60" s="2490"/>
    </row>
    <row r="61" spans="1:35" ht="13.5" thickBot="1">
      <c r="A61" s="3153" t="s">
        <v>2229</v>
      </c>
      <c r="B61" s="3153"/>
      <c r="C61" s="3153"/>
      <c r="D61" s="3153"/>
      <c r="E61" s="3153"/>
      <c r="F61" s="2486"/>
      <c r="G61" s="2486"/>
      <c r="H61" s="2494"/>
      <c r="I61" s="137"/>
      <c r="J61" s="1809">
        <f>J59+1</f>
        <v>6</v>
      </c>
      <c r="K61" s="3090" t="s">
        <v>2230</v>
      </c>
      <c r="L61" s="3090"/>
      <c r="M61" s="1761"/>
      <c r="N61" s="1762">
        <f ca="1">ROUND(N59*10000/'数据-汇总表'!E3,0)</f>
        <v>151</v>
      </c>
      <c r="O61" s="2495"/>
    </row>
    <row r="62" spans="1:35" ht="12.75">
      <c r="A62" s="3110" t="s">
        <v>2231</v>
      </c>
      <c r="B62" s="3111"/>
      <c r="C62" s="1801"/>
      <c r="D62" s="1801" t="s">
        <v>2232</v>
      </c>
      <c r="E62" s="191" t="s">
        <v>2233</v>
      </c>
      <c r="F62" s="2486"/>
      <c r="G62" s="2486"/>
      <c r="H62" s="2494"/>
      <c r="I62" s="137"/>
    </row>
    <row r="63" spans="1:35" ht="12.75">
      <c r="A63" s="202" t="s">
        <v>775</v>
      </c>
      <c r="B63" s="192" t="s">
        <v>2234</v>
      </c>
      <c r="C63" s="193">
        <f ca="1">ROUND((C64+C65)/(1+'数据-取费表'!C42),0)</f>
        <v>1038</v>
      </c>
      <c r="D63" s="194"/>
      <c r="E63" s="195"/>
      <c r="F63" s="2486"/>
      <c r="G63" s="2486"/>
      <c r="H63" s="2494"/>
      <c r="I63" s="137"/>
      <c r="J63" s="3075" t="s">
        <v>2235</v>
      </c>
      <c r="K63" s="2496" t="s">
        <v>2236</v>
      </c>
      <c r="L63" s="1749">
        <f ca="1">IF(M49&gt;10000,M49*0.5%,IF(AND(M49&gt;1000,M49&lt;=10000),M49*1%,IF(AND(M49&gt;100,M49&lt;=1000),M49*3%,IF(AND(M49&gt;10,M49&lt;=100),M49*5%,M49*8%))))</f>
        <v>10.9</v>
      </c>
      <c r="M63" s="24">
        <f ca="1">ROUND(L63,1)</f>
        <v>10.9</v>
      </c>
      <c r="Z63" s="2420"/>
      <c r="AI63" s="2421"/>
    </row>
    <row r="64" spans="1:35" ht="14.25" customHeight="1">
      <c r="A64" s="196" t="s">
        <v>770</v>
      </c>
      <c r="B64" s="197" t="s">
        <v>2237</v>
      </c>
      <c r="C64" s="198">
        <f ca="1">D45</f>
        <v>1090</v>
      </c>
      <c r="D64" s="199" t="s">
        <v>32</v>
      </c>
      <c r="E64" s="200"/>
      <c r="F64" s="2486"/>
      <c r="G64" s="2486"/>
      <c r="H64" s="2494"/>
      <c r="I64" s="137"/>
      <c r="J64" s="3075"/>
      <c r="K64" s="2496" t="s">
        <v>2238</v>
      </c>
      <c r="L64" s="1749">
        <f ca="1">IF(M49&gt;2000,M49*0.5%,IF(AND(M49&gt;1000,M49&lt;=2000),M49*0.6%,IF(AND(M49&gt;500,M49&lt;=1000),M49*0.7%,IF(AND(M49&gt;200,M49&lt;=500),M49*0.8%,IF(AND(M49&gt;100,M49&lt;=200),M49*0.9%,IF(AND(M49&gt;50,M49&lt;=100),M49*1%,IF(AND(M49&gt;20,M49&lt;=50),M49*1.5%,IF(AND(M49&gt;10,M49&lt;=20),M49*2%,IF(AND(M49&gt;1,M49&lt;=10),M49*2.5%)))))))))</f>
        <v>6.54</v>
      </c>
      <c r="M64" s="24">
        <f t="shared" ref="M64:M65" ca="1" si="1">ROUND(L64,1)</f>
        <v>6.5</v>
      </c>
      <c r="N64" s="137" t="s">
        <v>2239</v>
      </c>
      <c r="Z64" s="2420"/>
      <c r="AI64" s="2421"/>
    </row>
    <row r="65" spans="1:35" ht="14.25" customHeight="1">
      <c r="A65" s="196" t="s">
        <v>771</v>
      </c>
      <c r="B65" s="197" t="s">
        <v>2240</v>
      </c>
      <c r="C65" s="201"/>
      <c r="D65" s="199"/>
      <c r="E65" s="200"/>
      <c r="F65" s="2486"/>
      <c r="G65" s="2486"/>
      <c r="H65" s="2494"/>
      <c r="I65" s="137"/>
      <c r="J65" s="3075"/>
      <c r="K65" s="2496" t="s">
        <v>2241</v>
      </c>
      <c r="L65" s="1749">
        <f ca="1">IF(M49&gt;1000,M49*0.1%,IF(AND(M49&gt;500,M49&lt;=1000),M49*0.5%,IF(AND(M49&gt;50,M49&lt;=500),M49*1%,IF(AND(M49&gt;1,M49&lt;=50),M49*1.5%))))</f>
        <v>1.0900000000000001</v>
      </c>
      <c r="M65" s="24">
        <f t="shared" ca="1" si="1"/>
        <v>1.1000000000000001</v>
      </c>
      <c r="N65" s="137" t="s">
        <v>2239</v>
      </c>
      <c r="Z65" s="2420"/>
      <c r="AI65" s="2421"/>
    </row>
    <row r="66" spans="1:35" ht="14.25" customHeight="1">
      <c r="A66" s="202" t="s">
        <v>772</v>
      </c>
      <c r="B66" s="203" t="s">
        <v>2242</v>
      </c>
      <c r="C66" s="204"/>
      <c r="D66" s="205" t="s">
        <v>32</v>
      </c>
      <c r="E66" s="1773" t="s">
        <v>1367</v>
      </c>
      <c r="F66" s="2486"/>
      <c r="G66" s="2486"/>
      <c r="H66" s="2494"/>
      <c r="I66" s="137"/>
      <c r="J66" s="3075"/>
      <c r="K66" s="2496" t="s">
        <v>2243</v>
      </c>
      <c r="L66" s="1749">
        <f ca="1">M49*0.5%</f>
        <v>5.45</v>
      </c>
      <c r="M66" s="24">
        <f ca="1">IF(L66&gt;0.5,0.5,ROUND(L66,0))</f>
        <v>0.5</v>
      </c>
      <c r="N66" s="137" t="s">
        <v>2244</v>
      </c>
      <c r="Z66" s="2420"/>
      <c r="AI66" s="2421"/>
    </row>
    <row r="67" spans="1:35" ht="14.25" customHeight="1">
      <c r="A67" s="202" t="s">
        <v>773</v>
      </c>
      <c r="B67" s="203" t="s">
        <v>2245</v>
      </c>
      <c r="C67" s="206">
        <f ca="1">C63-C66</f>
        <v>1038</v>
      </c>
      <c r="D67" s="199" t="s">
        <v>32</v>
      </c>
      <c r="E67" s="200"/>
      <c r="F67" s="2486"/>
      <c r="G67" s="2486"/>
      <c r="H67" s="2494"/>
      <c r="I67" s="137"/>
      <c r="J67" s="3075"/>
      <c r="K67" s="2496" t="s">
        <v>2246</v>
      </c>
      <c r="L67" s="1749">
        <f ca="1">IF(M49&gt;=10000,(8.25+(M49-10000)*0.01%),IF(AND(M49&gt;=8000,M49&lt;10000),(7.85+(M49-8000)*0.02%),IF(AND(M49&gt;=5000,M49&lt;8000),(6.65+(M49-5000)*0.04%),IF(AND(M49&gt;=2000,M49&lt;5000),(4.25+(PM49-2000)*0.08%),IF(AND(M49&gt;=1000,M49&lt;2000),(2.75+(M49-1000)*0.15%),IF(AND(M49&gt;=100,M49&lt;1000),(0.5+(M49-100)*0.25%),IF(AND(M49&gt;0,M49&lt;100),M49*0.5%)))))))</f>
        <v>2.8849999999999998</v>
      </c>
      <c r="M67" s="24">
        <f ca="1">ROUND(L67*0.9,1)</f>
        <v>2.6</v>
      </c>
      <c r="Z67" s="2420"/>
      <c r="AI67" s="2421"/>
    </row>
    <row r="68" spans="1:35" ht="14.25" customHeight="1" thickBot="1">
      <c r="A68" s="207" t="s">
        <v>774</v>
      </c>
      <c r="B68" s="208" t="s">
        <v>2247</v>
      </c>
      <c r="C68" s="209">
        <f ca="1">IF(C67&lt;=0,0,ROUND(C67*D68,0))</f>
        <v>57</v>
      </c>
      <c r="D68" s="210">
        <f>'数据-取费表'!B41</f>
        <v>5.5000000000000007E-2</v>
      </c>
      <c r="E68" s="211"/>
      <c r="F68" s="2486"/>
      <c r="G68" s="2486"/>
      <c r="H68" s="2494"/>
      <c r="I68" s="137"/>
      <c r="J68" s="3075"/>
      <c r="K68" s="2496" t="s">
        <v>2248</v>
      </c>
      <c r="L68" s="1749">
        <f ca="1">IF(M49&gt;10000,M49*0.5%,IF(AND(M49&gt;5000,M49&lt;=10000),M49*1%,IF(AND(M49&gt;1000,M49&lt;=5000),M49*2%,IF(AND(M49&gt;200,M49&lt;=1000),M49*3%,M49*5%))))</f>
        <v>21.8</v>
      </c>
      <c r="M68" s="24">
        <f ca="1">ROUND(L68,1)</f>
        <v>21.8</v>
      </c>
      <c r="Z68" s="2420"/>
      <c r="AI68" s="2421"/>
    </row>
    <row r="69" spans="1:35" s="2443" customFormat="1" ht="16.5" customHeight="1">
      <c r="A69" s="2497"/>
      <c r="B69" s="2498"/>
      <c r="C69" s="2499"/>
      <c r="D69" s="2500"/>
      <c r="E69" s="2501"/>
      <c r="F69" s="2163"/>
      <c r="G69" s="2163"/>
      <c r="H69" s="2162"/>
      <c r="I69" s="2415"/>
      <c r="J69" s="3075"/>
      <c r="K69" s="2496" t="s">
        <v>2249</v>
      </c>
      <c r="L69" s="2502"/>
      <c r="M69" s="24">
        <f ca="1">ROUND(SUM(M63:M68),0)</f>
        <v>43</v>
      </c>
      <c r="N69" s="1750">
        <f ca="1">M69/M49</f>
        <v>3.9449541284403672E-2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119" t="s">
        <v>2250</v>
      </c>
      <c r="B70" s="3120"/>
      <c r="C70" s="3120"/>
      <c r="D70" s="3120"/>
      <c r="E70" s="3120"/>
      <c r="F70" s="3120"/>
      <c r="G70" s="3120"/>
      <c r="H70" s="312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0" t="s">
        <v>2231</v>
      </c>
      <c r="B71" s="3111"/>
      <c r="C71" s="1801"/>
      <c r="D71" s="1801" t="s">
        <v>2232</v>
      </c>
      <c r="E71" s="212" t="s">
        <v>2233</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2251</v>
      </c>
      <c r="C72" s="206">
        <f ca="1">ROUND(D45/(1+'数据-取费表'!C42),0)</f>
        <v>1038</v>
      </c>
      <c r="D72" s="199" t="s">
        <v>32</v>
      </c>
      <c r="E72" s="1800"/>
      <c r="F72" s="1794"/>
      <c r="G72" s="179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2252</v>
      </c>
      <c r="C73" s="206">
        <f ca="1">C74+C78</f>
        <v>5</v>
      </c>
      <c r="D73" s="199" t="s">
        <v>32</v>
      </c>
      <c r="E73" s="1800"/>
      <c r="F73" s="1794"/>
      <c r="G73" s="179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2253</v>
      </c>
      <c r="C74" s="199">
        <f>ROUND(IF(G77="2016年5月1日后购买",C75/(1+'数据-取费表'!C42)+C76+C77,C75+C76+C77),0)</f>
        <v>0</v>
      </c>
      <c r="D74" s="199" t="s">
        <v>32</v>
      </c>
      <c r="E74" s="1800"/>
      <c r="F74" s="1794"/>
      <c r="G74" s="179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2254</v>
      </c>
      <c r="C75" s="217"/>
      <c r="D75" s="199" t="s">
        <v>32</v>
      </c>
      <c r="E75" s="218" t="s">
        <v>2255</v>
      </c>
      <c r="F75" s="2508" t="s">
        <v>2256</v>
      </c>
      <c r="G75" s="218" t="s">
        <v>2257</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2258</v>
      </c>
      <c r="C76" s="199">
        <f>IF(F75="购房发票",ROUND(C75*H75*D76,0),0)</f>
        <v>0</v>
      </c>
      <c r="D76" s="221">
        <v>0.05</v>
      </c>
      <c r="E76" s="3116" t="s">
        <v>2259</v>
      </c>
      <c r="F76" s="3115"/>
      <c r="G76" s="3115"/>
      <c r="H76" s="311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10" t="s">
        <v>2262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2263</v>
      </c>
      <c r="C78" s="224">
        <f ca="1">ROUND(D45*D78/(1+'数据-取费表'!C42),0)</f>
        <v>5</v>
      </c>
      <c r="D78" s="225">
        <f>'数据-取费表'!B43</f>
        <v>5.000000000000001E-3</v>
      </c>
      <c r="E78" s="3107" t="s">
        <v>2264</v>
      </c>
      <c r="F78" s="3108"/>
      <c r="G78" s="3108"/>
      <c r="H78" s="310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2265</v>
      </c>
      <c r="C79" s="206">
        <f ca="1">C72-C73</f>
        <v>1033</v>
      </c>
      <c r="D79" s="199" t="s">
        <v>32</v>
      </c>
      <c r="E79" s="1800"/>
      <c r="F79" s="1794"/>
      <c r="G79" s="179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2266</v>
      </c>
      <c r="C80" s="226">
        <f ca="1">IF(C79&lt;=0,0,C79/C73)</f>
        <v>206.6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2267</v>
      </c>
      <c r="C81" s="227">
        <f ca="1">ROUND(IF(C79&lt;=0,0,IF(C80&gt;=200%,C79*60%-C73*35%,IF(C80&gt;=100%,C79*50%-C73*15%,IF(C80&gt;=50%,C79*40%-C73*5%,IF(C80&lt;50%,C79*30%,0))))),0)</f>
        <v>618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9" t="s">
        <v>2268</v>
      </c>
      <c r="B83" s="3120"/>
      <c r="C83" s="3120"/>
      <c r="D83" s="3120"/>
      <c r="E83" s="3120"/>
      <c r="F83" s="3120"/>
      <c r="G83" s="3120"/>
      <c r="H83" s="312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0" t="s">
        <v>2231</v>
      </c>
      <c r="B84" s="3111"/>
      <c r="C84" s="1801"/>
      <c r="D84" s="1801" t="s">
        <v>2232</v>
      </c>
      <c r="E84" s="212" t="s">
        <v>2233</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2251</v>
      </c>
      <c r="C85" s="206">
        <f ca="1">ROUND(D45/(1+'数据-取费表'!C42),0)</f>
        <v>1038</v>
      </c>
      <c r="D85" s="199" t="s">
        <v>32</v>
      </c>
      <c r="E85" s="1800"/>
      <c r="F85" s="1794"/>
      <c r="G85" s="1794"/>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2252</v>
      </c>
      <c r="C86" s="206">
        <f ca="1">IF(H88="仅含出让金",C87+C90+C91+C92+C93+C94,C87+C91+C92+C93+C94)</f>
        <v>5</v>
      </c>
      <c r="D86" s="234"/>
      <c r="E86" s="1800"/>
      <c r="F86" s="1794"/>
      <c r="G86" s="179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2269</v>
      </c>
      <c r="C87" s="224">
        <f>C88+C89</f>
        <v>0</v>
      </c>
      <c r="D87" s="225"/>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2270</v>
      </c>
      <c r="C88" s="235"/>
      <c r="D88" s="225"/>
      <c r="E88" s="236" t="s">
        <v>2271</v>
      </c>
      <c r="F88" s="1797"/>
      <c r="G88" s="237" t="s">
        <v>2272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2260</v>
      </c>
      <c r="C89" s="224">
        <f>ROUND(C88*D89,0)</f>
        <v>0</v>
      </c>
      <c r="D89" s="225">
        <f>'数据-取费表'!B48+'数据-取费表'!B49</f>
        <v>3.0499999999999999E-2</v>
      </c>
      <c r="E89" s="236" t="s">
        <v>2273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2274</v>
      </c>
      <c r="C90" s="235"/>
      <c r="D90" s="225"/>
      <c r="E90" s="236"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2275</v>
      </c>
      <c r="B91" s="197" t="s">
        <v>2276</v>
      </c>
      <c r="C91" s="224">
        <f>IF(H91="——",成本法!C33,I91)</f>
        <v>0</v>
      </c>
      <c r="D91" s="225"/>
      <c r="E91" s="3107" t="s">
        <v>2277</v>
      </c>
      <c r="F91" s="3108"/>
      <c r="G91" s="3108"/>
      <c r="H91" s="2515" t="s">
        <v>2278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0</v>
      </c>
      <c r="D92" s="225">
        <v>0.1</v>
      </c>
      <c r="E92" s="3107" t="s">
        <v>2281</v>
      </c>
      <c r="F92" s="3108"/>
      <c r="G92" s="3108"/>
      <c r="H92" s="310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2263</v>
      </c>
      <c r="C93" s="224">
        <f ca="1">ROUND(D45*D93/(1+'数据-取费表'!C42),0)</f>
        <v>5</v>
      </c>
      <c r="D93" s="225">
        <f>'数据-取费表'!B43</f>
        <v>5.000000000000001E-3</v>
      </c>
      <c r="E93" s="3107" t="s">
        <v>2264</v>
      </c>
      <c r="F93" s="3108"/>
      <c r="G93" s="3108"/>
      <c r="H93" s="310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0</v>
      </c>
      <c r="D94" s="225">
        <v>0.2</v>
      </c>
      <c r="E94" s="3155" t="s">
        <v>2285</v>
      </c>
      <c r="F94" s="3156"/>
      <c r="G94" s="3156"/>
      <c r="H94" s="315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2265</v>
      </c>
      <c r="C95" s="206">
        <f ca="1">ROUND(C85-C86,0)</f>
        <v>1033</v>
      </c>
      <c r="D95" s="199" t="s">
        <v>32</v>
      </c>
      <c r="E95" s="1800"/>
      <c r="F95" s="1794"/>
      <c r="G95" s="179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2266</v>
      </c>
      <c r="C96" s="226">
        <f ca="1">IF(C95&lt;=0,0,C95/C86)</f>
        <v>206.6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2267</v>
      </c>
      <c r="C97" s="227">
        <f ca="1">ROUND(IF(C95&lt;=0,0,IF(C96&gt;=200%,C95*60%-C86*35%,IF(C96&gt;=100%,C95*50%-C86*15%,IF(C96&gt;=50%,C95*40%-C86*5%,IF(C96&lt;50%,C95*30%,0))))),0)</f>
        <v>618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2286</v>
      </c>
      <c r="B99" s="2415"/>
      <c r="C99" s="2415"/>
      <c r="D99" s="2415"/>
      <c r="E99" s="2163"/>
      <c r="F99" s="2163"/>
      <c r="G99" s="2163"/>
      <c r="H99" s="2162"/>
      <c r="I99" s="137"/>
    </row>
    <row r="100" spans="1:35" ht="18.75" customHeight="1">
      <c r="A100" s="3059" t="s">
        <v>2287</v>
      </c>
      <c r="B100" s="3060"/>
      <c r="C100" s="3060"/>
      <c r="D100" s="3091"/>
      <c r="E100" s="3060" t="s">
        <v>2288</v>
      </c>
      <c r="F100" s="3060"/>
      <c r="G100" s="3060"/>
      <c r="H100" s="3091"/>
      <c r="I100" s="137"/>
    </row>
    <row r="101" spans="1:35" ht="18.75" customHeight="1">
      <c r="A101" s="3099" t="s">
        <v>2289</v>
      </c>
      <c r="B101" s="3100"/>
      <c r="C101" s="733" t="str">
        <f>C4</f>
        <v>比较法-商业</v>
      </c>
      <c r="D101" s="734" t="str">
        <f>D4</f>
        <v>收益法</v>
      </c>
      <c r="E101" s="3071" t="s">
        <v>2290</v>
      </c>
      <c r="F101" s="3072"/>
      <c r="G101" s="2517" t="s">
        <v>2291</v>
      </c>
      <c r="H101" s="1045">
        <f ca="1">H118</f>
        <v>1090</v>
      </c>
      <c r="I101" s="137"/>
    </row>
    <row r="102" spans="1:35" ht="18.75" customHeight="1">
      <c r="A102" s="3101" t="s">
        <v>2292</v>
      </c>
      <c r="B102" s="2517" t="s">
        <v>2291</v>
      </c>
      <c r="C102" s="733">
        <f ca="1">C19</f>
        <v>1226</v>
      </c>
      <c r="D102" s="734">
        <f ca="1">D19</f>
        <v>954</v>
      </c>
      <c r="E102" s="3071"/>
      <c r="F102" s="3072"/>
      <c r="G102" s="2517" t="s">
        <v>2293</v>
      </c>
      <c r="H102" s="370">
        <f ca="1">I118</f>
        <v>350</v>
      </c>
      <c r="I102" s="137"/>
    </row>
    <row r="103" spans="1:35" ht="42.75" customHeight="1">
      <c r="A103" s="3101"/>
      <c r="B103" s="2517" t="s">
        <v>2293</v>
      </c>
      <c r="C103" s="735">
        <f ca="1">C20</f>
        <v>42566</v>
      </c>
      <c r="D103" s="736">
        <f ca="1">D20</f>
        <v>33133</v>
      </c>
      <c r="E103" s="3065" t="s">
        <v>2294</v>
      </c>
      <c r="F103" s="3066"/>
      <c r="G103" s="2518" t="s">
        <v>2295</v>
      </c>
      <c r="H103" s="1045">
        <f>IF(D36="正常操作",H104+H105+H106,H105+H106)</f>
        <v>0</v>
      </c>
      <c r="I103" s="137"/>
    </row>
    <row r="104" spans="1:35" ht="18.75" customHeight="1">
      <c r="A104" s="3101" t="s">
        <v>2296</v>
      </c>
      <c r="B104" s="2519" t="s">
        <v>2291</v>
      </c>
      <c r="C104" s="737">
        <f ca="1">H118</f>
        <v>1090</v>
      </c>
      <c r="D104" s="738"/>
      <c r="E104" s="2263" t="s">
        <v>2297</v>
      </c>
      <c r="F104" s="2255"/>
      <c r="G104" s="2518" t="s">
        <v>2295</v>
      </c>
      <c r="H104" s="1046">
        <f>IF(D36="同一抵押权人同一抵押物续贷",C36&amp;"（未扣减，详见特别提示）",C36)</f>
        <v>0</v>
      </c>
      <c r="I104" s="137"/>
    </row>
    <row r="105" spans="1:35" ht="18.75" customHeight="1" thickBot="1">
      <c r="A105" s="3113"/>
      <c r="B105" s="2520" t="s">
        <v>2293</v>
      </c>
      <c r="C105" s="739">
        <f ca="1">I118</f>
        <v>350</v>
      </c>
      <c r="D105" s="740"/>
      <c r="E105" s="2263" t="s">
        <v>2298</v>
      </c>
      <c r="F105" s="2255"/>
      <c r="G105" s="2518" t="s">
        <v>2295</v>
      </c>
      <c r="H105" s="1046">
        <f>C37</f>
        <v>0</v>
      </c>
      <c r="I105" s="137"/>
    </row>
    <row r="106" spans="1:35" ht="18.75" customHeight="1">
      <c r="A106" s="2415" t="s">
        <v>2299</v>
      </c>
      <c r="B106" s="2415"/>
      <c r="C106" s="2415"/>
      <c r="D106" s="2415"/>
      <c r="E106" s="2521" t="s">
        <v>2300</v>
      </c>
      <c r="F106" s="2255"/>
      <c r="G106" s="2518" t="s">
        <v>2295</v>
      </c>
      <c r="H106" s="1046">
        <f>C38</f>
        <v>0</v>
      </c>
      <c r="I106" s="137"/>
    </row>
    <row r="107" spans="1:35" ht="18.75" customHeight="1">
      <c r="A107" s="137"/>
      <c r="B107" s="137"/>
      <c r="C107" s="137"/>
      <c r="D107" s="137"/>
      <c r="E107" s="3102" t="str">
        <f>IF(项目基本情况!E8="已注销","——","3.房地产抵押价值")</f>
        <v>3.房地产抵押价值</v>
      </c>
      <c r="F107" s="3072"/>
      <c r="G107" s="2517" t="s">
        <v>2291</v>
      </c>
      <c r="H107" s="1045">
        <f ca="1">IF(E107="——","——",H101-H103)</f>
        <v>1090</v>
      </c>
      <c r="I107" s="137"/>
    </row>
    <row r="108" spans="1:35" ht="18.75" customHeight="1">
      <c r="A108" s="137"/>
      <c r="B108" s="137"/>
      <c r="C108" s="137"/>
      <c r="D108" s="137"/>
      <c r="E108" s="3102"/>
      <c r="F108" s="3072"/>
      <c r="G108" s="2517" t="s">
        <v>2293</v>
      </c>
      <c r="H108" s="370">
        <f ca="1">ROUND(H107*10000/'数据-汇总表'!E3,0)</f>
        <v>350</v>
      </c>
      <c r="I108" s="137"/>
    </row>
    <row r="109" spans="1:35" ht="18.75" customHeight="1">
      <c r="A109" s="137"/>
      <c r="B109" s="137"/>
      <c r="C109" s="137"/>
      <c r="D109" s="137"/>
      <c r="E109" s="3102" t="str">
        <f>IF(项目基本情况!E8="已注销及未注销","4.抵押担保权已注销时的房地产抵押价值",IF(项目基本情况!E8="已注销","3.抵押担保权已注销时的房地产抵押价值","——"))</f>
        <v>——</v>
      </c>
      <c r="F109" s="3072"/>
      <c r="G109" s="2517" t="s">
        <v>2291</v>
      </c>
      <c r="H109" s="347" t="str">
        <f>IF(E109="——","——",H101-H105-H106)</f>
        <v>——</v>
      </c>
      <c r="I109" s="137"/>
    </row>
    <row r="110" spans="1:35" ht="18.75" customHeight="1">
      <c r="A110" s="137"/>
      <c r="B110" s="137"/>
      <c r="C110" s="137"/>
      <c r="D110" s="137"/>
      <c r="E110" s="3102"/>
      <c r="F110" s="3072"/>
      <c r="G110" s="2517" t="s">
        <v>2293</v>
      </c>
      <c r="H110" s="370" t="str">
        <f>IF(H109="——","——",ROUND(H109*10000/'数据-汇总表'!E3,0))</f>
        <v>——</v>
      </c>
      <c r="I110" s="137"/>
    </row>
    <row r="111" spans="1:35" ht="18.75" customHeight="1">
      <c r="A111" s="137"/>
      <c r="B111" s="137"/>
      <c r="C111" s="137"/>
      <c r="D111" s="137"/>
      <c r="E111" s="3103" t="str">
        <f>IF(项目基本情况!E9="抵押净值",IF(OR(项目基本情况!E8="已注销",项目基本情况!E8="房地产抵押价值"),"4.抵押净值","5.抵押净值"),"——")</f>
        <v>——</v>
      </c>
      <c r="F111" s="3104"/>
      <c r="G111" s="2517" t="s">
        <v>2291</v>
      </c>
      <c r="H111" s="1045" t="str">
        <f>IF(E111="——","——",N59)</f>
        <v>——</v>
      </c>
      <c r="I111" s="137"/>
    </row>
    <row r="112" spans="1:35" ht="18.75" customHeight="1" thickBot="1">
      <c r="A112" s="137"/>
      <c r="B112" s="137"/>
      <c r="C112" s="137"/>
      <c r="D112" s="137"/>
      <c r="E112" s="3105"/>
      <c r="F112" s="3106"/>
      <c r="G112" s="2522" t="s">
        <v>2293</v>
      </c>
      <c r="H112" s="787" t="str">
        <f>IF(E111="——","——",N61)</f>
        <v>——</v>
      </c>
      <c r="I112" s="137"/>
    </row>
    <row r="113" spans="1:11" ht="18.75" customHeight="1">
      <c r="A113" s="137"/>
      <c r="B113" s="137"/>
      <c r="C113" s="137"/>
      <c r="D113" s="137"/>
      <c r="E113" s="3114" t="s">
        <v>2299</v>
      </c>
      <c r="F113" s="3114"/>
      <c r="G113" s="3114"/>
      <c r="H113" s="3114"/>
      <c r="I113" s="137"/>
    </row>
    <row r="114" spans="1:11" ht="3.75" customHeight="1">
      <c r="A114" s="2415"/>
      <c r="B114" s="2415"/>
      <c r="C114" s="2415"/>
      <c r="D114" s="2415"/>
      <c r="E114" s="2493"/>
      <c r="F114" s="2493"/>
      <c r="G114" s="2493"/>
      <c r="H114" s="2493"/>
      <c r="I114" s="2415"/>
    </row>
    <row r="115" spans="1:11" ht="18.75" customHeight="1">
      <c r="A115" s="3127" t="s">
        <v>2301</v>
      </c>
      <c r="B115" s="3128"/>
      <c r="C115" s="3128"/>
      <c r="D115" s="3128"/>
      <c r="E115" s="3128"/>
      <c r="F115" s="3128"/>
      <c r="G115" s="3128"/>
      <c r="H115" s="3128"/>
      <c r="I115" s="3129"/>
    </row>
    <row r="116" spans="1:11" ht="27" customHeight="1">
      <c r="A116" s="3038" t="s">
        <v>2302</v>
      </c>
      <c r="B116" s="3081" t="s">
        <v>2303</v>
      </c>
      <c r="C116" s="3081" t="s">
        <v>2304</v>
      </c>
      <c r="D116" s="3087" t="s">
        <v>2305</v>
      </c>
      <c r="E116" s="3088"/>
      <c r="F116" s="3123" t="s">
        <v>2306</v>
      </c>
      <c r="G116" s="3123"/>
      <c r="H116" s="3038" t="s">
        <v>2307</v>
      </c>
      <c r="I116" s="3038"/>
    </row>
    <row r="117" spans="1:11" ht="18.75" customHeight="1">
      <c r="A117" s="3038"/>
      <c r="B117" s="3082"/>
      <c r="C117" s="3082"/>
      <c r="D117" s="1795" t="s">
        <v>2308</v>
      </c>
      <c r="E117" s="1795" t="s">
        <v>2309</v>
      </c>
      <c r="F117" s="1795" t="s">
        <v>2308</v>
      </c>
      <c r="G117" s="1795" t="s">
        <v>2310</v>
      </c>
      <c r="H117" s="1795" t="s">
        <v>2308</v>
      </c>
      <c r="I117" s="1795" t="s">
        <v>2310</v>
      </c>
    </row>
    <row r="118" spans="1:11" ht="24.75" customHeight="1">
      <c r="A118" s="2523" t="str">
        <f>项目基本情况!S2</f>
        <v>上海市浦东新区惠南镇惠南颐景园出让国有建设用地使用权及在建建筑物房地产</v>
      </c>
      <c r="B118" s="1795">
        <f>M18</f>
        <v>31156.999999999996</v>
      </c>
      <c r="C118" s="1795">
        <f>M19</f>
        <v>12119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1090</v>
      </c>
      <c r="I118" s="1795">
        <f ca="1">ROUND(IF(D32="楼面单价",C32,H118*10000/B118),0)</f>
        <v>350</v>
      </c>
    </row>
    <row r="119" spans="1:11" ht="18.75" customHeight="1">
      <c r="A119" s="3038" t="s">
        <v>2311</v>
      </c>
      <c r="B119" s="3038"/>
      <c r="C119" s="3038"/>
      <c r="D119" s="3083" t="e">
        <f ca="1">NUMBERSTRING(INT(D118*10000),2)&amp;"元整"</f>
        <v>#REF!</v>
      </c>
      <c r="E119" s="3084"/>
      <c r="F119" s="3083" t="e">
        <f ca="1">NUMBERSTRING(INT(F118*10000),2)&amp;"元整"</f>
        <v>#REF!</v>
      </c>
      <c r="G119" s="3084"/>
      <c r="H119" s="3083" t="str">
        <f ca="1">NUMBERSTRING(INT(H118*10000),2)&amp;"元整"</f>
        <v>壹仟零玖拾万元整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0" t="str">
        <f>IF(D120=0,"故，本次评估不存在"&amp;A120,"故，本次评估"&amp;A120&amp;"为人民币"&amp;D120&amp;"万元整。")</f>
        <v>故，本次评估不存在估价师知悉的法定优先受偿款</v>
      </c>
    </row>
    <row r="121" spans="1:11" ht="18.75" customHeight="1">
      <c r="A121" s="3124" t="s">
        <v>2311</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1090</v>
      </c>
      <c r="E122" s="3079"/>
      <c r="F122" s="3079"/>
      <c r="G122" s="3079"/>
      <c r="H122" s="3079"/>
      <c r="I122" s="3080"/>
    </row>
    <row r="123" spans="1:11" ht="18.75" customHeight="1">
      <c r="A123" s="3038" t="s">
        <v>2311</v>
      </c>
      <c r="B123" s="3038"/>
      <c r="C123" s="3038"/>
      <c r="D123" s="3083" t="str">
        <f ca="1">NUMBERSTRING(INT(D122*10000),2)&amp;"元整"</f>
        <v>壹仟零玖拾万元整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2311</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2311</v>
      </c>
      <c r="B127" s="3038"/>
      <c r="C127" s="3038"/>
      <c r="D127" s="3083" t="e">
        <f>NUMBERSTRING(INT(D126*10000),2)&amp;"元整"</f>
        <v>#VALUE!</v>
      </c>
      <c r="E127" s="3085"/>
      <c r="F127" s="3085"/>
      <c r="G127" s="3085"/>
      <c r="H127" s="3085"/>
      <c r="I127" s="3084"/>
    </row>
    <row r="128" spans="1:11" ht="21.75" customHeight="1">
      <c r="A128" s="3086" t="s">
        <v>2312</v>
      </c>
      <c r="B128" s="3086"/>
      <c r="C128" s="3086"/>
      <c r="D128" s="3086"/>
      <c r="E128" s="3086"/>
      <c r="F128" s="3086"/>
      <c r="G128" s="3086"/>
      <c r="H128" s="3086"/>
      <c r="I128" s="3086"/>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2315</v>
      </c>
      <c r="G135" s="2541"/>
      <c r="H135" s="2541"/>
      <c r="I135" s="2542" t="s">
        <v>2316</v>
      </c>
    </row>
    <row r="136" spans="1:35" ht="21.75" customHeight="1">
      <c r="A136" s="792"/>
      <c r="B136" s="2543"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2318</v>
      </c>
    </row>
    <row r="139" spans="1:35" ht="21.75" customHeight="1">
      <c r="A139" s="792"/>
      <c r="B139" s="2543" t="s">
        <v>2319</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2318</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7"/>
      <c r="C1" s="241"/>
      <c r="D1" s="241"/>
      <c r="E1" s="241"/>
      <c r="F1" s="241"/>
      <c r="G1" s="1379">
        <f>MATCH(B1,'数据-取费表'!A6:A16,0)+5</f>
        <v>9</v>
      </c>
    </row>
    <row r="2" spans="1:9" s="243" customFormat="1" ht="18" customHeight="1">
      <c r="A2" s="244" t="s">
        <v>2321</v>
      </c>
      <c r="B2" s="245">
        <f ca="1">IF(D2="——",C52,C52-E2)</f>
        <v>11368</v>
      </c>
      <c r="C2" s="242" t="s">
        <v>2322</v>
      </c>
      <c r="D2" s="2546" t="s">
        <v>70</v>
      </c>
      <c r="E2" s="1440"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3649</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9" t="s">
        <v>2331</v>
      </c>
      <c r="B6" s="258" t="s">
        <v>2332</v>
      </c>
      <c r="C6" s="259"/>
      <c r="D6" s="260"/>
      <c r="E6" s="261"/>
      <c r="F6" s="261"/>
      <c r="G6" s="262"/>
    </row>
    <row r="7" spans="1:9" s="257" customFormat="1" ht="13.5" customHeight="1">
      <c r="A7" s="949" t="s">
        <v>2333</v>
      </c>
      <c r="B7" s="258" t="s">
        <v>2334</v>
      </c>
      <c r="C7" s="263">
        <f>ROUND(C6*F7,0)</f>
        <v>0</v>
      </c>
      <c r="D7" s="263"/>
      <c r="E7" s="261"/>
      <c r="F7" s="264">
        <f>'数据-取费表'!B48+'数据-取费表'!B49</f>
        <v>3.0499999999999999E-2</v>
      </c>
      <c r="G7" s="262"/>
    </row>
    <row r="8" spans="1:9" s="266" customFormat="1">
      <c r="A8" s="949" t="s">
        <v>2335</v>
      </c>
      <c r="B8" s="258" t="s">
        <v>2336</v>
      </c>
      <c r="C8" s="263">
        <f>IF(G8="已包含在土地购买价格中","0",IF(B1="",'数据-取费表'!B29,IF(G9="全部缴纳",C9+C10,H9)))</f>
        <v>0</v>
      </c>
      <c r="D8" s="265"/>
      <c r="E8" s="263"/>
      <c r="F8" s="264"/>
      <c r="G8" s="2549"/>
    </row>
    <row r="9" spans="1:9" s="257" customFormat="1" ht="13.5" customHeight="1">
      <c r="A9" s="950" t="s">
        <v>800</v>
      </c>
      <c r="B9" s="267" t="s">
        <v>2337</v>
      </c>
      <c r="C9" s="268">
        <f ca="1">ROUND(D9*E9/10000,0)</f>
        <v>0</v>
      </c>
      <c r="D9" s="1032">
        <f ca="1">IF(B1="",'数据-汇总表'!E5,IF(INDIRECT("'数据-取费表'!c"&amp;$G$1)="住宅",INDIRECT("'数据-取费表'!k"&amp;$G$1),0))</f>
        <v>0</v>
      </c>
      <c r="E9" s="268">
        <f>'数据-取费表'!B27</f>
        <v>430</v>
      </c>
      <c r="F9" s="264"/>
      <c r="G9" s="2550"/>
      <c r="H9" s="1390"/>
      <c r="I9" s="2551" t="s">
        <v>2338</v>
      </c>
    </row>
    <row r="10" spans="1:9" s="257" customFormat="1" ht="13.5" customHeight="1">
      <c r="A10" s="950" t="s">
        <v>801</v>
      </c>
      <c r="B10" s="267" t="s">
        <v>2339</v>
      </c>
      <c r="C10" s="268">
        <f ca="1">ROUND(D10*E10/10000,0)</f>
        <v>1340</v>
      </c>
      <c r="D10" s="1032">
        <f ca="1">IF(B1="",'数据-汇总表'!E6,IF(INDIRECT("'数据-取费表'!c"&amp;$G$1)="住宅",INDIRECT("'数据-取费表'!s"&amp;$G$1),INDIRECT("'数据-取费表'!k"&amp;$G$1)+INDIRECT("'数据-取费表'!s"&amp;$G$1)))</f>
        <v>31156.999999999996</v>
      </c>
      <c r="E10" s="268">
        <f>'数据-取费表'!B28</f>
        <v>430</v>
      </c>
      <c r="F10" s="264"/>
      <c r="G10" s="269"/>
    </row>
    <row r="11" spans="1:9" s="257" customFormat="1" ht="13.5" hidden="1" customHeight="1">
      <c r="A11" s="270" t="s">
        <v>7</v>
      </c>
      <c r="B11" s="258" t="s">
        <v>2340</v>
      </c>
      <c r="C11" s="254"/>
      <c r="D11" s="1034"/>
      <c r="E11" s="261"/>
      <c r="F11" s="261"/>
      <c r="G11" s="262"/>
    </row>
    <row r="12" spans="1:9" s="257" customFormat="1" ht="13.5" hidden="1" customHeight="1">
      <c r="A12" s="270" t="s">
        <v>8</v>
      </c>
      <c r="B12" s="258" t="s">
        <v>2341</v>
      </c>
      <c r="C12" s="254">
        <v>0</v>
      </c>
      <c r="D12" s="1034"/>
      <c r="E12" s="271"/>
      <c r="F12" s="264">
        <v>3.0499999999999999E-2</v>
      </c>
      <c r="G12" s="262"/>
    </row>
    <row r="13" spans="1:9" s="257" customFormat="1" ht="13.5" hidden="1" customHeight="1">
      <c r="A13" s="270" t="s">
        <v>9</v>
      </c>
      <c r="B13" s="258" t="s">
        <v>2342</v>
      </c>
      <c r="C13" s="254"/>
      <c r="D13" s="1034"/>
      <c r="E13" s="261"/>
      <c r="F13" s="261"/>
      <c r="G13" s="262"/>
    </row>
    <row r="14" spans="1:9" s="257" customFormat="1" ht="13.5" hidden="1" customHeight="1">
      <c r="A14" s="270" t="s">
        <v>10</v>
      </c>
      <c r="B14" s="258" t="s">
        <v>2343</v>
      </c>
      <c r="C14" s="254"/>
      <c r="D14" s="1034"/>
      <c r="E14" s="261"/>
      <c r="F14" s="261"/>
      <c r="G14" s="262" t="s">
        <v>2344</v>
      </c>
    </row>
    <row r="15" spans="1:9" s="257" customFormat="1" ht="13.5" hidden="1" customHeight="1">
      <c r="A15" s="270" t="s">
        <v>11</v>
      </c>
      <c r="B15" s="258" t="s">
        <v>2345</v>
      </c>
      <c r="C15" s="263"/>
      <c r="D15" s="1034"/>
      <c r="E15" s="261"/>
      <c r="F15" s="261"/>
      <c r="G15" s="262" t="s">
        <v>2346</v>
      </c>
    </row>
    <row r="16" spans="1:9" s="257" customFormat="1" ht="13.5" hidden="1" customHeight="1">
      <c r="A16" s="270" t="s">
        <v>12</v>
      </c>
      <c r="B16" s="258" t="s">
        <v>2343</v>
      </c>
      <c r="C16" s="263"/>
      <c r="D16" s="1034"/>
      <c r="E16" s="261"/>
      <c r="F16" s="261"/>
      <c r="G16" s="262"/>
    </row>
    <row r="17" spans="1:7" s="257" customFormat="1" ht="13.5" hidden="1" customHeight="1">
      <c r="A17" s="270" t="s">
        <v>13</v>
      </c>
      <c r="B17" s="258" t="s">
        <v>2347</v>
      </c>
      <c r="C17" s="272"/>
      <c r="D17" s="1035"/>
      <c r="E17" s="272"/>
      <c r="F17" s="272"/>
      <c r="G17" s="262" t="s">
        <v>2346</v>
      </c>
    </row>
    <row r="18" spans="1:7" s="257" customFormat="1" ht="13.5" hidden="1" customHeight="1">
      <c r="A18" s="270" t="s">
        <v>14</v>
      </c>
      <c r="B18" s="258" t="s">
        <v>2348</v>
      </c>
      <c r="C18" s="263">
        <v>0</v>
      </c>
      <c r="D18" s="1034"/>
      <c r="E18" s="261"/>
      <c r="F18" s="264">
        <v>3.0499999999999999E-2</v>
      </c>
      <c r="G18" s="262" t="s">
        <v>2349</v>
      </c>
    </row>
    <row r="19" spans="1:7" s="266" customFormat="1" ht="13.5" customHeight="1">
      <c r="A19" s="298" t="s">
        <v>2350</v>
      </c>
      <c r="B19" s="253" t="s">
        <v>2351</v>
      </c>
      <c r="C19" s="254">
        <f ca="1">IF(G19="已包含在土地取得成本中","0",ROUND(D19*E19/10000,0))</f>
        <v>623</v>
      </c>
      <c r="D19" s="1036">
        <f ca="1">D9+D10</f>
        <v>31156.999999999996</v>
      </c>
      <c r="E19" s="254">
        <f>'数据-取费表'!B31</f>
        <v>200</v>
      </c>
      <c r="F19" s="274"/>
      <c r="G19" s="2549"/>
    </row>
    <row r="20" spans="1:7" s="257" customFormat="1" ht="13.5" customHeight="1">
      <c r="A20" s="298" t="s">
        <v>2352</v>
      </c>
      <c r="B20" s="253" t="s">
        <v>2353</v>
      </c>
      <c r="C20" s="275">
        <f ca="1">ROUND((C5+C19)*F20,0)</f>
        <v>12</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4">
        <f ca="1">ROUND(SUM(C23:C25),0)</f>
        <v>45</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1" t="s">
        <v>2361</v>
      </c>
      <c r="B23" s="258" t="s">
        <v>2362</v>
      </c>
      <c r="C23" s="1355">
        <f ca="1">ROUND(IF('数据-取费表'!B22&lt;=1,C5*F22*'数据-取费表'!B23,C5*(POWER((1+F22),'数据-取费表'!B23)-1)),0)</f>
        <v>0</v>
      </c>
      <c r="D23" s="281"/>
      <c r="E23" s="281"/>
      <c r="F23" s="282"/>
      <c r="G23" s="283" t="s">
        <v>2363</v>
      </c>
    </row>
    <row r="24" spans="1:7" s="257" customFormat="1" ht="13.5" customHeight="1">
      <c r="A24" s="951" t="s">
        <v>2364</v>
      </c>
      <c r="B24" s="258" t="s">
        <v>2365</v>
      </c>
      <c r="C24" s="1355">
        <f ca="1">ROUND(IF('数据-取费表'!B22&lt;=1,C19*F22*('数据-取费表'!B19/2+'数据-取费表'!B21),C19*(POWER((1+F22),('数据-取费表'!B19/2+'数据-取费表'!B21))-1)),0)</f>
        <v>45</v>
      </c>
      <c r="D24" s="281"/>
      <c r="E24" s="281"/>
      <c r="F24" s="282"/>
      <c r="G24" s="283" t="s">
        <v>2366</v>
      </c>
    </row>
    <row r="25" spans="1:7" s="257" customFormat="1" ht="24">
      <c r="A25" s="951" t="s">
        <v>2367</v>
      </c>
      <c r="B25" s="258" t="s">
        <v>2368</v>
      </c>
      <c r="C25" s="1355">
        <f ca="1">ROUND(IF('数据-取费表'!B22&lt;=1,C20*F22*'数据-取费表'!B23/2,C20*(POWER((1+F22),'数据-取费表'!B23/2)-1)),0)</f>
        <v>0</v>
      </c>
      <c r="D25" s="281"/>
      <c r="E25" s="284"/>
      <c r="F25" s="282"/>
      <c r="G25" s="285" t="s">
        <v>2369</v>
      </c>
    </row>
    <row r="26" spans="1:7" s="257" customFormat="1">
      <c r="A26" s="951"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64</v>
      </c>
      <c r="D27" s="278">
        <f ca="1">C29</f>
        <v>2E-3</v>
      </c>
      <c r="E27" s="279" t="s">
        <v>2373</v>
      </c>
      <c r="F27" s="289">
        <f ca="1">IF(B1="",'数据-取费表'!Q16,INDIRECT("'数据-取费表'!q"&amp;$G$1))</f>
        <v>0.1</v>
      </c>
      <c r="G27" s="290" t="s">
        <v>2374</v>
      </c>
    </row>
    <row r="28" spans="1:7" s="257" customFormat="1" ht="13.5" customHeight="1">
      <c r="A28" s="951" t="s">
        <v>791</v>
      </c>
      <c r="B28" s="291" t="s">
        <v>2375</v>
      </c>
      <c r="C28" s="292">
        <f ca="1">ROUND((C5+C19+C20)*F27*'数据-取费表'!B21/'数据-取费表'!B20,0)</f>
        <v>64</v>
      </c>
      <c r="D28" s="278"/>
      <c r="E28" s="279"/>
      <c r="F28" s="289"/>
      <c r="G28" s="290"/>
    </row>
    <row r="29" spans="1:7" s="257" customFormat="1" ht="13.5" customHeight="1">
      <c r="A29" s="951"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8436</v>
      </c>
      <c r="D33" s="275"/>
      <c r="E33" s="255"/>
      <c r="F33" s="284"/>
      <c r="G33" s="277"/>
    </row>
    <row r="34" spans="1:7" s="301" customFormat="1" ht="13.5" customHeight="1">
      <c r="A34" s="951" t="s">
        <v>791</v>
      </c>
      <c r="B34" s="258" t="s">
        <v>2384</v>
      </c>
      <c r="C34" s="263">
        <f ca="1">IF(B1="",IF(F34=100%,'数据-取费表'!M16,'数据-取费表'!O16),IF(F34=100%,INDIRECT("'数据-取费表'!m"&amp;$G$1)+INDIRECT("'数据-取费表'!t"&amp;$G$1),INDIRECT("'数据-取费表'!o"&amp;$G$1)+INDIRECT("'数据-取费表'!aq"&amp;$G$1)))</f>
        <v>7477</v>
      </c>
      <c r="D34" s="260"/>
      <c r="E34" s="263"/>
      <c r="F34" s="300">
        <f ca="1">IF('数据-取费表'!B24=0,1,IF(B1="",'数据-取费表'!N16,INDIRECT("'数据-取费表'!n"&amp;$G$1)))</f>
        <v>1</v>
      </c>
      <c r="G34" s="262" t="s">
        <v>2385</v>
      </c>
    </row>
    <row r="35" spans="1:7" ht="13.5" customHeight="1">
      <c r="A35" s="951" t="s">
        <v>796</v>
      </c>
      <c r="B35" s="258" t="s">
        <v>2386</v>
      </c>
      <c r="C35" s="263">
        <f ca="1">ROUND(C34*F35,0)</f>
        <v>224</v>
      </c>
      <c r="D35" s="263"/>
      <c r="E35" s="263"/>
      <c r="F35" s="302">
        <f>'数据-取费表'!B33</f>
        <v>0.03</v>
      </c>
      <c r="G35" s="262" t="s">
        <v>2387</v>
      </c>
    </row>
    <row r="36" spans="1:7" ht="24">
      <c r="A36" s="951"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1" t="s">
        <v>798</v>
      </c>
      <c r="B37" s="258" t="s">
        <v>2390</v>
      </c>
      <c r="C37" s="292">
        <f ca="1">ROUND(E37*D37*F34/10000,0)</f>
        <v>623</v>
      </c>
      <c r="D37" s="260">
        <f ca="1">D19</f>
        <v>31156.999999999996</v>
      </c>
      <c r="E37" s="292">
        <f>'数据-取费表'!B35</f>
        <v>200</v>
      </c>
      <c r="F37" s="302"/>
      <c r="G37" s="304" t="s">
        <v>2391</v>
      </c>
    </row>
    <row r="38" spans="1:7" ht="13.5" customHeight="1">
      <c r="A38" s="951" t="s">
        <v>799</v>
      </c>
      <c r="B38" s="258" t="s">
        <v>2392</v>
      </c>
      <c r="C38" s="263">
        <f ca="1">ROUND(C34*F38,0)</f>
        <v>112</v>
      </c>
      <c r="D38" s="263"/>
      <c r="E38" s="263"/>
      <c r="F38" s="302">
        <f>'数据-取费表'!B36</f>
        <v>1.4999999999999999E-2</v>
      </c>
      <c r="G38" s="262" t="s">
        <v>2387</v>
      </c>
    </row>
    <row r="39" spans="1:7" s="257" customFormat="1" ht="13.5" customHeight="1">
      <c r="A39" s="298" t="s">
        <v>2393</v>
      </c>
      <c r="B39" s="253" t="s">
        <v>2394</v>
      </c>
      <c r="C39" s="275">
        <f ca="1">ROUND(C33*F20,0)</f>
        <v>169</v>
      </c>
      <c r="D39" s="275"/>
      <c r="E39" s="275"/>
      <c r="F39" s="276"/>
      <c r="G39" s="277" t="s">
        <v>2395</v>
      </c>
    </row>
    <row r="40" spans="1:7" s="257" customFormat="1" ht="13.5" customHeight="1">
      <c r="A40" s="298" t="s">
        <v>2396</v>
      </c>
      <c r="B40" s="253" t="s">
        <v>2397</v>
      </c>
      <c r="C40" s="1728">
        <f>F21</f>
        <v>0.02</v>
      </c>
      <c r="D40" s="279" t="s">
        <v>2398</v>
      </c>
      <c r="E40" s="275"/>
      <c r="F40" s="276"/>
      <c r="G40" s="277" t="s">
        <v>2399</v>
      </c>
    </row>
    <row r="41" spans="1:7" s="257" customFormat="1" ht="13.5" customHeight="1">
      <c r="A41" s="298" t="s">
        <v>2400</v>
      </c>
      <c r="B41" s="253" t="s">
        <v>2401</v>
      </c>
      <c r="C41" s="275">
        <f ca="1">ROUND(SUM(C42:C43),0)</f>
        <v>305</v>
      </c>
      <c r="D41" s="278">
        <f ca="1">C44</f>
        <v>6.9999999999999999E-4</v>
      </c>
      <c r="E41" s="279" t="s">
        <v>2398</v>
      </c>
      <c r="F41" s="280"/>
      <c r="G41" s="277" t="str">
        <f>IF('数据-取费表'!B22&lt;=1,"单利计息","复利计息")</f>
        <v>复利计息</v>
      </c>
    </row>
    <row r="42" spans="1:7" ht="13.5" customHeight="1">
      <c r="A42" s="951" t="s">
        <v>791</v>
      </c>
      <c r="B42" s="258" t="s">
        <v>2402</v>
      </c>
      <c r="C42" s="281">
        <f ca="1">ROUND(IF('数据-取费表'!B22&lt;=1,C33*F22*'数据-取费表'!B21/2,C33*(POWER((1+F22),'数据-取费表'!B21/2)-1)),0)</f>
        <v>299</v>
      </c>
      <c r="D42" s="281"/>
      <c r="E42" s="281"/>
      <c r="F42" s="282"/>
      <c r="G42" s="3158" t="s">
        <v>2403</v>
      </c>
    </row>
    <row r="43" spans="1:7" ht="13.5" customHeight="1">
      <c r="A43" s="951" t="s">
        <v>792</v>
      </c>
      <c r="B43" s="258" t="s">
        <v>2404</v>
      </c>
      <c r="C43" s="281">
        <f ca="1">ROUND(IF('数据-取费表'!B22&lt;=1,C39*F22*'数据-取费表'!B21/2,C39*(POWER((1+F22),'数据-取费表'!B21/2)-1)),0)</f>
        <v>6</v>
      </c>
      <c r="D43" s="281"/>
      <c r="E43" s="281"/>
      <c r="F43" s="282"/>
      <c r="G43" s="3159"/>
    </row>
    <row r="44" spans="1:7" ht="13.5" customHeight="1">
      <c r="A44" s="951" t="s">
        <v>793</v>
      </c>
      <c r="B44" s="258" t="s">
        <v>2405</v>
      </c>
      <c r="C44" s="281">
        <f ca="1">ROUND(IF('数据-取费表'!B22&lt;=1,C40*F22*'数据-取费表'!B21/2,C40*(POWER((1+F22),'数据-取费表'!B21/2)-1)),4)</f>
        <v>6.9999999999999999E-4</v>
      </c>
      <c r="D44" s="281"/>
      <c r="E44" s="281"/>
      <c r="F44" s="282"/>
      <c r="G44" s="3160"/>
    </row>
    <row r="45" spans="1:7" s="257" customFormat="1" ht="13.5" customHeight="1">
      <c r="A45" s="298" t="s">
        <v>2406</v>
      </c>
      <c r="B45" s="287" t="s">
        <v>2372</v>
      </c>
      <c r="C45" s="288">
        <f ca="1">C46</f>
        <v>861</v>
      </c>
      <c r="D45" s="278">
        <f ca="1">C47</f>
        <v>2E-3</v>
      </c>
      <c r="E45" s="279" t="s">
        <v>2398</v>
      </c>
      <c r="F45" s="289"/>
      <c r="G45" s="290" t="s">
        <v>2407</v>
      </c>
    </row>
    <row r="46" spans="1:7" s="257" customFormat="1" ht="13.5" customHeight="1">
      <c r="A46" s="951" t="s">
        <v>791</v>
      </c>
      <c r="B46" s="291" t="s">
        <v>2408</v>
      </c>
      <c r="C46" s="292">
        <f ca="1">ROUND((C33+C39)*F27,0)</f>
        <v>861</v>
      </c>
      <c r="D46" s="306"/>
      <c r="E46" s="279"/>
      <c r="F46" s="289"/>
      <c r="G46" s="290"/>
    </row>
    <row r="47" spans="1:7" s="257" customFormat="1" ht="13.5" customHeight="1">
      <c r="A47" s="951" t="s">
        <v>792</v>
      </c>
      <c r="B47" s="291" t="s">
        <v>2409</v>
      </c>
      <c r="C47" s="281">
        <f ca="1">ROUND(C40*F27,4)</f>
        <v>2E-3</v>
      </c>
      <c r="D47" s="306"/>
      <c r="E47" s="279"/>
      <c r="F47" s="289"/>
      <c r="G47" s="290"/>
    </row>
    <row r="48" spans="1:7" s="257" customFormat="1" ht="13.5" customHeight="1">
      <c r="A48" s="298" t="s">
        <v>2371</v>
      </c>
      <c r="B48" s="253" t="s">
        <v>2410</v>
      </c>
      <c r="C48" s="1728">
        <f>ROUND(F30/(1+'数据-取费表'!C42),4)</f>
        <v>5.2400000000000002E-2</v>
      </c>
      <c r="D48" s="279" t="s">
        <v>2398</v>
      </c>
      <c r="E48" s="275"/>
      <c r="F48" s="280"/>
      <c r="G48" s="277" t="s">
        <v>2411</v>
      </c>
    </row>
    <row r="49" spans="1:7" ht="16.5" customHeight="1">
      <c r="A49" s="298" t="s">
        <v>2377</v>
      </c>
      <c r="B49" s="253" t="s">
        <v>2412</v>
      </c>
      <c r="C49" s="275">
        <f ca="1">ROUND((C33+C39+C41+C45)/(1-C40-D41-D45-C48),0)</f>
        <v>10564</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10564</v>
      </c>
      <c r="D51" s="275"/>
      <c r="E51" s="275"/>
      <c r="F51" s="307"/>
      <c r="G51" s="277" t="s">
        <v>2419</v>
      </c>
    </row>
    <row r="52" spans="1:7" s="251" customFormat="1" ht="16.5" thickBot="1">
      <c r="A52" s="308" t="s">
        <v>2420</v>
      </c>
      <c r="B52" s="309"/>
      <c r="C52" s="310">
        <f ca="1">C31+C51</f>
        <v>11368</v>
      </c>
      <c r="D52" s="309"/>
      <c r="E52" s="309"/>
      <c r="F52" s="309"/>
      <c r="G52" s="311"/>
    </row>
    <row r="55" spans="1:7" ht="15">
      <c r="B55" s="313" t="s">
        <v>2421</v>
      </c>
      <c r="C55" s="314"/>
    </row>
    <row r="56" spans="1:7">
      <c r="B56" s="316" t="s">
        <v>1509</v>
      </c>
      <c r="C56" s="318">
        <f ca="1">1-C57</f>
        <v>7.0999999999999952E-2</v>
      </c>
    </row>
    <row r="57" spans="1:7">
      <c r="B57" s="316" t="s">
        <v>1510</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上海市浦东新区惠南镇惠南颐景园出让国有建设用地使用权及在建建筑物房地产抵押价值预评估</v>
      </c>
      <c r="C37" s="2975"/>
      <c r="D37" s="2975"/>
      <c r="E37" s="2975"/>
      <c r="F37" s="2975"/>
      <c r="G37" s="2975"/>
      <c r="H37" s="2975"/>
      <c r="I37" s="2975"/>
    </row>
    <row r="38" spans="1:9">
      <c r="A38" s="1016"/>
      <c r="B38" s="1016"/>
    </row>
    <row r="39" spans="1:9">
      <c r="A39" s="1014" t="s">
        <v>818</v>
      </c>
      <c r="B39" s="1014" t="s">
        <v>820</v>
      </c>
    </row>
    <row r="40" spans="1:9">
      <c r="A40" s="1014"/>
      <c r="B40" s="1942" t="str">
        <f>项目基本情况!B5</f>
        <v>上海三盛房地产（集团）有限责任公司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康正预评字2018-1-0883号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7"/>
      <c r="C1" s="2552" t="s">
        <v>2422</v>
      </c>
      <c r="D1" s="241"/>
      <c r="E1" s="241"/>
      <c r="F1" s="241"/>
      <c r="G1" s="1379">
        <f>MATCH(B1,'数据-取费表'!A6:A16,0)+5</f>
        <v>9</v>
      </c>
      <c r="H1" s="1282" t="str">
        <f>IF(ISERROR(FIND("住宅",B1)),"非住宅","住宅")</f>
        <v>非住宅</v>
      </c>
    </row>
    <row r="2" spans="1:8" s="243" customFormat="1" ht="18" customHeight="1">
      <c r="A2" s="244" t="s">
        <v>2321</v>
      </c>
      <c r="B2" s="245">
        <f ca="1">ROUND(IF(D2="——",C52/10000,C52/10000-E2),0)</f>
        <v>13101</v>
      </c>
      <c r="C2" s="242" t="s">
        <v>2322</v>
      </c>
      <c r="D2" s="2546" t="s">
        <v>70</v>
      </c>
      <c r="E2" s="1440"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4205</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13397510</v>
      </c>
      <c r="D5" s="254" t="s">
        <v>2328</v>
      </c>
      <c r="E5" s="255" t="s">
        <v>2329</v>
      </c>
      <c r="F5" s="255" t="s">
        <v>2330</v>
      </c>
      <c r="G5" s="256"/>
    </row>
    <row r="6" spans="1:8" s="257" customFormat="1" ht="13.5" customHeight="1">
      <c r="A6" s="949" t="s">
        <v>2331</v>
      </c>
      <c r="B6" s="258" t="s">
        <v>2332</v>
      </c>
      <c r="C6" s="259"/>
      <c r="D6" s="260"/>
      <c r="E6" s="261"/>
      <c r="F6" s="261"/>
      <c r="G6" s="262"/>
    </row>
    <row r="7" spans="1:8" s="257" customFormat="1" ht="13.5" customHeight="1">
      <c r="A7" s="949" t="s">
        <v>2333</v>
      </c>
      <c r="B7" s="258" t="s">
        <v>2334</v>
      </c>
      <c r="C7" s="263">
        <f>ROUND(C6*F7,0)</f>
        <v>0</v>
      </c>
      <c r="D7" s="263"/>
      <c r="E7" s="261"/>
      <c r="F7" s="264">
        <f>'数据-取费表'!B48+'数据-取费表'!B49</f>
        <v>3.0499999999999999E-2</v>
      </c>
      <c r="G7" s="262"/>
    </row>
    <row r="8" spans="1:8" s="266" customFormat="1">
      <c r="A8" s="949" t="s">
        <v>2335</v>
      </c>
      <c r="B8" s="258" t="s">
        <v>2336</v>
      </c>
      <c r="C8" s="263">
        <f ca="1">IF(G8="已包含在土地购买价格中",0,C9+C10)</f>
        <v>13397510</v>
      </c>
      <c r="D8" s="265"/>
      <c r="E8" s="263"/>
      <c r="F8" s="264"/>
      <c r="G8" s="2549"/>
    </row>
    <row r="9" spans="1:8" s="257" customFormat="1" ht="13.5" customHeight="1">
      <c r="A9" s="950" t="s">
        <v>800</v>
      </c>
      <c r="B9" s="267" t="s">
        <v>2337</v>
      </c>
      <c r="C9" s="268">
        <f ca="1">ROUND(D9*E9,0)</f>
        <v>0</v>
      </c>
      <c r="D9" s="1032">
        <f ca="1">IF(B1="",'数据-汇总表'!E5,IF(INDIRECT("'数据-取费表'!c"&amp;$G$1)="住宅",INDIRECT("'数据-取费表'!k"&amp;$G$1),0))</f>
        <v>0</v>
      </c>
      <c r="E9" s="268">
        <f>'数据-取费表'!B27</f>
        <v>430</v>
      </c>
      <c r="F9" s="264"/>
      <c r="G9" s="269"/>
    </row>
    <row r="10" spans="1:8" s="257" customFormat="1" ht="13.5" customHeight="1">
      <c r="A10" s="950" t="s">
        <v>801</v>
      </c>
      <c r="B10" s="267" t="s">
        <v>2339</v>
      </c>
      <c r="C10" s="268">
        <f ca="1">ROUND(D10*E10,0)</f>
        <v>13397510</v>
      </c>
      <c r="D10" s="1032">
        <f ca="1">IF(B1="",'数据-汇总表'!E6,IF(INDIRECT("'数据-取费表'!c"&amp;$G$1)="住宅",INDIRECT("'数据-取费表'!s"&amp;$G$1),INDIRECT("'数据-取费表'!k"&amp;$G$1)+INDIRECT("'数据-取费表'!s"&amp;$G$1)))</f>
        <v>31156.999999999996</v>
      </c>
      <c r="E10" s="268">
        <f>'数据-取费表'!B28</f>
        <v>430</v>
      </c>
      <c r="F10" s="264"/>
      <c r="G10" s="269"/>
    </row>
    <row r="11" spans="1:8" s="257" customFormat="1" ht="13.5" hidden="1" customHeight="1">
      <c r="A11" s="270" t="s">
        <v>7</v>
      </c>
      <c r="B11" s="258" t="s">
        <v>2340</v>
      </c>
      <c r="C11" s="254"/>
      <c r="D11" s="1034"/>
      <c r="E11" s="261"/>
      <c r="F11" s="261"/>
      <c r="G11" s="262"/>
    </row>
    <row r="12" spans="1:8" s="257" customFormat="1" ht="13.5" hidden="1" customHeight="1">
      <c r="A12" s="270" t="s">
        <v>8</v>
      </c>
      <c r="B12" s="258" t="s">
        <v>2423</v>
      </c>
      <c r="C12" s="254">
        <v>0</v>
      </c>
      <c r="D12" s="1034"/>
      <c r="E12" s="271"/>
      <c r="F12" s="264">
        <v>3.0499999999999999E-2</v>
      </c>
      <c r="G12" s="262"/>
    </row>
    <row r="13" spans="1:8" s="257" customFormat="1" ht="13.5" hidden="1" customHeight="1">
      <c r="A13" s="270" t="s">
        <v>9</v>
      </c>
      <c r="B13" s="258" t="s">
        <v>2424</v>
      </c>
      <c r="C13" s="254"/>
      <c r="D13" s="1034"/>
      <c r="E13" s="261"/>
      <c r="F13" s="261"/>
      <c r="G13" s="262"/>
    </row>
    <row r="14" spans="1:8" s="257" customFormat="1" ht="13.5" hidden="1" customHeight="1">
      <c r="A14" s="270" t="s">
        <v>10</v>
      </c>
      <c r="B14" s="258" t="s">
        <v>2336</v>
      </c>
      <c r="C14" s="254"/>
      <c r="D14" s="1034"/>
      <c r="E14" s="261"/>
      <c r="F14" s="261"/>
      <c r="G14" s="262" t="s">
        <v>2425</v>
      </c>
    </row>
    <row r="15" spans="1:8" s="257" customFormat="1" ht="13.5" hidden="1" customHeight="1">
      <c r="A15" s="270" t="s">
        <v>11</v>
      </c>
      <c r="B15" s="258" t="s">
        <v>2426</v>
      </c>
      <c r="C15" s="263"/>
      <c r="D15" s="1034"/>
      <c r="E15" s="261"/>
      <c r="F15" s="261"/>
      <c r="G15" s="262" t="s">
        <v>2427</v>
      </c>
    </row>
    <row r="16" spans="1:8" s="257" customFormat="1" ht="13.5" hidden="1" customHeight="1">
      <c r="A16" s="270" t="s">
        <v>12</v>
      </c>
      <c r="B16" s="258" t="s">
        <v>2336</v>
      </c>
      <c r="C16" s="263"/>
      <c r="D16" s="1034"/>
      <c r="E16" s="261"/>
      <c r="F16" s="261"/>
      <c r="G16" s="262"/>
    </row>
    <row r="17" spans="1:7" s="257" customFormat="1" ht="13.5" hidden="1" customHeight="1">
      <c r="A17" s="270" t="s">
        <v>13</v>
      </c>
      <c r="B17" s="258" t="s">
        <v>2428</v>
      </c>
      <c r="C17" s="272"/>
      <c r="D17" s="1035"/>
      <c r="E17" s="272"/>
      <c r="F17" s="272"/>
      <c r="G17" s="262" t="s">
        <v>2427</v>
      </c>
    </row>
    <row r="18" spans="1:7" s="257" customFormat="1" ht="13.5" hidden="1" customHeight="1">
      <c r="A18" s="270" t="s">
        <v>14</v>
      </c>
      <c r="B18" s="258" t="s">
        <v>2429</v>
      </c>
      <c r="C18" s="263">
        <v>0</v>
      </c>
      <c r="D18" s="1034"/>
      <c r="E18" s="261"/>
      <c r="F18" s="264">
        <v>3.0499999999999999E-2</v>
      </c>
      <c r="G18" s="262" t="s">
        <v>2430</v>
      </c>
    </row>
    <row r="19" spans="1:7" s="266" customFormat="1" ht="13.5" customHeight="1">
      <c r="A19" s="298" t="s">
        <v>2431</v>
      </c>
      <c r="B19" s="253" t="s">
        <v>2432</v>
      </c>
      <c r="C19" s="254">
        <f ca="1">IF(G19="已包含在土地取得成本中","0",ROUND(D19*E19,0))</f>
        <v>6231400</v>
      </c>
      <c r="D19" s="1036">
        <f ca="1">D9+D10</f>
        <v>31156.999999999996</v>
      </c>
      <c r="E19" s="254">
        <f>'数据-取费表'!B31</f>
        <v>200</v>
      </c>
      <c r="F19" s="274"/>
      <c r="G19" s="2549"/>
    </row>
    <row r="20" spans="1:7" s="257" customFormat="1" ht="13.5" customHeight="1">
      <c r="A20" s="298" t="s">
        <v>2433</v>
      </c>
      <c r="B20" s="253" t="s">
        <v>2434</v>
      </c>
      <c r="C20" s="275">
        <f ca="1">ROUND((C5+C19)*F20,0)</f>
        <v>392578</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0">
        <f ca="1">ROUND(SUM(C23:C25),0)</f>
        <v>1428943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1" t="s">
        <v>2331</v>
      </c>
      <c r="B23" s="258" t="s">
        <v>2442</v>
      </c>
      <c r="C23" s="1381">
        <f ca="1">ROUND(IF('数据-取费表'!B22&lt;=1,C5*F22*'数据-取费表'!B22,C5*(POWER((1+F22),'数据-取费表'!B22)-1)),0)</f>
        <v>965820</v>
      </c>
      <c r="D23" s="281"/>
      <c r="E23" s="281"/>
      <c r="F23" s="282"/>
      <c r="G23" s="283" t="s">
        <v>2443</v>
      </c>
    </row>
    <row r="24" spans="1:7" s="257" customFormat="1" ht="13.5" customHeight="1">
      <c r="A24" s="951" t="s">
        <v>2333</v>
      </c>
      <c r="B24" s="258" t="s">
        <v>2444</v>
      </c>
      <c r="C24" s="1381">
        <f ca="1">ROUND(IF('数据-取费表'!B22&lt;=1,C19*F22*('数据-取费表'!B19/2+'数据-取费表'!B20),C19*(POWER((1+F22),('数据-取费表'!B19/2+'数据-取费表'!B20))-1)),0)</f>
        <v>449219</v>
      </c>
      <c r="D24" s="281"/>
      <c r="E24" s="281"/>
      <c r="F24" s="282"/>
      <c r="G24" s="283" t="s">
        <v>2445</v>
      </c>
    </row>
    <row r="25" spans="1:7" s="257" customFormat="1" ht="24">
      <c r="A25" s="951" t="s">
        <v>2335</v>
      </c>
      <c r="B25" s="258" t="s">
        <v>2446</v>
      </c>
      <c r="C25" s="1381">
        <f ca="1">ROUND(IF('数据-取费表'!B22&lt;=1,C20*F22*'数据-取费表'!B22/2,C20*(POWER((1+F22),'数据-取费表'!B22/2)-1)),0)</f>
        <v>13904</v>
      </c>
      <c r="D25" s="281"/>
      <c r="E25" s="284"/>
      <c r="F25" s="282"/>
      <c r="G25" s="285" t="s">
        <v>2447</v>
      </c>
    </row>
    <row r="26" spans="1:7" s="257" customFormat="1">
      <c r="A26" s="951"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2002149</v>
      </c>
      <c r="D27" s="278">
        <f ca="1">C29</f>
        <v>2E-3</v>
      </c>
      <c r="E27" s="279" t="s">
        <v>2373</v>
      </c>
      <c r="F27" s="289">
        <f ca="1">IF(B1="",'数据-取费表'!Q16,INDIRECT("'数据-取费表'!q"&amp;$G$1))</f>
        <v>0.1</v>
      </c>
      <c r="G27" s="290" t="s">
        <v>2374</v>
      </c>
    </row>
    <row r="28" spans="1:7" s="257" customFormat="1" ht="13.5" customHeight="1">
      <c r="A28" s="951" t="s">
        <v>791</v>
      </c>
      <c r="B28" s="291" t="s">
        <v>2375</v>
      </c>
      <c r="C28" s="292">
        <f ca="1">ROUND((C5+C19+C20)*F27,0)</f>
        <v>2002149</v>
      </c>
      <c r="D28" s="278"/>
      <c r="E28" s="279"/>
      <c r="F28" s="289"/>
      <c r="G28" s="290"/>
    </row>
    <row r="29" spans="1:7" s="257" customFormat="1" ht="13.5" customHeight="1">
      <c r="A29" s="951"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25356882</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84373156</v>
      </c>
      <c r="D33" s="275"/>
      <c r="E33" s="255"/>
      <c r="F33" s="284"/>
      <c r="G33" s="277"/>
    </row>
    <row r="34" spans="1:7" s="301" customFormat="1" ht="13.5" customHeight="1">
      <c r="A34" s="951" t="s">
        <v>791</v>
      </c>
      <c r="B34" s="258" t="s">
        <v>2384</v>
      </c>
      <c r="C34" s="263">
        <f ca="1">ROUND(IF(B1="",SUMPRODUCT('数据-取费表'!K6:K14,'数据-取费表'!L6:L14),INDIRECT("'数据-取费表'!l"&amp;$G$1)*INDIRECT("'数据-取费表'!k"&amp;$G$1)+'数据-取费表'!L14*INDIRECT("'数据-取费表'!S"&amp;$G$1)),0)</f>
        <v>74776800</v>
      </c>
      <c r="D34" s="260"/>
      <c r="E34" s="263"/>
      <c r="F34" s="300"/>
      <c r="G34" s="262"/>
    </row>
    <row r="35" spans="1:7" ht="13.5" customHeight="1">
      <c r="A35" s="951" t="s">
        <v>796</v>
      </c>
      <c r="B35" s="258" t="s">
        <v>2386</v>
      </c>
      <c r="C35" s="263">
        <f ca="1">ROUND(C34*F35,0)</f>
        <v>2243304</v>
      </c>
      <c r="D35" s="263"/>
      <c r="E35" s="263"/>
      <c r="F35" s="302">
        <f>'数据-取费表'!B33</f>
        <v>0.03</v>
      </c>
      <c r="G35" s="262" t="s">
        <v>2387</v>
      </c>
    </row>
    <row r="36" spans="1:7" ht="24">
      <c r="A36" s="951"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1" t="s">
        <v>798</v>
      </c>
      <c r="B37" s="258" t="s">
        <v>2390</v>
      </c>
      <c r="C37" s="292">
        <f ca="1">ROUND(E37*D37,0)</f>
        <v>6231400</v>
      </c>
      <c r="D37" s="260">
        <f ca="1">D19</f>
        <v>31156.999999999996</v>
      </c>
      <c r="E37" s="292">
        <f>'数据-取费表'!B35</f>
        <v>200</v>
      </c>
      <c r="F37" s="302"/>
      <c r="G37" s="304"/>
    </row>
    <row r="38" spans="1:7" ht="13.5" customHeight="1">
      <c r="A38" s="951" t="s">
        <v>799</v>
      </c>
      <c r="B38" s="258" t="s">
        <v>2392</v>
      </c>
      <c r="C38" s="263">
        <f ca="1">ROUND(C34*F38,0)</f>
        <v>1121652</v>
      </c>
      <c r="D38" s="263"/>
      <c r="E38" s="263"/>
      <c r="F38" s="302">
        <f>'数据-取费表'!B36</f>
        <v>1.4999999999999999E-2</v>
      </c>
      <c r="G38" s="262" t="s">
        <v>2387</v>
      </c>
    </row>
    <row r="39" spans="1:7" s="257" customFormat="1" ht="13.5" customHeight="1">
      <c r="A39" s="298" t="s">
        <v>2393</v>
      </c>
      <c r="B39" s="253" t="s">
        <v>2394</v>
      </c>
      <c r="C39" s="275">
        <f ca="1">ROUND(C33*F20,0)</f>
        <v>1687463</v>
      </c>
      <c r="D39" s="275"/>
      <c r="E39" s="275"/>
      <c r="F39" s="276"/>
      <c r="G39" s="277" t="s">
        <v>2395</v>
      </c>
    </row>
    <row r="40" spans="1:7" s="257" customFormat="1" ht="13.5" customHeight="1">
      <c r="A40" s="298" t="s">
        <v>2396</v>
      </c>
      <c r="B40" s="253" t="s">
        <v>2397</v>
      </c>
      <c r="C40" s="1728">
        <f>F21</f>
        <v>0.02</v>
      </c>
      <c r="D40" s="279" t="s">
        <v>2398</v>
      </c>
      <c r="E40" s="275"/>
      <c r="F40" s="276"/>
      <c r="G40" s="277" t="s">
        <v>2399</v>
      </c>
    </row>
    <row r="41" spans="1:7" s="257" customFormat="1" ht="13.5" customHeight="1">
      <c r="A41" s="298" t="s">
        <v>2400</v>
      </c>
      <c r="B41" s="253" t="s">
        <v>2401</v>
      </c>
      <c r="C41" s="275">
        <f ca="1">ROUND(SUM(C42:C43),0)</f>
        <v>3048057</v>
      </c>
      <c r="D41" s="278">
        <f ca="1">C44</f>
        <v>6.9999999999999999E-4</v>
      </c>
      <c r="E41" s="279" t="s">
        <v>2398</v>
      </c>
      <c r="F41" s="280"/>
      <c r="G41" s="277" t="str">
        <f>IF('数据-取费表'!B22&lt;=1,"单利计息","复利计息")</f>
        <v>复利计息</v>
      </c>
    </row>
    <row r="42" spans="1:7" ht="13.5" customHeight="1">
      <c r="A42" s="951" t="s">
        <v>791</v>
      </c>
      <c r="B42" s="258" t="s">
        <v>2402</v>
      </c>
      <c r="C42" s="281">
        <f ca="1">ROUND(IF('数据-取费表'!B22&lt;=1,C33*F22*'数据-取费表'!B20/2,C33*(POWER((1+F22),'数据-取费表'!B20/2)-1)),0)</f>
        <v>2988291</v>
      </c>
      <c r="D42" s="281"/>
      <c r="E42" s="281"/>
      <c r="F42" s="282"/>
      <c r="G42" s="3158" t="s">
        <v>2450</v>
      </c>
    </row>
    <row r="43" spans="1:7" ht="13.5" customHeight="1">
      <c r="A43" s="951" t="s">
        <v>792</v>
      </c>
      <c r="B43" s="258" t="s">
        <v>2404</v>
      </c>
      <c r="C43" s="281">
        <f ca="1">ROUND(IF('数据-取费表'!B22&lt;=1,C39*F22*'数据-取费表'!B20/2,C39*(POWER((1+F22),'数据-取费表'!B20/2)-1)),0)</f>
        <v>59766</v>
      </c>
      <c r="D43" s="281"/>
      <c r="E43" s="281"/>
      <c r="F43" s="282"/>
      <c r="G43" s="3159"/>
    </row>
    <row r="44" spans="1:7" ht="13.5" customHeight="1">
      <c r="A44" s="951" t="s">
        <v>793</v>
      </c>
      <c r="B44" s="258" t="s">
        <v>2405</v>
      </c>
      <c r="C44" s="281">
        <f ca="1">ROUND(IF('数据-取费表'!B22&lt;=1,C40*F22*'数据-取费表'!B20/2,C40*(POWER((1+F22),'数据-取费表'!B20/2)-1)),4)</f>
        <v>6.9999999999999999E-4</v>
      </c>
      <c r="D44" s="281"/>
      <c r="E44" s="281"/>
      <c r="F44" s="282"/>
      <c r="G44" s="3160"/>
    </row>
    <row r="45" spans="1:7" s="257" customFormat="1" ht="13.5" customHeight="1">
      <c r="A45" s="298" t="s">
        <v>2406</v>
      </c>
      <c r="B45" s="287" t="s">
        <v>2372</v>
      </c>
      <c r="C45" s="288">
        <f ca="1">C46</f>
        <v>8606062</v>
      </c>
      <c r="D45" s="278">
        <f ca="1">C47</f>
        <v>2E-3</v>
      </c>
      <c r="E45" s="279" t="s">
        <v>2398</v>
      </c>
      <c r="F45" s="289"/>
      <c r="G45" s="290" t="s">
        <v>2407</v>
      </c>
    </row>
    <row r="46" spans="1:7" s="257" customFormat="1" ht="13.5" customHeight="1">
      <c r="A46" s="951" t="s">
        <v>791</v>
      </c>
      <c r="B46" s="291" t="s">
        <v>2408</v>
      </c>
      <c r="C46" s="292">
        <f ca="1">ROUND((C33+C39)*F27,0)</f>
        <v>8606062</v>
      </c>
      <c r="D46" s="306"/>
      <c r="E46" s="279"/>
      <c r="F46" s="289"/>
      <c r="G46" s="290"/>
    </row>
    <row r="47" spans="1:7" s="257" customFormat="1" ht="13.5" customHeight="1">
      <c r="A47" s="951"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105648976</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105648976</v>
      </c>
      <c r="D51" s="275"/>
      <c r="E51" s="275"/>
      <c r="F51" s="307"/>
      <c r="G51" s="277" t="s">
        <v>2419</v>
      </c>
    </row>
    <row r="52" spans="1:7" s="251" customFormat="1" ht="16.5" thickBot="1">
      <c r="A52" s="308" t="s">
        <v>2420</v>
      </c>
      <c r="B52" s="309"/>
      <c r="C52" s="310">
        <f ca="1">C31+C51</f>
        <v>131005858</v>
      </c>
      <c r="D52" s="309"/>
      <c r="E52" s="309"/>
      <c r="F52" s="309"/>
      <c r="G52" s="311"/>
    </row>
    <row r="55" spans="1:7" ht="15">
      <c r="B55" s="313" t="s">
        <v>2421</v>
      </c>
      <c r="C55" s="314"/>
    </row>
    <row r="56" spans="1:7">
      <c r="B56" s="316" t="s">
        <v>1509</v>
      </c>
      <c r="C56" s="318">
        <f ca="1">1-C57</f>
        <v>0.19399999999999995</v>
      </c>
    </row>
    <row r="57" spans="1:7">
      <c r="B57" s="316" t="s">
        <v>1510</v>
      </c>
      <c r="C57" s="317">
        <f ca="1">ROUND(C51/C52,3)</f>
        <v>0.80600000000000005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2453</v>
      </c>
      <c r="B1" s="1581"/>
      <c r="C1" s="1582"/>
      <c r="D1" s="1580"/>
      <c r="E1" s="319"/>
      <c r="F1" s="319"/>
      <c r="G1" s="1581"/>
      <c r="H1" s="319"/>
      <c r="I1" s="319"/>
      <c r="J1" s="319"/>
      <c r="K1" s="319">
        <f>MATCH(C1,'数据-取费表'!A6:A16,0)+5</f>
        <v>9</v>
      </c>
    </row>
    <row r="2" spans="1:33" ht="18" customHeight="1">
      <c r="A2" s="244" t="s">
        <v>2321</v>
      </c>
      <c r="B2" s="247">
        <f ca="1">C32</f>
        <v>-1462</v>
      </c>
      <c r="C2" s="319" t="s">
        <v>2454</v>
      </c>
      <c r="D2" s="319"/>
      <c r="E2" s="319"/>
      <c r="F2" s="319"/>
      <c r="G2" s="319"/>
      <c r="H2" s="319"/>
      <c r="I2" s="319"/>
      <c r="J2" s="319"/>
      <c r="K2" s="319"/>
    </row>
    <row r="3" spans="1:33" ht="18" customHeight="1" thickBot="1">
      <c r="A3" s="246" t="s">
        <v>2323</v>
      </c>
      <c r="B3" s="247">
        <f ca="1">ROUND(B2*10000/IF(C1="",'数据-汇总表'!E3,INDIRECT("'数据-取费表'!K"&amp;$K$1)),0)</f>
        <v>-469</v>
      </c>
      <c r="C3" s="319" t="s">
        <v>2455</v>
      </c>
      <c r="D3" s="319"/>
      <c r="E3" s="319"/>
      <c r="F3" s="319"/>
      <c r="G3" s="319"/>
      <c r="H3" s="319"/>
      <c r="I3" s="319"/>
      <c r="J3" s="319"/>
      <c r="K3" s="319"/>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3" t="s">
        <v>2459</v>
      </c>
      <c r="D5" s="2553" t="s">
        <v>2460</v>
      </c>
      <c r="E5" s="2553" t="s">
        <v>2461</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2465</v>
      </c>
      <c r="B8" s="176"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4"/>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4"/>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31156.999999999996</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39"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31156.999999999996</v>
      </c>
      <c r="E17" s="24">
        <f>'数据-取费表'!B32</f>
        <v>0</v>
      </c>
      <c r="F17" s="978"/>
      <c r="G17" s="139"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1340</v>
      </c>
      <c r="D18" s="1033"/>
      <c r="E18" s="24"/>
      <c r="F18" s="976"/>
      <c r="G18" s="2555"/>
      <c r="H18" s="1577"/>
      <c r="I18" s="2556"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430</v>
      </c>
      <c r="F19" s="976"/>
      <c r="G19" s="15"/>
      <c r="H19" s="1579"/>
      <c r="I19" s="981"/>
      <c r="J19" s="981"/>
      <c r="K19" s="982"/>
    </row>
    <row r="20" spans="1:33" s="975" customFormat="1" ht="13.5" customHeight="1">
      <c r="A20" s="971" t="s">
        <v>806</v>
      </c>
      <c r="B20" s="972" t="s">
        <v>2489</v>
      </c>
      <c r="C20" s="24">
        <f ca="1">ROUND(D20*E20/10000,0)</f>
        <v>1340</v>
      </c>
      <c r="D20" s="1033">
        <f ca="1">IF(C1="",'数据-汇总表'!E6,IF(INDIRECT("'数据-取费表'!c"&amp;$K$1)="住宅",INDIRECT("'数据-取费表'!s"&amp;$K$1),INDIRECT("'数据-取费表'!k"&amp;$K$1)+INDIRECT("'数据-取费表'!s"&amp;$K$1)))</f>
        <v>31156.999999999996</v>
      </c>
      <c r="E20" s="24">
        <f>'数据-取费表'!B28</f>
        <v>430</v>
      </c>
      <c r="F20" s="976"/>
      <c r="G20" s="15"/>
      <c r="H20" s="981"/>
      <c r="I20" s="981"/>
      <c r="J20" s="981"/>
      <c r="K20" s="982"/>
    </row>
    <row r="21" spans="1:33" s="975" customFormat="1" ht="13.5" customHeight="1">
      <c r="A21" s="961" t="s">
        <v>802</v>
      </c>
      <c r="B21" s="985" t="s">
        <v>2490</v>
      </c>
      <c r="C21" s="986">
        <f ca="1">C16+C17+C18</f>
        <v>1340</v>
      </c>
      <c r="D21" s="987"/>
      <c r="E21" s="324"/>
      <c r="F21" s="324"/>
      <c r="G21" s="139" t="s">
        <v>2491</v>
      </c>
      <c r="H21" s="979"/>
      <c r="I21" s="979"/>
      <c r="J21" s="979"/>
      <c r="K21" s="980"/>
    </row>
    <row r="22" spans="1:33" s="975" customFormat="1" ht="13.5" customHeight="1">
      <c r="A22" s="961" t="s">
        <v>2463</v>
      </c>
      <c r="B22" s="985" t="s">
        <v>2492</v>
      </c>
      <c r="C22" s="986">
        <f ca="1">ROUND(C21*F22,0)</f>
        <v>27</v>
      </c>
      <c r="D22" s="324"/>
      <c r="E22" s="324"/>
      <c r="F22" s="988">
        <f>'数据-取费表'!B37</f>
        <v>0.02</v>
      </c>
      <c r="G22" s="8" t="s">
        <v>2493</v>
      </c>
      <c r="H22" s="968"/>
      <c r="I22" s="968"/>
      <c r="J22" s="968"/>
      <c r="K22" s="969"/>
    </row>
    <row r="23" spans="1:33" s="975" customFormat="1" ht="13.5" customHeight="1">
      <c r="A23" s="961" t="s">
        <v>2465</v>
      </c>
      <c r="B23" s="985" t="s">
        <v>2494</v>
      </c>
      <c r="C23" s="986">
        <f ca="1">ROUND(C4*F23*F11,0)</f>
        <v>0</v>
      </c>
      <c r="D23" s="324"/>
      <c r="E23" s="324"/>
      <c r="F23" s="988">
        <f>'数据-取费表'!B38</f>
        <v>0.02</v>
      </c>
      <c r="G23" s="8" t="s">
        <v>2495</v>
      </c>
      <c r="H23" s="968"/>
      <c r="I23" s="968"/>
      <c r="J23" s="968"/>
      <c r="K23" s="969"/>
    </row>
    <row r="24" spans="1:33" s="975" customFormat="1" ht="13.5" customHeight="1">
      <c r="A24" s="961" t="s">
        <v>2496</v>
      </c>
      <c r="B24" s="985" t="s">
        <v>2497</v>
      </c>
      <c r="C24" s="323">
        <f>ROUND(F24/(1+'数据-取费表'!C42),4)</f>
        <v>2.9000000000000001E-2</v>
      </c>
      <c r="D24" s="324" t="s">
        <v>15</v>
      </c>
      <c r="E24" s="324"/>
      <c r="F24" s="988">
        <f>'数据-取费表'!B48+'数据-取费表'!B49</f>
        <v>3.0499999999999999E-2</v>
      </c>
      <c r="G24" s="8" t="s">
        <v>2498</v>
      </c>
      <c r="H24" s="990"/>
      <c r="I24" s="990"/>
      <c r="J24" s="990"/>
      <c r="K24" s="991"/>
    </row>
    <row r="25" spans="1:33" s="975" customFormat="1" ht="13.5" customHeight="1">
      <c r="A25" s="961" t="s">
        <v>2499</v>
      </c>
      <c r="B25" s="987" t="s">
        <v>2500</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9"/>
      <c r="I27" s="979"/>
      <c r="J27" s="979"/>
      <c r="K27" s="980"/>
    </row>
    <row r="28" spans="1:33" s="332" customFormat="1" ht="13.5" customHeight="1">
      <c r="A28" s="961" t="s">
        <v>2503</v>
      </c>
      <c r="B28" s="2558" t="s">
        <v>2504</v>
      </c>
      <c r="C28" s="330">
        <f ca="1">C30</f>
        <v>137</v>
      </c>
      <c r="D28" s="323">
        <f ca="1">C29</f>
        <v>0</v>
      </c>
      <c r="E28" s="325" t="s">
        <v>15</v>
      </c>
      <c r="F28" s="331">
        <f ca="1">IF(C1="",'数据-取费表'!Q16,INDIRECT("'数据-取费表'!q"&amp;$K$1))</f>
        <v>0.1</v>
      </c>
      <c r="G28" s="989"/>
      <c r="H28" s="990"/>
      <c r="I28" s="990"/>
      <c r="J28" s="990"/>
      <c r="K28" s="991"/>
    </row>
    <row r="29" spans="1:33" s="334" customFormat="1" ht="13.5" customHeight="1">
      <c r="A29" s="971" t="s">
        <v>803</v>
      </c>
      <c r="B29" s="994" t="s">
        <v>2505</v>
      </c>
      <c r="C29" s="327">
        <f ca="1">ROUND((1+C24)*F28*'数据-取费表'!B24/'数据-取费表'!B20,4)</f>
        <v>0</v>
      </c>
      <c r="D29" s="327"/>
      <c r="E29" s="328"/>
      <c r="F29" s="333"/>
      <c r="G29" s="139" t="s">
        <v>2506</v>
      </c>
      <c r="H29" s="979"/>
      <c r="I29" s="979"/>
      <c r="J29" s="979"/>
      <c r="K29" s="980"/>
    </row>
    <row r="30" spans="1:33" s="334" customFormat="1" ht="13.5" customHeight="1">
      <c r="A30" s="971" t="s">
        <v>804</v>
      </c>
      <c r="B30" s="994" t="s">
        <v>2507</v>
      </c>
      <c r="C30" s="335">
        <f ca="1">ROUND((C21+C22+C23)*F28,0)</f>
        <v>137</v>
      </c>
      <c r="D30" s="327"/>
      <c r="E30" s="328"/>
      <c r="F30" s="333"/>
      <c r="G30" s="139"/>
      <c r="H30" s="979"/>
      <c r="I30" s="979"/>
      <c r="J30" s="979"/>
      <c r="K30" s="980"/>
    </row>
    <row r="31" spans="1:33" s="975" customFormat="1" ht="13.5" customHeight="1" thickBot="1">
      <c r="A31" s="2559"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-1462</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48" sqref="K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1" t="s">
        <v>2636</v>
      </c>
      <c r="C1" s="1634" t="s">
        <v>2524</v>
      </c>
      <c r="D1" s="1621" t="s">
        <v>3096</v>
      </c>
      <c r="E1" s="2656"/>
      <c r="F1" s="2583" t="s">
        <v>3104</v>
      </c>
      <c r="G1" s="1631" t="s">
        <v>2637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7" customFormat="1" ht="28.5" customHeight="1" thickTop="1">
      <c r="A2" s="1617" t="s">
        <v>2321</v>
      </c>
      <c r="B2" s="1418">
        <f>IF(C2="——",ROUND(C49*D3/10000,0),ROUND(C49*D3/10000,0)-D2)</f>
        <v>1226</v>
      </c>
      <c r="C2" s="2585" t="s">
        <v>70</v>
      </c>
      <c r="D2" s="1365" t="e">
        <f ca="1">SUMIF(INDIRECT("'"&amp;F2&amp;"'"&amp;"!A:A"),"承租人权益价值",INDIRECT("'"&amp;F2&amp;"'"&amp;"!c:c"))</f>
        <v>#REF!</v>
      </c>
      <c r="E2" s="2586" t="s">
        <v>2322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2323</v>
      </c>
      <c r="B3" s="608">
        <f>IF(C2="——",C49,ROUND(B2*10000/D3,0))</f>
        <v>42566</v>
      </c>
      <c r="C3" s="399" t="s">
        <v>2638</v>
      </c>
      <c r="D3" s="398">
        <f>IF(D1="",'数据-汇总表'!E3,SUMIF('数据-汇总表'!$C19:$C33,D1,'数据-汇总表'!$E19:$E33))</f>
        <v>287.93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4" t="s">
        <v>2642</v>
      </c>
      <c r="AC4" s="3161" t="s">
        <v>2643</v>
      </c>
    </row>
    <row r="5" spans="1:29"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4"/>
      <c r="AC5" s="3162"/>
    </row>
    <row r="6" spans="1:29" ht="15.75" thickBot="1">
      <c r="A6" s="405"/>
      <c r="B6" s="406"/>
      <c r="C6" s="3175" t="s">
        <v>2540</v>
      </c>
      <c r="D6" s="3176"/>
      <c r="E6" s="3177" t="s">
        <v>2540</v>
      </c>
      <c r="F6" s="3178"/>
      <c r="G6" s="3175" t="s">
        <v>2540</v>
      </c>
      <c r="H6" s="3176"/>
      <c r="I6" s="3175" t="s">
        <v>2540</v>
      </c>
      <c r="J6" s="3176"/>
      <c r="K6" s="609" t="s">
        <v>2541</v>
      </c>
      <c r="L6" s="1130"/>
      <c r="M6" s="1131"/>
      <c r="N6" s="1131"/>
      <c r="O6" s="1131"/>
      <c r="P6" s="3188"/>
      <c r="Q6" s="3189"/>
      <c r="R6" s="3169"/>
      <c r="S6" s="3170"/>
      <c r="T6" s="3190"/>
      <c r="U6" s="3191"/>
      <c r="V6" s="3164"/>
      <c r="W6" s="3164"/>
      <c r="X6" s="1813"/>
      <c r="Y6" s="3190"/>
      <c r="Z6" s="3191"/>
      <c r="AA6" s="3163"/>
      <c r="AB6" s="3164"/>
      <c r="AC6" s="3163"/>
    </row>
    <row r="7" spans="1:29" s="116" customFormat="1" ht="15.75" thickBot="1">
      <c r="A7" s="407" t="s">
        <v>2542</v>
      </c>
      <c r="B7" s="408"/>
      <c r="C7" s="409">
        <f>'数据-取费表'!B2</f>
        <v>43405</v>
      </c>
      <c r="D7" s="410">
        <v>100</v>
      </c>
      <c r="E7" s="411">
        <v>43405</v>
      </c>
      <c r="F7" s="412">
        <f>SUMIF(58:58,YEAR(E7)&amp;"-"&amp;MONTH(E7),59:59)</f>
        <v>100</v>
      </c>
      <c r="G7" s="411">
        <v>43405</v>
      </c>
      <c r="H7" s="410">
        <f>SUMIF(58:58,YEAR(G7)&amp;"-"&amp;MONTH(G7),59:59)</f>
        <v>100</v>
      </c>
      <c r="I7" s="411">
        <v>43405</v>
      </c>
      <c r="J7" s="410">
        <f>SUMIF(58:58,YEAR(I7)&amp;"-"&amp;MONTH(I7),59:59)</f>
        <v>100</v>
      </c>
      <c r="K7" s="610"/>
      <c r="L7" s="1132"/>
      <c r="M7" s="1133"/>
      <c r="N7" s="1133"/>
      <c r="O7" s="1133"/>
      <c r="P7" s="3165" t="s">
        <v>2543</v>
      </c>
      <c r="Q7" s="3192"/>
      <c r="R7" s="767" t="s">
        <v>17</v>
      </c>
      <c r="S7" s="768">
        <f t="shared" ref="S7:S15" si="0">F7</f>
        <v>100</v>
      </c>
      <c r="T7" s="767" t="s">
        <v>17</v>
      </c>
      <c r="U7" s="768">
        <f t="shared" ref="U7:U15" si="1">H7</f>
        <v>100</v>
      </c>
      <c r="V7" s="767" t="s">
        <v>17</v>
      </c>
      <c r="W7" s="768">
        <f t="shared" ref="W7:W15" si="2">J7</f>
        <v>100</v>
      </c>
      <c r="X7" s="769"/>
      <c r="Y7" s="3165" t="s">
        <v>2543</v>
      </c>
      <c r="Z7" s="3166"/>
      <c r="AA7" s="770">
        <f>D7/F7</f>
        <v>1</v>
      </c>
      <c r="AB7" s="770">
        <f>D7/H7</f>
        <v>1</v>
      </c>
      <c r="AC7" s="770">
        <f>D7/J7</f>
        <v>1</v>
      </c>
    </row>
    <row r="8" spans="1:29" s="116" customFormat="1" ht="15.75" thickBot="1">
      <c r="A8" s="407" t="s">
        <v>2544</v>
      </c>
      <c r="B8" s="408"/>
      <c r="C8" s="413" t="s">
        <v>2646</v>
      </c>
      <c r="D8" s="410">
        <v>100</v>
      </c>
      <c r="E8" s="413" t="s">
        <v>2646</v>
      </c>
      <c r="F8" s="412">
        <f>SUMIF(61:61,E8,62:62)-SUMIF(61:61,C8,62:62)+100</f>
        <v>100</v>
      </c>
      <c r="G8" s="413" t="s">
        <v>2646</v>
      </c>
      <c r="H8" s="410">
        <f>SUMIF(61:61,G8,62:62)-SUMIF(61:61,C8,62:62)+100</f>
        <v>100</v>
      </c>
      <c r="I8" s="413" t="s">
        <v>2646</v>
      </c>
      <c r="J8" s="410">
        <f>SUMIF(61:61,I8,62:62)-SUMIF(61:61,C8,62:62)+100</f>
        <v>100</v>
      </c>
      <c r="K8" s="610"/>
      <c r="L8" s="1132"/>
      <c r="M8" s="1133"/>
      <c r="N8" s="1133"/>
      <c r="O8" s="1133"/>
      <c r="P8" s="3165" t="s">
        <v>2546</v>
      </c>
      <c r="Q8" s="3166"/>
      <c r="R8" s="767" t="s">
        <v>17</v>
      </c>
      <c r="S8" s="768">
        <f t="shared" si="0"/>
        <v>100</v>
      </c>
      <c r="T8" s="767" t="s">
        <v>17</v>
      </c>
      <c r="U8" s="768">
        <f t="shared" si="1"/>
        <v>100</v>
      </c>
      <c r="V8" s="767" t="s">
        <v>17</v>
      </c>
      <c r="W8" s="768">
        <f t="shared" si="2"/>
        <v>100</v>
      </c>
      <c r="X8" s="769"/>
      <c r="Y8" s="3165" t="s">
        <v>2546</v>
      </c>
      <c r="Z8" s="3166"/>
      <c r="AA8" s="770">
        <f t="shared" ref="AA8:AA46" si="3">D8/F8</f>
        <v>1</v>
      </c>
      <c r="AB8" s="770">
        <f t="shared" ref="AB8:AB46" si="4">D8/H8</f>
        <v>1</v>
      </c>
      <c r="AC8" s="770">
        <f t="shared" ref="AC8:AC46" si="5">D8/J8</f>
        <v>1</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179"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770">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179"/>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75" thickBot="1">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179"/>
      <c r="Q11" s="1795" t="str">
        <f t="shared" si="6"/>
        <v>容积率</v>
      </c>
      <c r="R11" s="767" t="s">
        <v>17</v>
      </c>
      <c r="S11" s="768">
        <f t="shared" si="0"/>
        <v>100</v>
      </c>
      <c r="T11" s="767" t="s">
        <v>17</v>
      </c>
      <c r="U11" s="768">
        <f t="shared" si="1"/>
        <v>100</v>
      </c>
      <c r="V11" s="767" t="s">
        <v>17</v>
      </c>
      <c r="W11" s="768">
        <f t="shared" si="2"/>
        <v>100</v>
      </c>
      <c r="X11" s="769"/>
      <c r="Y11" s="3038"/>
      <c r="Z11" s="55" t="str">
        <f t="shared" si="7"/>
        <v>容积率</v>
      </c>
      <c r="AA11" s="770">
        <f t="shared" si="3"/>
        <v>1</v>
      </c>
      <c r="AB11" s="770">
        <f t="shared" si="4"/>
        <v>1</v>
      </c>
      <c r="AC11" s="770">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179"/>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79"/>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79"/>
      <c r="Q14" s="1795">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71.25">
      <c r="A15" s="439" t="s">
        <v>2553</v>
      </c>
      <c r="B15" s="68"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193" t="s">
        <v>2554</v>
      </c>
      <c r="Q15" s="1810" t="str">
        <f t="shared" si="6"/>
        <v>商业繁华度</v>
      </c>
      <c r="R15" s="771" t="s">
        <v>17</v>
      </c>
      <c r="S15" s="772">
        <f t="shared" si="0"/>
        <v>100</v>
      </c>
      <c r="T15" s="771" t="s">
        <v>17</v>
      </c>
      <c r="U15" s="772">
        <f t="shared" si="1"/>
        <v>100</v>
      </c>
      <c r="V15" s="771" t="s">
        <v>17</v>
      </c>
      <c r="W15" s="772">
        <f t="shared" si="2"/>
        <v>100</v>
      </c>
      <c r="X15" s="1813"/>
      <c r="Y15" s="3195" t="s">
        <v>2554</v>
      </c>
      <c r="Z15" s="1814" t="str">
        <f t="shared" si="7"/>
        <v>商业繁华度</v>
      </c>
      <c r="AA15" s="1811">
        <f t="shared" si="3"/>
        <v>1</v>
      </c>
      <c r="AB15" s="1811">
        <f t="shared" si="4"/>
        <v>1</v>
      </c>
      <c r="AC15" s="1811">
        <f t="shared" si="5"/>
        <v>1</v>
      </c>
    </row>
    <row r="16" spans="1:29" ht="15">
      <c r="A16" s="427"/>
      <c r="B16" s="445"/>
      <c r="C16" s="446" t="s">
        <v>3127</v>
      </c>
      <c r="D16" s="447"/>
      <c r="E16" s="446" t="s">
        <v>3127</v>
      </c>
      <c r="F16" s="448"/>
      <c r="G16" s="446" t="s">
        <v>3127</v>
      </c>
      <c r="H16" s="449"/>
      <c r="I16" s="446" t="s">
        <v>3127</v>
      </c>
      <c r="J16" s="447"/>
      <c r="K16" s="614"/>
      <c r="L16" s="1140"/>
      <c r="M16" s="1131"/>
      <c r="N16" s="1131"/>
      <c r="O16" s="1131"/>
      <c r="P16" s="3194"/>
      <c r="Q16" s="1810"/>
      <c r="R16" s="771"/>
      <c r="S16" s="772"/>
      <c r="T16" s="771"/>
      <c r="U16" s="772"/>
      <c r="V16" s="771"/>
      <c r="W16" s="772"/>
      <c r="X16" s="1813"/>
      <c r="Y16" s="3196"/>
      <c r="Z16" s="1814"/>
      <c r="AA16" s="1811">
        <v>1</v>
      </c>
      <c r="AB16" s="1811">
        <v>1</v>
      </c>
      <c r="AC16" s="1811">
        <v>1</v>
      </c>
    </row>
    <row r="17" spans="1:29" ht="85.5">
      <c r="A17" s="427"/>
      <c r="B17" s="450" t="s">
        <v>2089</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194"/>
      <c r="Q17" s="1810" t="str">
        <f>B17</f>
        <v>交通便捷度</v>
      </c>
      <c r="R17" s="771" t="s">
        <v>17</v>
      </c>
      <c r="S17" s="772">
        <f>F17</f>
        <v>100</v>
      </c>
      <c r="T17" s="771" t="s">
        <v>17</v>
      </c>
      <c r="U17" s="772">
        <f>H17</f>
        <v>100</v>
      </c>
      <c r="V17" s="771" t="s">
        <v>17</v>
      </c>
      <c r="W17" s="772">
        <f>J17</f>
        <v>100</v>
      </c>
      <c r="X17" s="1813"/>
      <c r="Y17" s="3196"/>
      <c r="Z17" s="1814" t="str">
        <f>Q17</f>
        <v>交通便捷度</v>
      </c>
      <c r="AA17" s="1811">
        <f t="shared" si="3"/>
        <v>1</v>
      </c>
      <c r="AB17" s="1811">
        <f t="shared" si="4"/>
        <v>1</v>
      </c>
      <c r="AC17" s="1811">
        <f t="shared" si="5"/>
        <v>1</v>
      </c>
    </row>
    <row r="18" spans="1:29" ht="15">
      <c r="A18" s="427"/>
      <c r="B18" s="455"/>
      <c r="C18" s="446" t="s">
        <v>3127</v>
      </c>
      <c r="D18" s="449"/>
      <c r="E18" s="446" t="s">
        <v>3127</v>
      </c>
      <c r="F18" s="452"/>
      <c r="G18" s="446" t="s">
        <v>3127</v>
      </c>
      <c r="H18" s="447"/>
      <c r="I18" s="446" t="s">
        <v>3127</v>
      </c>
      <c r="J18" s="447"/>
      <c r="K18" s="614"/>
      <c r="L18" s="1140"/>
      <c r="M18" s="1131"/>
      <c r="N18" s="1131"/>
      <c r="O18" s="1131"/>
      <c r="P18" s="3194"/>
      <c r="Q18" s="1810"/>
      <c r="R18" s="771"/>
      <c r="S18" s="772"/>
      <c r="T18" s="771"/>
      <c r="U18" s="772"/>
      <c r="V18" s="771"/>
      <c r="W18" s="772"/>
      <c r="X18" s="1813"/>
      <c r="Y18" s="3196"/>
      <c r="Z18" s="1814"/>
      <c r="AA18" s="1811">
        <v>1</v>
      </c>
      <c r="AB18" s="1811">
        <v>1</v>
      </c>
      <c r="AC18" s="1811">
        <v>1</v>
      </c>
    </row>
    <row r="19" spans="1:29" ht="42.75">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194"/>
      <c r="Q19" s="1810" t="str">
        <f>B19</f>
        <v>公共配套设施</v>
      </c>
      <c r="R19" s="771" t="s">
        <v>17</v>
      </c>
      <c r="S19" s="772">
        <f>F19</f>
        <v>100</v>
      </c>
      <c r="T19" s="771" t="s">
        <v>17</v>
      </c>
      <c r="U19" s="772">
        <f>H19</f>
        <v>100</v>
      </c>
      <c r="V19" s="771" t="s">
        <v>17</v>
      </c>
      <c r="W19" s="772">
        <f>J19</f>
        <v>100</v>
      </c>
      <c r="X19" s="1813"/>
      <c r="Y19" s="3196"/>
      <c r="Z19" s="1814" t="str">
        <f>Q19</f>
        <v>公共配套设施</v>
      </c>
      <c r="AA19" s="1811">
        <f t="shared" si="3"/>
        <v>1</v>
      </c>
      <c r="AB19" s="1811">
        <f t="shared" si="4"/>
        <v>1</v>
      </c>
      <c r="AC19" s="1811">
        <f t="shared" si="5"/>
        <v>1</v>
      </c>
    </row>
    <row r="20" spans="1:29" ht="15">
      <c r="A20" s="427"/>
      <c r="B20" s="455"/>
      <c r="C20" s="446" t="s">
        <v>3127</v>
      </c>
      <c r="D20" s="447"/>
      <c r="E20" s="446" t="s">
        <v>3127</v>
      </c>
      <c r="F20" s="448"/>
      <c r="G20" s="446" t="s">
        <v>3127</v>
      </c>
      <c r="H20" s="447"/>
      <c r="I20" s="446" t="s">
        <v>3127</v>
      </c>
      <c r="J20" s="447"/>
      <c r="K20" s="614"/>
      <c r="L20" s="1140"/>
      <c r="M20" s="1131"/>
      <c r="N20" s="1131"/>
      <c r="O20" s="1131"/>
      <c r="P20" s="3194"/>
      <c r="Q20" s="1810"/>
      <c r="R20" s="771"/>
      <c r="S20" s="772"/>
      <c r="T20" s="771"/>
      <c r="U20" s="772"/>
      <c r="V20" s="771"/>
      <c r="W20" s="772"/>
      <c r="X20" s="1813"/>
      <c r="Y20" s="3196"/>
      <c r="Z20" s="1814"/>
      <c r="AA20" s="1811">
        <v>1</v>
      </c>
      <c r="AB20" s="1811">
        <v>1</v>
      </c>
      <c r="AC20" s="1811">
        <v>1</v>
      </c>
    </row>
    <row r="21" spans="1:29" ht="28.5">
      <c r="A21" s="427"/>
      <c r="B21" s="1384"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194"/>
      <c r="Q21" s="1810" t="str">
        <f>B21</f>
        <v>基础设施水平</v>
      </c>
      <c r="R21" s="771" t="s">
        <v>17</v>
      </c>
      <c r="S21" s="772">
        <f>F21</f>
        <v>100</v>
      </c>
      <c r="T21" s="771" t="s">
        <v>17</v>
      </c>
      <c r="U21" s="772">
        <f>H21</f>
        <v>100</v>
      </c>
      <c r="V21" s="771" t="s">
        <v>17</v>
      </c>
      <c r="W21" s="772">
        <f>J21</f>
        <v>100</v>
      </c>
      <c r="X21" s="1813"/>
      <c r="Y21" s="3196"/>
      <c r="Z21" s="1814" t="str">
        <f>Q21</f>
        <v>基础设施水平</v>
      </c>
      <c r="AA21" s="1811">
        <f t="shared" ref="AA21" si="8">D21/F21</f>
        <v>1</v>
      </c>
      <c r="AB21" s="1811">
        <f t="shared" ref="AB21" si="9">D21/H21</f>
        <v>1</v>
      </c>
      <c r="AC21" s="1811">
        <f t="shared" ref="AC21" si="10">D21/J21</f>
        <v>1</v>
      </c>
    </row>
    <row r="22" spans="1:29" ht="15">
      <c r="A22" s="427"/>
      <c r="B22" s="1384"/>
      <c r="C22" s="2607" t="s">
        <v>3128</v>
      </c>
      <c r="D22" s="447"/>
      <c r="E22" s="2607" t="s">
        <v>3128</v>
      </c>
      <c r="F22" s="448"/>
      <c r="G22" s="2607" t="s">
        <v>3128</v>
      </c>
      <c r="H22" s="447"/>
      <c r="I22" s="2607" t="s">
        <v>3128</v>
      </c>
      <c r="J22" s="447"/>
      <c r="K22" s="1383"/>
      <c r="L22" s="1140"/>
      <c r="M22" s="1131"/>
      <c r="N22" s="1131"/>
      <c r="O22" s="1131"/>
      <c r="P22" s="3194"/>
      <c r="Q22" s="1810"/>
      <c r="R22" s="771"/>
      <c r="S22" s="772"/>
      <c r="T22" s="771"/>
      <c r="U22" s="772"/>
      <c r="V22" s="771"/>
      <c r="W22" s="772"/>
      <c r="X22" s="1813"/>
      <c r="Y22" s="3196"/>
      <c r="Z22" s="1814"/>
      <c r="AA22" s="1811">
        <v>1</v>
      </c>
      <c r="AB22" s="1811">
        <v>1</v>
      </c>
      <c r="AC22" s="1811">
        <v>1</v>
      </c>
    </row>
    <row r="23" spans="1:29" ht="57">
      <c r="A23" s="427"/>
      <c r="B23" s="450" t="s">
        <v>2094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194"/>
      <c r="Q23" s="1810" t="str">
        <f>B23</f>
        <v>自然及人文环境</v>
      </c>
      <c r="R23" s="771" t="s">
        <v>17</v>
      </c>
      <c r="S23" s="772">
        <f>F23</f>
        <v>100</v>
      </c>
      <c r="T23" s="771" t="s">
        <v>17</v>
      </c>
      <c r="U23" s="772">
        <f>H23</f>
        <v>100</v>
      </c>
      <c r="V23" s="771" t="s">
        <v>17</v>
      </c>
      <c r="W23" s="772">
        <f>J23</f>
        <v>100</v>
      </c>
      <c r="X23" s="1813"/>
      <c r="Y23" s="3196"/>
      <c r="Z23" s="1814" t="str">
        <f>Q23</f>
        <v>自然及人文环境</v>
      </c>
      <c r="AA23" s="1811">
        <f t="shared" si="3"/>
        <v>1</v>
      </c>
      <c r="AB23" s="1811">
        <f t="shared" si="4"/>
        <v>1</v>
      </c>
      <c r="AC23" s="1811">
        <f t="shared" si="5"/>
        <v>1</v>
      </c>
    </row>
    <row r="24" spans="1:29" ht="15">
      <c r="A24" s="427"/>
      <c r="B24" s="455"/>
      <c r="C24" s="446" t="s">
        <v>3127</v>
      </c>
      <c r="D24" s="447"/>
      <c r="E24" s="446" t="s">
        <v>3127</v>
      </c>
      <c r="F24" s="448"/>
      <c r="G24" s="446" t="s">
        <v>3127</v>
      </c>
      <c r="H24" s="447"/>
      <c r="I24" s="446" t="s">
        <v>3127</v>
      </c>
      <c r="J24" s="447"/>
      <c r="K24" s="614"/>
      <c r="L24" s="1140"/>
      <c r="M24" s="1131"/>
      <c r="N24" s="1131"/>
      <c r="O24" s="1131"/>
      <c r="P24" s="3194"/>
      <c r="Q24" s="1810"/>
      <c r="R24" s="771"/>
      <c r="S24" s="772"/>
      <c r="T24" s="771"/>
      <c r="U24" s="772"/>
      <c r="V24" s="771"/>
      <c r="W24" s="772"/>
      <c r="X24" s="1813"/>
      <c r="Y24" s="3196"/>
      <c r="Z24" s="1814"/>
      <c r="AA24" s="1811">
        <v>1</v>
      </c>
      <c r="AB24" s="1811">
        <v>1</v>
      </c>
      <c r="AC24" s="1811">
        <v>1</v>
      </c>
    </row>
    <row r="25" spans="1:29" ht="15">
      <c r="A25" s="427"/>
      <c r="B25" s="421" t="s">
        <v>2650</v>
      </c>
      <c r="C25" s="615" t="s">
        <v>3131</v>
      </c>
      <c r="D25" s="434">
        <v>100</v>
      </c>
      <c r="E25" s="615" t="s">
        <v>3131</v>
      </c>
      <c r="F25" s="460">
        <f>SUMIF(86:86,E25,87:87)-SUMIF(86:86,C25,87:87)+100</f>
        <v>100</v>
      </c>
      <c r="G25" s="615" t="s">
        <v>3131</v>
      </c>
      <c r="H25" s="434">
        <f>SUMIF(86:86,G25,87:87)-SUMIF(86:86,C25,87:87)+100</f>
        <v>100</v>
      </c>
      <c r="I25" s="615" t="s">
        <v>3131</v>
      </c>
      <c r="J25" s="434">
        <f>SUMIF(86:86,I25,87:87)-SUMIF(86:86,C25,87:87)+100</f>
        <v>100</v>
      </c>
      <c r="K25" s="611"/>
      <c r="L25" s="1140"/>
      <c r="M25" s="1131"/>
      <c r="N25" s="1131"/>
      <c r="O25" s="1131"/>
      <c r="P25" s="3194"/>
      <c r="Q25" s="1810" t="str">
        <f t="shared" ref="Q25:Q46" si="11">B25</f>
        <v>临街状况</v>
      </c>
      <c r="R25" s="771" t="s">
        <v>17</v>
      </c>
      <c r="S25" s="772">
        <f>F25</f>
        <v>100</v>
      </c>
      <c r="T25" s="771" t="s">
        <v>17</v>
      </c>
      <c r="U25" s="772">
        <f>H25</f>
        <v>100</v>
      </c>
      <c r="V25" s="771" t="s">
        <v>17</v>
      </c>
      <c r="W25" s="772">
        <f>J25</f>
        <v>100</v>
      </c>
      <c r="X25" s="1813"/>
      <c r="Y25" s="3196"/>
      <c r="Z25" s="1814" t="str">
        <f>Q25</f>
        <v>临街状况</v>
      </c>
      <c r="AA25" s="1811">
        <f t="shared" si="3"/>
        <v>1</v>
      </c>
      <c r="AB25" s="1811">
        <f t="shared" si="4"/>
        <v>1</v>
      </c>
      <c r="AC25" s="1811">
        <f t="shared" si="5"/>
        <v>1</v>
      </c>
    </row>
    <row r="26" spans="1:29" ht="15">
      <c r="A26" s="427"/>
      <c r="B26" s="1386" t="s">
        <v>2651</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194"/>
      <c r="Q26" s="1810" t="str">
        <f t="shared" si="11"/>
        <v>平面位置/可视性</v>
      </c>
      <c r="R26" s="771" t="s">
        <v>17</v>
      </c>
      <c r="S26" s="772">
        <f>F26</f>
        <v>100</v>
      </c>
      <c r="T26" s="771" t="s">
        <v>17</v>
      </c>
      <c r="U26" s="772">
        <f>H26</f>
        <v>100</v>
      </c>
      <c r="V26" s="771" t="s">
        <v>17</v>
      </c>
      <c r="W26" s="772">
        <f>J26</f>
        <v>100</v>
      </c>
      <c r="X26" s="1813"/>
      <c r="Y26" s="3196"/>
      <c r="Z26" s="1814" t="str">
        <f>Q26</f>
        <v>平面位置/可视性</v>
      </c>
      <c r="AA26" s="1811">
        <f t="shared" si="3"/>
        <v>1</v>
      </c>
      <c r="AB26" s="1811">
        <f t="shared" si="4"/>
        <v>1</v>
      </c>
      <c r="AC26" s="1811">
        <f t="shared" si="5"/>
        <v>1</v>
      </c>
    </row>
    <row r="27" spans="1:29" s="116"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194"/>
      <c r="Q27" s="1795" t="str">
        <f t="shared" si="11"/>
        <v>人流量</v>
      </c>
      <c r="R27" s="767" t="s">
        <v>17</v>
      </c>
      <c r="S27" s="768">
        <f>F27</f>
        <v>100</v>
      </c>
      <c r="T27" s="767" t="s">
        <v>17</v>
      </c>
      <c r="U27" s="768">
        <f>H27</f>
        <v>100</v>
      </c>
      <c r="V27" s="767" t="s">
        <v>17</v>
      </c>
      <c r="W27" s="768">
        <f>J27</f>
        <v>100</v>
      </c>
      <c r="X27" s="769"/>
      <c r="Y27" s="3196"/>
      <c r="Z27" s="55" t="str">
        <f>Q27</f>
        <v>人流量</v>
      </c>
      <c r="AA27" s="1811">
        <f>D27/F27</f>
        <v>1</v>
      </c>
      <c r="AB27" s="1811">
        <f>D27/H27</f>
        <v>1</v>
      </c>
      <c r="AC27" s="1811">
        <f>D27/J27</f>
        <v>1</v>
      </c>
    </row>
    <row r="28" spans="1:29" ht="15.75" thickBot="1">
      <c r="A28" s="427"/>
      <c r="B28" s="421" t="s">
        <v>2653</v>
      </c>
      <c r="C28" s="615" t="s">
        <v>3102</v>
      </c>
      <c r="D28" s="434">
        <v>100</v>
      </c>
      <c r="E28" s="615" t="s">
        <v>3102</v>
      </c>
      <c r="F28" s="460">
        <f>SUMIF(92:92,E28,93:93)-SUMIF(92:92,C28,93:93)+100</f>
        <v>100</v>
      </c>
      <c r="G28" s="615" t="s">
        <v>3102</v>
      </c>
      <c r="H28" s="434">
        <f>SUMIF(92:92,G28,93:93)-SUMIF(92:92,C28,93:93)+100</f>
        <v>100</v>
      </c>
      <c r="I28" s="615" t="s">
        <v>3102</v>
      </c>
      <c r="J28" s="434">
        <f>SUMIF(92:92,I28,93:93)-SUMIF(92:92,C28,93:93)+100</f>
        <v>100</v>
      </c>
      <c r="K28" s="612"/>
      <c r="L28" s="1140"/>
      <c r="M28" s="1131"/>
      <c r="N28" s="1131"/>
      <c r="O28" s="1131"/>
      <c r="P28" s="3194"/>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96"/>
      <c r="Z28" s="1814" t="str">
        <f t="shared" ref="Z28:Z46" si="15">Q28</f>
        <v>楼层</v>
      </c>
      <c r="AA28" s="1811">
        <f t="shared" si="3"/>
        <v>1</v>
      </c>
      <c r="AB28" s="1811">
        <f t="shared" si="4"/>
        <v>1</v>
      </c>
      <c r="AC28" s="1811">
        <f t="shared" si="5"/>
        <v>1</v>
      </c>
    </row>
    <row r="29" spans="1:29" ht="15" hidden="1">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194"/>
      <c r="Q29" s="1810">
        <f t="shared" si="11"/>
        <v>111</v>
      </c>
      <c r="R29" s="771" t="s">
        <v>17</v>
      </c>
      <c r="S29" s="772">
        <f t="shared" si="12"/>
        <v>100</v>
      </c>
      <c r="T29" s="771" t="s">
        <v>17</v>
      </c>
      <c r="U29" s="772">
        <f t="shared" si="13"/>
        <v>100</v>
      </c>
      <c r="V29" s="771" t="s">
        <v>17</v>
      </c>
      <c r="W29" s="772">
        <f t="shared" si="14"/>
        <v>100</v>
      </c>
      <c r="X29" s="1813"/>
      <c r="Y29" s="3196"/>
      <c r="Z29" s="1814">
        <f t="shared" si="15"/>
        <v>111</v>
      </c>
      <c r="AA29" s="1811">
        <f t="shared" si="3"/>
        <v>1</v>
      </c>
      <c r="AB29" s="1811">
        <f t="shared" si="4"/>
        <v>1</v>
      </c>
      <c r="AC29" s="1811">
        <f t="shared" si="5"/>
        <v>1</v>
      </c>
    </row>
    <row r="30" spans="1:29" ht="15" hidden="1">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194"/>
      <c r="Q30" s="1810">
        <f t="shared" si="11"/>
        <v>111</v>
      </c>
      <c r="R30" s="771" t="s">
        <v>17</v>
      </c>
      <c r="S30" s="772">
        <f t="shared" si="12"/>
        <v>100</v>
      </c>
      <c r="T30" s="771" t="s">
        <v>17</v>
      </c>
      <c r="U30" s="772">
        <f t="shared" si="13"/>
        <v>100</v>
      </c>
      <c r="V30" s="771" t="s">
        <v>17</v>
      </c>
      <c r="W30" s="772">
        <f t="shared" si="14"/>
        <v>100</v>
      </c>
      <c r="X30" s="1813"/>
      <c r="Y30" s="3196"/>
      <c r="Z30" s="1814">
        <f t="shared" si="15"/>
        <v>111</v>
      </c>
      <c r="AA30" s="1811">
        <f t="shared" si="3"/>
        <v>1</v>
      </c>
      <c r="AB30" s="1811">
        <f t="shared" si="4"/>
        <v>1</v>
      </c>
      <c r="AC30" s="1811">
        <f t="shared" si="5"/>
        <v>1</v>
      </c>
    </row>
    <row r="31" spans="1:29" ht="15.75" hidden="1"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194"/>
      <c r="Q31" s="1810">
        <f t="shared" si="11"/>
        <v>111</v>
      </c>
      <c r="R31" s="771" t="s">
        <v>17</v>
      </c>
      <c r="S31" s="772">
        <f t="shared" si="12"/>
        <v>100</v>
      </c>
      <c r="T31" s="771" t="s">
        <v>17</v>
      </c>
      <c r="U31" s="772">
        <f t="shared" si="13"/>
        <v>100</v>
      </c>
      <c r="V31" s="771" t="s">
        <v>17</v>
      </c>
      <c r="W31" s="772">
        <f t="shared" si="14"/>
        <v>100</v>
      </c>
      <c r="X31" s="1813"/>
      <c r="Y31" s="3196"/>
      <c r="Z31" s="1814">
        <f t="shared" si="15"/>
        <v>111</v>
      </c>
      <c r="AA31" s="1811">
        <f t="shared" si="3"/>
        <v>1</v>
      </c>
      <c r="AB31" s="1811">
        <f t="shared" si="4"/>
        <v>1</v>
      </c>
      <c r="AC31" s="1811">
        <f t="shared" si="5"/>
        <v>1</v>
      </c>
    </row>
    <row r="32" spans="1:29" ht="15">
      <c r="A32" s="439" t="s">
        <v>2557</v>
      </c>
      <c r="B32" s="70" t="s">
        <v>2654</v>
      </c>
      <c r="C32" s="2616" t="s">
        <v>3108</v>
      </c>
      <c r="D32" s="466">
        <v>100</v>
      </c>
      <c r="E32" s="2616" t="s">
        <v>3124</v>
      </c>
      <c r="F32" s="460">
        <f>SUMIF(100:100,E32,101:101)-SUMIF(100:100,C32,101:101)+100</f>
        <v>85</v>
      </c>
      <c r="G32" s="2616" t="s">
        <v>3124</v>
      </c>
      <c r="H32" s="434">
        <f>SUMIF(100:100,G32,101:101)-SUMIF(100:100,C32,101:101)+100</f>
        <v>85</v>
      </c>
      <c r="I32" s="2616" t="s">
        <v>3124</v>
      </c>
      <c r="J32" s="466">
        <f>SUMIF(100:100,I32,101:101)-SUMIF(100:100,C32,101:101)+100</f>
        <v>85</v>
      </c>
      <c r="K32" s="611">
        <v>15</v>
      </c>
      <c r="L32" s="1140"/>
      <c r="M32" s="1131"/>
      <c r="N32" s="1131"/>
      <c r="O32" s="1131"/>
      <c r="P32" s="3197" t="s">
        <v>2559</v>
      </c>
      <c r="Q32" s="1810" t="str">
        <f t="shared" si="11"/>
        <v>商业类型</v>
      </c>
      <c r="R32" s="771" t="s">
        <v>17</v>
      </c>
      <c r="S32" s="772">
        <f t="shared" si="12"/>
        <v>85</v>
      </c>
      <c r="T32" s="771" t="s">
        <v>17</v>
      </c>
      <c r="U32" s="772">
        <f t="shared" si="13"/>
        <v>85</v>
      </c>
      <c r="V32" s="771" t="s">
        <v>17</v>
      </c>
      <c r="W32" s="772">
        <f t="shared" si="14"/>
        <v>85</v>
      </c>
      <c r="X32" s="1813"/>
      <c r="Y32" s="3200" t="s">
        <v>2559</v>
      </c>
      <c r="Z32" s="1814" t="str">
        <f t="shared" si="15"/>
        <v>商业类型</v>
      </c>
      <c r="AA32" s="1811">
        <f t="shared" si="3"/>
        <v>1.1764705882352942</v>
      </c>
      <c r="AB32" s="1811">
        <f t="shared" si="4"/>
        <v>1.1764705882352942</v>
      </c>
      <c r="AC32" s="1811">
        <f t="shared" si="5"/>
        <v>1.1764705882352942</v>
      </c>
    </row>
    <row r="33" spans="1:29" s="470" customFormat="1" ht="15">
      <c r="A33" s="467"/>
      <c r="B33" s="421" t="s">
        <v>2560</v>
      </c>
      <c r="C33" s="468">
        <f>'数据-汇总表'!F19</f>
        <v>287.93</v>
      </c>
      <c r="D33" s="135">
        <v>100</v>
      </c>
      <c r="E33" s="429">
        <v>62</v>
      </c>
      <c r="F33" s="424">
        <f>LOOKUP(E33,103:103,104:104)-LOOKUP(C33,103:103,104:104)+100</f>
        <v>101</v>
      </c>
      <c r="G33" s="428">
        <v>38</v>
      </c>
      <c r="H33" s="135">
        <f>LOOKUP(G33,103:103,104:104)-LOOKUP(C33,103:103,104:104)+100</f>
        <v>101</v>
      </c>
      <c r="I33" s="428">
        <v>118</v>
      </c>
      <c r="J33" s="135">
        <f>LOOKUP(I33,103:103,104:104)-LOOKUP(C33,103:103,104:104)+100</f>
        <v>100</v>
      </c>
      <c r="K33" s="612"/>
      <c r="L33" s="1138"/>
      <c r="M33" s="1141"/>
      <c r="N33" s="1141"/>
      <c r="O33" s="1141"/>
      <c r="P33" s="3198"/>
      <c r="Q33" s="773" t="str">
        <f t="shared" si="11"/>
        <v>项目建筑规模</v>
      </c>
      <c r="R33" s="774" t="s">
        <v>17</v>
      </c>
      <c r="S33" s="775">
        <f t="shared" si="12"/>
        <v>101</v>
      </c>
      <c r="T33" s="774" t="s">
        <v>17</v>
      </c>
      <c r="U33" s="775">
        <f t="shared" si="13"/>
        <v>101</v>
      </c>
      <c r="V33" s="774" t="s">
        <v>17</v>
      </c>
      <c r="W33" s="775">
        <f t="shared" si="14"/>
        <v>100</v>
      </c>
      <c r="X33" s="776"/>
      <c r="Y33" s="3200"/>
      <c r="Z33" s="777" t="str">
        <f t="shared" si="15"/>
        <v>项目建筑规模</v>
      </c>
      <c r="AA33" s="1811">
        <f t="shared" si="3"/>
        <v>0.99009900990099009</v>
      </c>
      <c r="AB33" s="1811">
        <f t="shared" si="4"/>
        <v>0.99009900990099009</v>
      </c>
      <c r="AC33" s="1811">
        <f t="shared" si="5"/>
        <v>1</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198"/>
      <c r="Q34" s="1810" t="str">
        <f t="shared" si="11"/>
        <v>建筑结构</v>
      </c>
      <c r="R34" s="771" t="s">
        <v>17</v>
      </c>
      <c r="S34" s="772">
        <f t="shared" si="12"/>
        <v>100</v>
      </c>
      <c r="T34" s="771" t="s">
        <v>17</v>
      </c>
      <c r="U34" s="772">
        <f t="shared" si="13"/>
        <v>100</v>
      </c>
      <c r="V34" s="771" t="s">
        <v>17</v>
      </c>
      <c r="W34" s="772">
        <f t="shared" si="14"/>
        <v>100</v>
      </c>
      <c r="X34" s="1813"/>
      <c r="Y34" s="3200"/>
      <c r="Z34" s="1814" t="str">
        <f t="shared" si="15"/>
        <v>建筑结构</v>
      </c>
      <c r="AA34" s="1811">
        <f t="shared" si="3"/>
        <v>1</v>
      </c>
      <c r="AB34" s="1811">
        <f t="shared" si="4"/>
        <v>1</v>
      </c>
      <c r="AC34" s="1811">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198"/>
      <c r="Q35" s="1810" t="str">
        <f t="shared" si="11"/>
        <v>公共部分装修</v>
      </c>
      <c r="R35" s="771" t="s">
        <v>17</v>
      </c>
      <c r="S35" s="772">
        <f t="shared" si="12"/>
        <v>100</v>
      </c>
      <c r="T35" s="771" t="s">
        <v>17</v>
      </c>
      <c r="U35" s="772">
        <f t="shared" si="13"/>
        <v>100</v>
      </c>
      <c r="V35" s="771" t="s">
        <v>17</v>
      </c>
      <c r="W35" s="772">
        <f t="shared" si="14"/>
        <v>100</v>
      </c>
      <c r="X35" s="1813"/>
      <c r="Y35" s="3200"/>
      <c r="Z35" s="1814" t="str">
        <f t="shared" si="15"/>
        <v>公共部分装修</v>
      </c>
      <c r="AA35" s="1811">
        <f t="shared" si="3"/>
        <v>1</v>
      </c>
      <c r="AB35" s="1811">
        <f t="shared" si="4"/>
        <v>1</v>
      </c>
      <c r="AC35" s="1811">
        <f t="shared" si="5"/>
        <v>1</v>
      </c>
    </row>
    <row r="36" spans="1:29" ht="15">
      <c r="A36" s="471"/>
      <c r="B36" s="421" t="s">
        <v>2656</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0"/>
      <c r="M36" s="1131"/>
      <c r="N36" s="1131"/>
      <c r="O36" s="1131"/>
      <c r="P36" s="3198"/>
      <c r="Q36" s="1810" t="str">
        <f t="shared" si="11"/>
        <v>成新度</v>
      </c>
      <c r="R36" s="771" t="s">
        <v>17</v>
      </c>
      <c r="S36" s="772">
        <f t="shared" si="12"/>
        <v>100</v>
      </c>
      <c r="T36" s="771" t="s">
        <v>17</v>
      </c>
      <c r="U36" s="772">
        <f t="shared" si="13"/>
        <v>100</v>
      </c>
      <c r="V36" s="771" t="s">
        <v>17</v>
      </c>
      <c r="W36" s="772">
        <f t="shared" si="14"/>
        <v>100</v>
      </c>
      <c r="X36" s="1813"/>
      <c r="Y36" s="3200"/>
      <c r="Z36" s="1814" t="str">
        <f t="shared" si="15"/>
        <v>成新度</v>
      </c>
      <c r="AA36" s="1811">
        <f t="shared" si="3"/>
        <v>1</v>
      </c>
      <c r="AB36" s="1811">
        <f t="shared" si="4"/>
        <v>1</v>
      </c>
      <c r="AC36" s="1811">
        <f t="shared" si="5"/>
        <v>1</v>
      </c>
    </row>
    <row r="37" spans="1:29" s="116" customFormat="1" ht="15">
      <c r="A37" s="472"/>
      <c r="B37" s="421" t="s">
        <v>2657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198"/>
      <c r="Q37" s="1795" t="str">
        <f t="shared" si="11"/>
        <v>市政基础设施</v>
      </c>
      <c r="R37" s="767" t="s">
        <v>17</v>
      </c>
      <c r="S37" s="768">
        <f t="shared" si="12"/>
        <v>100</v>
      </c>
      <c r="T37" s="767" t="s">
        <v>17</v>
      </c>
      <c r="U37" s="768">
        <f t="shared" si="13"/>
        <v>100</v>
      </c>
      <c r="V37" s="767" t="s">
        <v>17</v>
      </c>
      <c r="W37" s="768">
        <f t="shared" si="14"/>
        <v>100</v>
      </c>
      <c r="X37" s="769"/>
      <c r="Y37" s="3200"/>
      <c r="Z37" s="55" t="str">
        <f t="shared" si="15"/>
        <v>市政基础设施</v>
      </c>
      <c r="AA37" s="770">
        <f t="shared" si="3"/>
        <v>1</v>
      </c>
      <c r="AB37" s="770">
        <f t="shared" si="4"/>
        <v>1</v>
      </c>
      <c r="AC37" s="770">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198" t="s">
        <v>2559</v>
      </c>
      <c r="Q38" s="1810" t="str">
        <f t="shared" si="11"/>
        <v>业态</v>
      </c>
      <c r="R38" s="771" t="s">
        <v>17</v>
      </c>
      <c r="S38" s="772">
        <f t="shared" si="12"/>
        <v>100</v>
      </c>
      <c r="T38" s="771" t="s">
        <v>17</v>
      </c>
      <c r="U38" s="772">
        <f t="shared" si="13"/>
        <v>100</v>
      </c>
      <c r="V38" s="771" t="s">
        <v>17</v>
      </c>
      <c r="W38" s="772">
        <f t="shared" si="14"/>
        <v>100</v>
      </c>
      <c r="X38" s="1813"/>
      <c r="Y38" s="3200" t="s">
        <v>2559</v>
      </c>
      <c r="Z38" s="1814" t="str">
        <f t="shared" si="15"/>
        <v>业态</v>
      </c>
      <c r="AA38" s="1811">
        <f t="shared" si="3"/>
        <v>1</v>
      </c>
      <c r="AB38" s="1811">
        <f t="shared" si="4"/>
        <v>1</v>
      </c>
      <c r="AC38" s="1811">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198"/>
      <c r="Q39" s="1810" t="str">
        <f t="shared" si="11"/>
        <v>层高</v>
      </c>
      <c r="R39" s="771" t="s">
        <v>17</v>
      </c>
      <c r="S39" s="772">
        <f t="shared" si="12"/>
        <v>100</v>
      </c>
      <c r="T39" s="771" t="s">
        <v>17</v>
      </c>
      <c r="U39" s="772">
        <f t="shared" si="13"/>
        <v>100</v>
      </c>
      <c r="V39" s="771" t="s">
        <v>17</v>
      </c>
      <c r="W39" s="772">
        <f t="shared" si="14"/>
        <v>100</v>
      </c>
      <c r="X39" s="1813"/>
      <c r="Y39" s="3200"/>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198"/>
      <c r="Q40" s="1810" t="str">
        <f t="shared" si="11"/>
        <v>单套建筑面积</v>
      </c>
      <c r="R40" s="771" t="s">
        <v>17</v>
      </c>
      <c r="S40" s="772">
        <f t="shared" si="12"/>
        <v>100</v>
      </c>
      <c r="T40" s="771" t="s">
        <v>17</v>
      </c>
      <c r="U40" s="772">
        <f t="shared" si="13"/>
        <v>100</v>
      </c>
      <c r="V40" s="771" t="s">
        <v>17</v>
      </c>
      <c r="W40" s="772">
        <f t="shared" si="14"/>
        <v>100</v>
      </c>
      <c r="X40" s="1813"/>
      <c r="Y40" s="3200"/>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198"/>
      <c r="Q41" s="773" t="str">
        <f t="shared" si="11"/>
        <v>进深比</v>
      </c>
      <c r="R41" s="774" t="s">
        <v>17</v>
      </c>
      <c r="S41" s="775">
        <f t="shared" si="12"/>
        <v>100</v>
      </c>
      <c r="T41" s="774" t="s">
        <v>17</v>
      </c>
      <c r="U41" s="775">
        <f t="shared" si="13"/>
        <v>100</v>
      </c>
      <c r="V41" s="774" t="s">
        <v>17</v>
      </c>
      <c r="W41" s="775">
        <f t="shared" si="14"/>
        <v>100</v>
      </c>
      <c r="X41" s="776"/>
      <c r="Y41" s="3200"/>
      <c r="Z41" s="777" t="str">
        <f t="shared" si="15"/>
        <v>进深比</v>
      </c>
      <c r="AA41" s="1811">
        <f t="shared" si="3"/>
        <v>1</v>
      </c>
      <c r="AB41" s="1811">
        <f t="shared" si="4"/>
        <v>1</v>
      </c>
      <c r="AC41" s="1811">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198"/>
      <c r="Q42" s="1810" t="str">
        <f t="shared" si="11"/>
        <v>内部装修</v>
      </c>
      <c r="R42" s="771" t="s">
        <v>17</v>
      </c>
      <c r="S42" s="772">
        <f t="shared" si="12"/>
        <v>100</v>
      </c>
      <c r="T42" s="771" t="s">
        <v>17</v>
      </c>
      <c r="U42" s="772">
        <f t="shared" si="13"/>
        <v>100</v>
      </c>
      <c r="V42" s="771" t="s">
        <v>17</v>
      </c>
      <c r="W42" s="772">
        <f t="shared" si="14"/>
        <v>100</v>
      </c>
      <c r="X42" s="1813"/>
      <c r="Y42" s="3200"/>
      <c r="Z42" s="1814" t="str">
        <f t="shared" si="15"/>
        <v>内部装修</v>
      </c>
      <c r="AA42" s="1811">
        <f t="shared" si="3"/>
        <v>1</v>
      </c>
      <c r="AB42" s="1811">
        <f t="shared" si="4"/>
        <v>1</v>
      </c>
      <c r="AC42" s="1811">
        <f t="shared" si="5"/>
        <v>1</v>
      </c>
    </row>
    <row r="43" spans="1:29" ht="15.75" thickBot="1">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198"/>
      <c r="Q43" s="1810" t="str">
        <f t="shared" si="11"/>
        <v>内部装修维护情况</v>
      </c>
      <c r="R43" s="771" t="s">
        <v>17</v>
      </c>
      <c r="S43" s="772">
        <f t="shared" si="12"/>
        <v>100</v>
      </c>
      <c r="T43" s="771" t="s">
        <v>17</v>
      </c>
      <c r="U43" s="772">
        <f t="shared" si="13"/>
        <v>100</v>
      </c>
      <c r="V43" s="771" t="s">
        <v>17</v>
      </c>
      <c r="W43" s="772">
        <f t="shared" si="14"/>
        <v>100</v>
      </c>
      <c r="X43" s="1813"/>
      <c r="Y43" s="3200"/>
      <c r="Z43" s="1814" t="str">
        <f t="shared" si="15"/>
        <v>内部装修维护情况</v>
      </c>
      <c r="AA43" s="1811">
        <f t="shared" si="3"/>
        <v>1</v>
      </c>
      <c r="AB43" s="1811">
        <f t="shared" si="4"/>
        <v>1</v>
      </c>
      <c r="AC43" s="1811">
        <f t="shared" si="5"/>
        <v>1</v>
      </c>
    </row>
    <row r="44" spans="1:29" s="116" customFormat="1" ht="15" hidden="1">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198"/>
      <c r="Q44" s="1795">
        <f t="shared" si="11"/>
        <v>111</v>
      </c>
      <c r="R44" s="767" t="s">
        <v>17</v>
      </c>
      <c r="S44" s="768">
        <f t="shared" si="12"/>
        <v>100</v>
      </c>
      <c r="T44" s="767" t="s">
        <v>17</v>
      </c>
      <c r="U44" s="768">
        <f t="shared" si="13"/>
        <v>100</v>
      </c>
      <c r="V44" s="767" t="s">
        <v>17</v>
      </c>
      <c r="W44" s="768">
        <f t="shared" si="14"/>
        <v>100</v>
      </c>
      <c r="X44" s="769"/>
      <c r="Y44" s="3200"/>
      <c r="Z44" s="55">
        <f t="shared" si="15"/>
        <v>111</v>
      </c>
      <c r="AA44" s="770">
        <f t="shared" si="3"/>
        <v>1</v>
      </c>
      <c r="AB44" s="770">
        <f t="shared" si="4"/>
        <v>1</v>
      </c>
      <c r="AC44" s="770">
        <f t="shared" si="5"/>
        <v>1</v>
      </c>
    </row>
    <row r="45" spans="1:29" ht="15" hidden="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198"/>
      <c r="Q45" s="1810">
        <f t="shared" si="11"/>
        <v>111</v>
      </c>
      <c r="R45" s="771" t="s">
        <v>17</v>
      </c>
      <c r="S45" s="772">
        <f t="shared" si="12"/>
        <v>100</v>
      </c>
      <c r="T45" s="771" t="s">
        <v>17</v>
      </c>
      <c r="U45" s="772">
        <f t="shared" si="13"/>
        <v>100</v>
      </c>
      <c r="V45" s="771" t="s">
        <v>17</v>
      </c>
      <c r="W45" s="772">
        <f t="shared" si="14"/>
        <v>100</v>
      </c>
      <c r="X45" s="1813"/>
      <c r="Y45" s="3200"/>
      <c r="Z45" s="1814">
        <f t="shared" si="15"/>
        <v>111</v>
      </c>
      <c r="AA45" s="1811">
        <f t="shared" si="3"/>
        <v>1</v>
      </c>
      <c r="AB45" s="1811">
        <f t="shared" si="4"/>
        <v>1</v>
      </c>
      <c r="AC45" s="1811">
        <f t="shared" si="5"/>
        <v>1</v>
      </c>
    </row>
    <row r="46" spans="1:29" ht="15.75"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199"/>
      <c r="Q46" s="1810">
        <f t="shared" si="11"/>
        <v>111</v>
      </c>
      <c r="R46" s="771" t="s">
        <v>17</v>
      </c>
      <c r="S46" s="772">
        <f t="shared" si="12"/>
        <v>100</v>
      </c>
      <c r="T46" s="771" t="s">
        <v>17</v>
      </c>
      <c r="U46" s="772">
        <f t="shared" si="13"/>
        <v>100</v>
      </c>
      <c r="V46" s="771" t="s">
        <v>17</v>
      </c>
      <c r="W46" s="772">
        <f t="shared" si="14"/>
        <v>100</v>
      </c>
      <c r="X46" s="1813"/>
      <c r="Y46" s="3201"/>
      <c r="Z46" s="1814">
        <f t="shared" si="15"/>
        <v>111</v>
      </c>
      <c r="AA46" s="1811">
        <f t="shared" si="3"/>
        <v>1</v>
      </c>
      <c r="AB46" s="1811">
        <f t="shared" si="4"/>
        <v>1</v>
      </c>
      <c r="AC46" s="1811">
        <f t="shared" si="5"/>
        <v>1</v>
      </c>
    </row>
    <row r="47" spans="1:29" ht="15">
      <c r="A47" s="478" t="s">
        <v>2571</v>
      </c>
      <c r="B47" s="479"/>
      <c r="C47" s="1407" t="s">
        <v>1</v>
      </c>
      <c r="D47" s="1408"/>
      <c r="E47" s="1409">
        <f>ROUND(40645*0.9,0)</f>
        <v>36581</v>
      </c>
      <c r="F47" s="1410"/>
      <c r="G47" s="1411">
        <f>ROUND(39216*0.91,0)</f>
        <v>35687</v>
      </c>
      <c r="H47" s="1412"/>
      <c r="I47" s="1409">
        <f>ROUND(41102*0.9,0)</f>
        <v>36992</v>
      </c>
      <c r="J47" s="1412"/>
      <c r="K47" s="780"/>
      <c r="L47" s="1143"/>
      <c r="M47" s="1144"/>
      <c r="N47" s="1131"/>
      <c r="O47" s="1144"/>
      <c r="P47" s="3202" t="str">
        <f>A47</f>
        <v>成交单价（元/平方米）</v>
      </c>
      <c r="Q47" s="3202"/>
      <c r="R47" s="3164">
        <f>E47</f>
        <v>36581</v>
      </c>
      <c r="S47" s="3164"/>
      <c r="T47" s="3164">
        <f>G47</f>
        <v>35687</v>
      </c>
      <c r="U47" s="3164"/>
      <c r="V47" s="3164">
        <f>I47</f>
        <v>36992</v>
      </c>
      <c r="W47" s="3164"/>
      <c r="X47" s="756"/>
      <c r="Y47" s="778"/>
      <c r="Z47" s="756"/>
      <c r="AA47" s="756"/>
      <c r="AB47" s="756"/>
      <c r="AC47" s="756"/>
    </row>
    <row r="48" spans="1:29" ht="15.75" thickBot="1">
      <c r="A48" s="485" t="s">
        <v>2663</v>
      </c>
      <c r="B48" s="486"/>
      <c r="C48" s="1413">
        <f>R49</f>
        <v>42566</v>
      </c>
      <c r="D48" s="1414"/>
      <c r="E48" s="1415">
        <f>R48</f>
        <v>42610</v>
      </c>
      <c r="F48" s="1415"/>
      <c r="G48" s="1413">
        <f>T48</f>
        <v>41569</v>
      </c>
      <c r="H48" s="1414"/>
      <c r="I48" s="1415">
        <f>V48</f>
        <v>43520</v>
      </c>
      <c r="J48" s="1414"/>
      <c r="K48" s="781"/>
      <c r="L48" s="1143"/>
      <c r="M48" s="1144"/>
      <c r="N48" s="1131"/>
      <c r="O48" s="1144"/>
      <c r="P48" s="3202" t="str">
        <f>A48</f>
        <v>比较价值（元/平方米）</v>
      </c>
      <c r="Q48" s="3202"/>
      <c r="R48" s="3203">
        <f>IF(F1="售价",ROUND(PRODUCT(R47,AA7:AA46),0),ROUND(PRODUCT(R47,AA7:AA46),1))</f>
        <v>42610</v>
      </c>
      <c r="S48" s="3203"/>
      <c r="T48" s="3203">
        <f>IF(F1="售价",ROUND(PRODUCT(T47,AB7:AB46),0),ROUND(PRODUCT(T47,AB7:AB46),1))</f>
        <v>41569</v>
      </c>
      <c r="U48" s="3203"/>
      <c r="V48" s="3203">
        <f>IF(F1="售价",ROUND(PRODUCT(V47,AC7:AC46),0),ROUND(PRODUCT(V47,AC7:AC46),1))</f>
        <v>43520</v>
      </c>
      <c r="W48" s="3203"/>
      <c r="X48" s="756"/>
      <c r="Y48" s="756"/>
      <c r="Z48" s="756"/>
      <c r="AA48" s="756"/>
      <c r="AB48" s="756"/>
      <c r="AC48" s="756"/>
    </row>
    <row r="49" spans="1:29" ht="15.75" thickBot="1">
      <c r="A49" s="491" t="s">
        <v>2664</v>
      </c>
      <c r="B49" s="492"/>
      <c r="C49" s="1417">
        <f>R49</f>
        <v>42566</v>
      </c>
      <c r="D49" s="1417"/>
      <c r="E49" s="1417"/>
      <c r="F49" s="1417"/>
      <c r="G49" s="1417"/>
      <c r="H49" s="1417"/>
      <c r="I49" s="1417"/>
      <c r="J49" s="1417"/>
      <c r="K49" s="782"/>
      <c r="L49" s="1143"/>
      <c r="M49" s="1144"/>
      <c r="N49" s="1131"/>
      <c r="O49" s="1144"/>
      <c r="P49" s="3204" t="str">
        <f>A49</f>
        <v>估价对象XX用房的比较价值（楼面单价，元/平方米）</v>
      </c>
      <c r="Q49" s="3205"/>
      <c r="R49" s="3206">
        <f>IF(F1="售价",ROUND(AVERAGE(R48:V48),0),ROUND(AVERAGE(R48:V48),1))</f>
        <v>42566</v>
      </c>
      <c r="S49" s="3206"/>
      <c r="T49" s="3206"/>
      <c r="U49" s="3206"/>
      <c r="V49" s="3206"/>
      <c r="W49" s="320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2665</v>
      </c>
      <c r="D52" s="497"/>
      <c r="E52" s="498">
        <f>IF(E47&lt;E48,E48/E47-1,E47/E48-1)</f>
        <v>0.16481233427188968</v>
      </c>
      <c r="F52" s="499" t="str">
        <f>IF(OR(E52&gt;=0.3,E52&lt;=-0.3),"超过30%","")</f>
        <v/>
      </c>
      <c r="G52" s="498">
        <f>IF(G47&lt;G48,G48/G47-1,G47/G48-1)</f>
        <v>0.16482192394989781</v>
      </c>
      <c r="H52" s="499" t="str">
        <f>IF(OR(G52&gt;=0.3,G52&lt;=-0.3),"超过30%","")</f>
        <v/>
      </c>
      <c r="I52" s="498">
        <f>IF(I47&lt;I48,I48/I47-1,I47/I48-1)</f>
        <v>0.17647058823529416</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2666</v>
      </c>
      <c r="D53" s="500"/>
      <c r="E53" s="498">
        <f>IF(E48&lt;G48,G48/E48-1,E48/G48-1)</f>
        <v>2.5042700089008552E-2</v>
      </c>
      <c r="F53" s="499" t="str">
        <f>IF(OR(E53&gt;=0.2,E53&lt;=-0.2),"超过20%","")</f>
        <v/>
      </c>
      <c r="G53" s="498">
        <f>IF(G48&lt;I48,I48/G48-1,G48/I48-1)</f>
        <v>4.6934013327239121E-2</v>
      </c>
      <c r="H53" s="499" t="str">
        <f>IF(OR(G53&gt;=0.2,G53&lt;=-0.2),"超过20%","")</f>
        <v/>
      </c>
      <c r="I53" s="498">
        <f>IF(I48&lt;E48,E48/I48-1,I48/E48-1)</f>
        <v>2.1356489087068775E-2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2667</v>
      </c>
      <c r="D54" s="500"/>
      <c r="E54" s="498">
        <f>IF(E47&lt;G47,G47/E47-1,E47/G47-1)</f>
        <v>2.5051139070249695E-2</v>
      </c>
      <c r="F54" s="499" t="str">
        <f>IF(OR(E54&gt;=0.3,E54&lt;=-0.3),"超过30%","")</f>
        <v/>
      </c>
      <c r="G54" s="498">
        <f>IF(G47&lt;I47,I47/G47-1,G47/I47-1)</f>
        <v>3.6567937904559145E-2</v>
      </c>
      <c r="H54" s="499" t="str">
        <f>IF(OR(G54&gt;=0.3,G54&lt;=-0.3),"超过30%","")</f>
        <v/>
      </c>
      <c r="I54" s="498">
        <f>IF(I47&lt;E47,E47/I47-1,I47/E47-1)</f>
        <v>1.1235340750662903E-2</v>
      </c>
      <c r="J54" s="499"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7" customFormat="1" ht="15">
      <c r="A58" s="504" t="s">
        <v>2542</v>
      </c>
      <c r="B58" s="505"/>
      <c r="C58" s="1574" t="str">
        <f>YEAR(C7)&amp;"-"&amp;MONTH(C7)</f>
        <v>2018-11</v>
      </c>
      <c r="D58" s="1575">
        <f>EDATE(C58,-1)</f>
        <v>43374</v>
      </c>
      <c r="E58" s="1575">
        <f t="shared" ref="E58:N58" si="16">EDATE(D58,-1)</f>
        <v>43344</v>
      </c>
      <c r="F58" s="1575">
        <f t="shared" si="16"/>
        <v>43313</v>
      </c>
      <c r="G58" s="1575">
        <f t="shared" si="16"/>
        <v>43282</v>
      </c>
      <c r="H58" s="1575">
        <f t="shared" si="16"/>
        <v>43252</v>
      </c>
      <c r="I58" s="1575">
        <f t="shared" si="16"/>
        <v>43221</v>
      </c>
      <c r="J58" s="1575">
        <f t="shared" si="16"/>
        <v>43191</v>
      </c>
      <c r="K58" s="1575">
        <f t="shared" si="16"/>
        <v>43160</v>
      </c>
      <c r="L58" s="1575">
        <f t="shared" si="16"/>
        <v>43132</v>
      </c>
      <c r="M58" s="1575">
        <f t="shared" si="16"/>
        <v>43101</v>
      </c>
      <c r="N58" s="1575">
        <f t="shared" si="16"/>
        <v>43070</v>
      </c>
      <c r="O58" s="1575">
        <f>EDATE(N58,-1)</f>
        <v>43040</v>
      </c>
      <c r="P58" s="1570"/>
    </row>
    <row r="59" spans="1:29" s="116" customFormat="1" ht="15">
      <c r="A59" s="508"/>
      <c r="B59" s="509"/>
      <c r="C59" s="1573">
        <v>100</v>
      </c>
      <c r="D59" s="511"/>
      <c r="E59" s="511"/>
      <c r="F59" s="511"/>
      <c r="G59" s="511"/>
      <c r="H59" s="511"/>
      <c r="I59" s="511"/>
      <c r="J59" s="511"/>
      <c r="K59" s="511"/>
      <c r="L59" s="511"/>
      <c r="M59" s="512"/>
      <c r="N59" s="511"/>
      <c r="O59" s="512"/>
      <c r="P59" s="2627"/>
    </row>
    <row r="60" spans="1:29" s="116" customFormat="1" ht="15.75" thickBot="1">
      <c r="A60" s="514" t="s">
        <v>2579</v>
      </c>
      <c r="B60" s="515"/>
      <c r="C60" s="516"/>
      <c r="D60" s="517"/>
      <c r="E60" s="517"/>
      <c r="F60" s="517"/>
      <c r="G60" s="517"/>
      <c r="H60" s="517"/>
      <c r="I60" s="517"/>
      <c r="J60" s="517"/>
      <c r="K60" s="517"/>
      <c r="L60" s="517"/>
      <c r="M60" s="518"/>
      <c r="N60" s="517"/>
      <c r="O60" s="518"/>
      <c r="P60" s="2627"/>
      <c r="Q60" s="503"/>
    </row>
    <row r="61" spans="1:29" s="116" customFormat="1" ht="15">
      <c r="A61" s="520" t="s">
        <v>2544</v>
      </c>
      <c r="B61" s="509"/>
      <c r="C61" s="521" t="s">
        <v>2646</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2582</v>
      </c>
      <c r="B63" s="527" t="s">
        <v>2548</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3"/>
      <c r="O67" s="1153"/>
      <c r="P67" s="2629"/>
      <c r="Q67" s="503"/>
    </row>
    <row r="68" spans="1:17" ht="15">
      <c r="A68" s="533"/>
      <c r="B68" s="547"/>
      <c r="C68" s="548">
        <v>0</v>
      </c>
      <c r="D68" s="548">
        <v>1</v>
      </c>
      <c r="E68" s="548">
        <v>2</v>
      </c>
      <c r="F68" s="548">
        <v>3</v>
      </c>
      <c r="G68" s="548">
        <v>4</v>
      </c>
      <c r="H68" s="548">
        <v>5</v>
      </c>
      <c r="I68" s="548">
        <v>6</v>
      </c>
      <c r="J68" s="548">
        <v>7</v>
      </c>
      <c r="K68" s="549">
        <v>8</v>
      </c>
      <c r="L68" s="549">
        <v>9</v>
      </c>
      <c r="M68" s="551">
        <v>10</v>
      </c>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2674</v>
      </c>
      <c r="C86" s="2974" t="s">
        <v>3129</v>
      </c>
      <c r="D86" s="2974" t="s">
        <v>3130</v>
      </c>
      <c r="E86" s="2974" t="s">
        <v>3132</v>
      </c>
      <c r="F86" s="2974" t="s">
        <v>3133</v>
      </c>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t="s">
        <v>3126</v>
      </c>
      <c r="D92" s="553"/>
      <c r="E92" s="553"/>
      <c r="F92" s="553"/>
      <c r="G92" s="553"/>
      <c r="H92" s="553"/>
      <c r="I92" s="553"/>
      <c r="J92" s="553"/>
      <c r="K92" s="553"/>
      <c r="L92" s="579"/>
      <c r="M92" s="580"/>
      <c r="N92" s="1152"/>
      <c r="O92" s="1152"/>
      <c r="P92" s="2629"/>
      <c r="Q92" s="503"/>
    </row>
    <row r="93" spans="1:17" ht="15.75" thickBot="1">
      <c r="A93" s="533"/>
      <c r="B93" s="542"/>
      <c r="C93" s="535">
        <v>100</v>
      </c>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2557</v>
      </c>
      <c r="B100" s="527" t="s">
        <v>2675</v>
      </c>
      <c r="C100" s="2973" t="s">
        <v>3122</v>
      </c>
      <c r="D100" s="2973" t="s">
        <v>3123</v>
      </c>
      <c r="E100" s="2973" t="s">
        <v>3125</v>
      </c>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85</v>
      </c>
      <c r="E101" s="543">
        <f t="shared" si="22"/>
        <v>70</v>
      </c>
      <c r="F101" s="543">
        <f t="shared" si="22"/>
        <v>55</v>
      </c>
      <c r="G101" s="543">
        <f t="shared" si="22"/>
        <v>40</v>
      </c>
      <c r="H101" s="543">
        <f t="shared" si="22"/>
        <v>25</v>
      </c>
      <c r="I101" s="543">
        <f t="shared" si="22"/>
        <v>10</v>
      </c>
      <c r="J101" s="543">
        <f t="shared" si="22"/>
        <v>-5</v>
      </c>
      <c r="K101" s="543">
        <f t="shared" si="22"/>
        <v>-20</v>
      </c>
      <c r="L101" s="543">
        <f t="shared" si="22"/>
        <v>-35</v>
      </c>
      <c r="M101" s="544">
        <f t="shared" si="22"/>
        <v>-50</v>
      </c>
      <c r="N101" s="1153"/>
      <c r="O101" s="1153"/>
      <c r="P101" s="2629"/>
      <c r="Q101" s="503"/>
    </row>
    <row r="102" spans="1:17" ht="29.25" thickTop="1">
      <c r="A102" s="533"/>
      <c r="B102" s="537" t="s">
        <v>2607</v>
      </c>
      <c r="C102" s="577" t="str">
        <f>C103&amp;"(含)"&amp;"-"&amp;D103</f>
        <v>0(含)-100</v>
      </c>
      <c r="D102" s="577" t="str">
        <f t="shared" ref="D102:L102" si="23">D103&amp;"(含)"&amp;"-"&amp;E103</f>
        <v>100(含)-300</v>
      </c>
      <c r="E102" s="577" t="str">
        <f t="shared" si="23"/>
        <v>300(含)-800</v>
      </c>
      <c r="F102" s="577" t="str">
        <f t="shared" si="23"/>
        <v>800(含)-1500</v>
      </c>
      <c r="G102" s="577" t="str">
        <f t="shared" si="23"/>
        <v>1500(含)-2500</v>
      </c>
      <c r="H102" s="577" t="str">
        <f t="shared" si="23"/>
        <v>2500(含)-4000</v>
      </c>
      <c r="I102" s="577" t="str">
        <f t="shared" si="23"/>
        <v>4000(含)-6000</v>
      </c>
      <c r="J102" s="577" t="str">
        <f t="shared" si="23"/>
        <v>6000(含)-</v>
      </c>
      <c r="K102" s="577" t="str">
        <f t="shared" si="23"/>
        <v>(含)-</v>
      </c>
      <c r="L102" s="577" t="str">
        <f t="shared" si="23"/>
        <v>(含)-</v>
      </c>
      <c r="M102" s="621" t="str">
        <f>M103&amp;"(含)"&amp;"-"&amp;P103</f>
        <v>(含)-</v>
      </c>
      <c r="N102" s="1151"/>
      <c r="O102" s="1151"/>
      <c r="P102" s="2629"/>
      <c r="Q102" s="503"/>
    </row>
    <row r="103" spans="1:17" s="470" customFormat="1">
      <c r="A103" s="592"/>
      <c r="B103" s="593"/>
      <c r="C103" s="594">
        <v>0</v>
      </c>
      <c r="D103" s="594">
        <v>100</v>
      </c>
      <c r="E103" s="594">
        <v>300</v>
      </c>
      <c r="F103" s="594">
        <v>800</v>
      </c>
      <c r="G103" s="594">
        <v>1500</v>
      </c>
      <c r="H103" s="594">
        <v>2500</v>
      </c>
      <c r="I103" s="594">
        <v>4000</v>
      </c>
      <c r="J103" s="595">
        <v>6000</v>
      </c>
      <c r="K103" s="595"/>
      <c r="L103" s="596"/>
      <c r="M103" s="597"/>
      <c r="N103" s="1154"/>
      <c r="O103" s="1154"/>
      <c r="P103" s="2630"/>
      <c r="Q103" s="558"/>
    </row>
    <row r="104" spans="1:17" s="470" customFormat="1" ht="15.75" thickBot="1">
      <c r="A104" s="552"/>
      <c r="B104" s="542"/>
      <c r="C104" s="559">
        <v>100</v>
      </c>
      <c r="D104" s="535">
        <v>99</v>
      </c>
      <c r="E104" s="535">
        <v>98</v>
      </c>
      <c r="F104" s="535">
        <v>97</v>
      </c>
      <c r="G104" s="535">
        <v>96</v>
      </c>
      <c r="H104" s="535">
        <v>95</v>
      </c>
      <c r="I104" s="535">
        <v>94</v>
      </c>
      <c r="J104" s="535">
        <v>93</v>
      </c>
      <c r="K104" s="535"/>
      <c r="L104" s="535"/>
      <c r="M104" s="536"/>
      <c r="N104" s="1153"/>
      <c r="O104" s="1153"/>
      <c r="P104" s="2630"/>
      <c r="Q104" s="558"/>
    </row>
    <row r="105" spans="1:17" ht="15" thickTop="1">
      <c r="A105" s="598"/>
      <c r="B105" s="537" t="s">
        <v>2608</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2610</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2612</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2676</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2677</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2678</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2679</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2614</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3096</v>
      </c>
      <c r="D1" s="1820" t="s">
        <v>70</v>
      </c>
      <c r="E1" s="1821" t="s">
        <v>1383</v>
      </c>
      <c r="F1" s="1283">
        <f ca="1">J53</f>
        <v>35.01</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954</v>
      </c>
      <c r="C2" s="1845" t="s">
        <v>1512</v>
      </c>
      <c r="D2" s="1845"/>
      <c r="E2" s="1846"/>
      <c r="F2" s="1847"/>
      <c r="G2" s="1848"/>
      <c r="H2" s="1840"/>
      <c r="I2" s="1840"/>
      <c r="J2" s="1840"/>
      <c r="K2" s="1841"/>
      <c r="L2" s="1840"/>
      <c r="M2" s="1840"/>
    </row>
    <row r="3" spans="1:37" ht="18" customHeight="1" thickBot="1">
      <c r="A3" s="1849" t="s">
        <v>1513</v>
      </c>
      <c r="B3" s="1850">
        <f ca="1">IF(ISERROR(B2*10000/F43),0,ROUND(B2*10000/F43,0))</f>
        <v>33133</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54</v>
      </c>
      <c r="D5" s="1822" t="s">
        <v>1398</v>
      </c>
      <c r="E5" s="1293"/>
      <c r="F5" s="1294"/>
      <c r="G5" s="1851"/>
      <c r="H5" s="343">
        <v>1</v>
      </c>
      <c r="I5" s="344" t="s">
        <v>1397</v>
      </c>
      <c r="J5" s="1292">
        <f ca="1">J6+J10+J12</f>
        <v>0</v>
      </c>
      <c r="K5" s="1822" t="s">
        <v>1398</v>
      </c>
      <c r="L5" s="1293"/>
      <c r="M5" s="1294"/>
    </row>
    <row r="6" spans="1:37" ht="18" customHeight="1">
      <c r="A6" s="1291" t="s">
        <v>1032</v>
      </c>
      <c r="B6" s="3209" t="s">
        <v>1399</v>
      </c>
      <c r="C6" s="1296">
        <f ca="1">ROUND(F6*F8*F7*(1-F9)/10000,0)</f>
        <v>54</v>
      </c>
      <c r="D6" s="163" t="s">
        <v>3025</v>
      </c>
      <c r="E6" s="346" t="s">
        <v>1401</v>
      </c>
      <c r="F6" s="347">
        <f ca="1">INDIRECT("'数据-取费表'!u"&amp;$G$1)</f>
        <v>6</v>
      </c>
      <c r="G6" s="1851"/>
      <c r="H6" s="1291" t="s">
        <v>1032</v>
      </c>
      <c r="I6" s="3209" t="s">
        <v>1399</v>
      </c>
      <c r="J6" s="345">
        <f ca="1">ROUND(M6*M8*M7*(1-M9)/10000,0)</f>
        <v>0</v>
      </c>
      <c r="K6" s="163" t="s">
        <v>3024</v>
      </c>
      <c r="L6" s="346" t="s">
        <v>1401</v>
      </c>
      <c r="M6" s="347">
        <f ca="1">INDIRECT("'数据-取费表'!z"&amp;$G$1)</f>
        <v>0</v>
      </c>
    </row>
    <row r="7" spans="1:37" ht="18" customHeight="1">
      <c r="A7" s="1295"/>
      <c r="B7" s="3210"/>
      <c r="C7" s="1297"/>
      <c r="D7" s="351"/>
      <c r="E7" s="1298" t="s">
        <v>1402</v>
      </c>
      <c r="F7" s="347">
        <f ca="1">IF(INDIRECT("'数据-取费表'!ah"&amp;$G$1)="",INDIRECT("'数据-取费表'!k"&amp;$G$1),INDIRECT("'数据-取费表'!ah"&amp;$G$1))</f>
        <v>287.93</v>
      </c>
      <c r="G7" s="1851"/>
      <c r="H7" s="348"/>
      <c r="I7" s="3210"/>
      <c r="J7" s="350"/>
      <c r="K7" s="351"/>
      <c r="L7" s="346" t="s">
        <v>1402</v>
      </c>
      <c r="M7" s="347">
        <f ca="1">F7</f>
        <v>287.93</v>
      </c>
    </row>
    <row r="8" spans="1:37" ht="18" customHeight="1">
      <c r="A8" s="348"/>
      <c r="B8" s="3210"/>
      <c r="C8" s="350"/>
      <c r="D8" s="351"/>
      <c r="E8" s="346" t="s">
        <v>1403</v>
      </c>
      <c r="F8" s="347">
        <f ca="1">INDIRECT("'数据-取费表'!ai"&amp;$G$1)</f>
        <v>365</v>
      </c>
      <c r="G8" s="1851"/>
      <c r="H8" s="348"/>
      <c r="I8" s="3210"/>
      <c r="J8" s="350"/>
      <c r="K8" s="351"/>
      <c r="L8" s="346" t="s">
        <v>1403</v>
      </c>
      <c r="M8" s="347">
        <f ca="1">INDIRECT("'数据-取费表'!ai"&amp;$G$1)</f>
        <v>365</v>
      </c>
    </row>
    <row r="9" spans="1:37" ht="18" customHeight="1">
      <c r="A9" s="348"/>
      <c r="B9" s="3211"/>
      <c r="C9" s="350"/>
      <c r="D9" s="351"/>
      <c r="E9" s="346" t="s">
        <v>1404</v>
      </c>
      <c r="F9" s="356">
        <f ca="1">INDIRECT("'数据-取费表'!w"&amp;$G$1)</f>
        <v>0.15</v>
      </c>
      <c r="G9" s="1851"/>
      <c r="H9" s="348"/>
      <c r="I9" s="3211"/>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3034</v>
      </c>
      <c r="E10" s="357" t="s">
        <v>1406</v>
      </c>
      <c r="F10" s="1366" t="s">
        <v>3097</v>
      </c>
      <c r="G10" s="1851"/>
      <c r="H10" s="1291" t="s">
        <v>1036</v>
      </c>
      <c r="I10" s="1823" t="s">
        <v>1405</v>
      </c>
      <c r="J10" s="345">
        <f ca="1">ROUND(IF(M10="押一",J6/12*M11,IF(M10="押二",J6/12*2*M11,IF(M10="押三",J6/12*3*M11,J11*M11))),0)</f>
        <v>0</v>
      </c>
      <c r="K10" s="1824" t="s">
        <v>3033</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98</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69</v>
      </c>
      <c r="D14" s="1800" t="s">
        <v>1414</v>
      </c>
      <c r="E14" s="1794"/>
      <c r="F14" s="363"/>
      <c r="G14" s="1851"/>
      <c r="H14" s="1201" t="s">
        <v>1032</v>
      </c>
      <c r="I14" s="346" t="s">
        <v>1415</v>
      </c>
      <c r="J14" s="24">
        <f ca="1">C29</f>
        <v>98</v>
      </c>
      <c r="K14" s="15"/>
      <c r="L14" s="979"/>
      <c r="M14" s="980"/>
    </row>
    <row r="15" spans="1:37" s="1858" customFormat="1" ht="18" customHeight="1" thickBot="1">
      <c r="A15" s="1201" t="s">
        <v>1033</v>
      </c>
      <c r="B15" s="346" t="s">
        <v>1416</v>
      </c>
      <c r="C15" s="24">
        <f ca="1">ROUND(C14*F15,0)</f>
        <v>2</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4">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2</v>
      </c>
      <c r="K16" s="1337" t="s">
        <v>1421</v>
      </c>
      <c r="L16" s="1338"/>
      <c r="M16" s="1294"/>
    </row>
    <row r="17" spans="1:37" s="1858" customFormat="1" ht="18" customHeight="1">
      <c r="A17" s="1201" t="s">
        <v>1386</v>
      </c>
      <c r="B17" s="346" t="s">
        <v>1422</v>
      </c>
      <c r="C17" s="24">
        <f ca="1">ROUND(F17*(F43+INDIRECT("'数据-取费表'!S"&amp;$G$1))/10000,0)</f>
        <v>6</v>
      </c>
      <c r="D17" s="346" t="s">
        <v>1423</v>
      </c>
      <c r="E17" s="346" t="s">
        <v>1424</v>
      </c>
      <c r="F17" s="26">
        <f>'数据-取费表'!B35</f>
        <v>200</v>
      </c>
      <c r="G17" s="1854"/>
      <c r="H17" s="1201" t="s">
        <v>1032</v>
      </c>
      <c r="I17" s="346" t="s">
        <v>1425</v>
      </c>
      <c r="J17" s="24">
        <f ca="1">ROUND(IF(项目基本情况!B11="自然人",J5*M17,J18+J19+J20),1)</f>
        <v>0.9</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4">
        <f ca="1">ROUND(C14*F18,0)</f>
        <v>1</v>
      </c>
      <c r="D18" s="346" t="s">
        <v>1417</v>
      </c>
      <c r="E18" s="346" t="s">
        <v>1418</v>
      </c>
      <c r="F18" s="366">
        <f>'数据-取费表'!B36</f>
        <v>1.4999999999999999E-2</v>
      </c>
      <c r="G18" s="1854"/>
      <c r="H18" s="1201" t="s">
        <v>1031</v>
      </c>
      <c r="I18" s="346" t="s">
        <v>1429</v>
      </c>
      <c r="J18" s="24">
        <f ca="1">ROUND(J5*M18/(1+'数据-取费表'!C42),2)</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4">
        <f ca="1">SUM(C14:C18)</f>
        <v>78</v>
      </c>
      <c r="D19" s="139" t="s">
        <v>1432</v>
      </c>
      <c r="E19" s="1818"/>
      <c r="F19" s="26"/>
      <c r="G19" s="1851"/>
      <c r="H19" s="1201" t="s">
        <v>1033</v>
      </c>
      <c r="I19" s="346" t="s">
        <v>1433</v>
      </c>
      <c r="J19" s="24">
        <f ca="1">IF(K19="按租金收入计税",ROUND(J5*M19,2),ROUND(C29*M19*0.7,2))</f>
        <v>0.82</v>
      </c>
      <c r="K19" s="1828" t="s">
        <v>1434</v>
      </c>
      <c r="L19" s="346" t="s">
        <v>1418</v>
      </c>
      <c r="M19" s="366">
        <f>IF(K19="按租金收入计税",'数据-取费表'!B51,'数据-取费表'!B50)</f>
        <v>1.2E-2</v>
      </c>
    </row>
    <row r="20" spans="1:37" s="1858" customFormat="1" ht="18" customHeight="1">
      <c r="A20" s="1201" t="s">
        <v>1036</v>
      </c>
      <c r="B20" s="346" t="s">
        <v>1435</v>
      </c>
      <c r="C20" s="24">
        <f ca="1">ROUND(C19*F20,0)</f>
        <v>2</v>
      </c>
      <c r="D20" s="368" t="s">
        <v>1436</v>
      </c>
      <c r="E20" s="346" t="s">
        <v>1418</v>
      </c>
      <c r="F20" s="366">
        <f>'数据-取费表'!B37</f>
        <v>0.02</v>
      </c>
      <c r="G20" s="1854"/>
      <c r="H20" s="1201" t="s">
        <v>1385</v>
      </c>
      <c r="I20" s="163" t="s">
        <v>1437</v>
      </c>
      <c r="J20" s="25">
        <f ca="1">ROUND(M20*M21/10000,2)</f>
        <v>7.0000000000000007E-2</v>
      </c>
      <c r="K20" s="369" t="s">
        <v>1438</v>
      </c>
      <c r="L20" s="346" t="s">
        <v>1439</v>
      </c>
      <c r="M20" s="370">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4" t="s">
        <v>18</v>
      </c>
      <c r="D21" s="368" t="s">
        <v>1441</v>
      </c>
      <c r="E21" s="346" t="s">
        <v>1442</v>
      </c>
      <c r="F21" s="366">
        <f>'数据-取费表'!B38</f>
        <v>0.02</v>
      </c>
      <c r="G21" s="1854"/>
      <c r="H21" s="371"/>
      <c r="I21" s="355"/>
      <c r="J21" s="29"/>
      <c r="K21" s="372"/>
      <c r="L21" s="346" t="s">
        <v>1443</v>
      </c>
      <c r="M21" s="347">
        <f ca="1">INDIRECT("'数据-取费表'!r"&amp;$G$1)</f>
        <v>111.99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4"/>
      <c r="D22" s="139" t="str">
        <f>IF(F23&lt;=1,"单利计息。","复利计息。")&amp;"建造成本、管理费用、销售费用产生的利息。"</f>
        <v>复利计息。建造成本、管理费用、销售费用产生的利息。</v>
      </c>
      <c r="E22" s="1818"/>
      <c r="F22" s="26"/>
      <c r="G22" s="1851"/>
      <c r="H22" s="1201" t="s">
        <v>1036</v>
      </c>
      <c r="I22" s="346" t="s">
        <v>1445</v>
      </c>
      <c r="J22" s="24">
        <f ca="1">ROUND(J14*M22,1)</f>
        <v>1.5</v>
      </c>
      <c r="K22" s="1798" t="s">
        <v>1446</v>
      </c>
      <c r="L22" s="346" t="s">
        <v>1418</v>
      </c>
      <c r="M22" s="373">
        <f ca="1">INDIRECT("'数据-取费表'!Ak"&amp;$G$1)</f>
        <v>1.4999999999999999E-2</v>
      </c>
    </row>
    <row r="23" spans="1:37" s="1858" customFormat="1" ht="18" customHeight="1">
      <c r="A23" s="1201" t="s">
        <v>1031</v>
      </c>
      <c r="B23" s="346" t="s">
        <v>1447</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1448</v>
      </c>
      <c r="F23" s="370">
        <f>'数据-取费表'!B20</f>
        <v>1.5</v>
      </c>
      <c r="G23" s="1854"/>
      <c r="H23" s="1201" t="s">
        <v>1072</v>
      </c>
      <c r="I23" s="346" t="s">
        <v>1449</v>
      </c>
      <c r="J23" s="24">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4"/>
      <c r="D25" s="139" t="s">
        <v>1458</v>
      </c>
      <c r="E25" s="1818"/>
      <c r="F25" s="26"/>
      <c r="G25" s="1851"/>
      <c r="H25" s="1329" t="s">
        <v>1028</v>
      </c>
      <c r="I25" s="1344" t="s">
        <v>1459</v>
      </c>
      <c r="J25" s="354">
        <f ca="1">J5-J16</f>
        <v>-2</v>
      </c>
      <c r="K25" s="1345" t="s">
        <v>1460</v>
      </c>
      <c r="L25" s="1346"/>
      <c r="M25" s="1347"/>
    </row>
    <row r="26" spans="1:37">
      <c r="A26" s="1201" t="s">
        <v>1031</v>
      </c>
      <c r="B26" s="346" t="s">
        <v>1461</v>
      </c>
      <c r="C26" s="24">
        <f ca="1">ROUND((C19+C20)*F26,0)</f>
        <v>8</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1" t="s">
        <v>1033</v>
      </c>
      <c r="B27" s="346" t="s">
        <v>1467</v>
      </c>
      <c r="C27" s="24">
        <f ca="1">ROUND(F21*F26,4)</f>
        <v>2E-3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4">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98</v>
      </c>
      <c r="D29" s="1342"/>
      <c r="E29" s="1340"/>
      <c r="F29" s="1343"/>
      <c r="G29" s="1854"/>
      <c r="H29" s="379" t="s">
        <v>1030</v>
      </c>
      <c r="I29" s="380" t="s">
        <v>1475</v>
      </c>
      <c r="J29" s="381">
        <f ca="1">ROUND(J26/(1+F40)^F41,0)</f>
        <v>0</v>
      </c>
      <c r="K29" s="382" t="s">
        <v>1476</v>
      </c>
      <c r="L29" s="383"/>
      <c r="M29" s="384">
        <f ca="1">INDIRECT("'数据-取费表'!k"&amp;$G$1)</f>
        <v>287.93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12</v>
      </c>
      <c r="D30" s="1337" t="s">
        <v>1421</v>
      </c>
      <c r="E30" s="1338"/>
      <c r="F30" s="1294"/>
      <c r="G30" s="1851"/>
      <c r="H30" s="742"/>
      <c r="I30" s="743"/>
      <c r="J30" s="744"/>
      <c r="K30" s="745"/>
      <c r="L30" s="746"/>
      <c r="M30" s="747"/>
    </row>
    <row r="31" spans="1:37" ht="18" customHeight="1">
      <c r="A31" s="1201" t="s">
        <v>1032</v>
      </c>
      <c r="B31" s="346" t="s">
        <v>1425</v>
      </c>
      <c r="C31" s="24">
        <f ca="1">ROUND(IF(项目基本情况!B11="自然人",C5*F31,C32+C33+C34),1)</f>
        <v>9.4</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4">
        <f ca="1">IF(项目基本情况!B11="自然人","——",ROUND(C5*F32/(1+'数据-取费表'!C42),2))</f>
        <v>2.83</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4">
        <f ca="1">IF(项目基本情况!B11="自然人","——",IF(D33="按租金收入计税",ROUND(C5*F33,2),IF(D33="按房产原值计税",ROUND(C29*F33*0.7,2),INDIRECT("'数据-取费表'!Aj"&amp;$G$1))))</f>
        <v>6.48</v>
      </c>
      <c r="D33" s="1828" t="s">
        <v>3100</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5">
        <f ca="1">IF(项目基本情况!B11="自然人","——",ROUND(F34*F35/10000,2))</f>
        <v>7.0000000000000007E-2</v>
      </c>
      <c r="D34" s="369" t="s">
        <v>1438</v>
      </c>
      <c r="E34" s="346" t="s">
        <v>1439</v>
      </c>
      <c r="F34" s="370">
        <f>'数据-取费表'!B52</f>
        <v>6</v>
      </c>
      <c r="G34" s="1851"/>
      <c r="H34" s="742"/>
      <c r="I34" s="1860"/>
      <c r="J34" s="1861"/>
      <c r="K34" s="1863"/>
      <c r="L34" s="1864"/>
      <c r="M34" s="1864"/>
    </row>
    <row r="35" spans="1:18" ht="18" customHeight="1">
      <c r="A35" s="1353"/>
      <c r="B35" s="1351"/>
      <c r="C35" s="29"/>
      <c r="D35" s="372"/>
      <c r="E35" s="346" t="s">
        <v>1443</v>
      </c>
      <c r="F35" s="347">
        <f ca="1">INDIRECT("'数据-取费表'!r"&amp;$G$1)</f>
        <v>111.99</v>
      </c>
      <c r="G35" s="1851"/>
      <c r="H35" s="742"/>
      <c r="I35" s="1860"/>
      <c r="J35" s="1861"/>
      <c r="K35" s="1862"/>
      <c r="L35" s="1859"/>
      <c r="M35" s="1859"/>
    </row>
    <row r="36" spans="1:18" ht="18" customHeight="1">
      <c r="A36" s="1352" t="s">
        <v>1036</v>
      </c>
      <c r="B36" s="346" t="s">
        <v>1445</v>
      </c>
      <c r="C36" s="24">
        <f ca="1">ROUND(C29*F36,1)</f>
        <v>1.5</v>
      </c>
      <c r="D36" s="1798"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4">
        <f ca="1">ROUND(C13*F37,1)</f>
        <v>0.1</v>
      </c>
      <c r="D37" s="1798" t="s">
        <v>1450</v>
      </c>
      <c r="E37" s="346" t="s">
        <v>1451</v>
      </c>
      <c r="F37" s="375">
        <f ca="1">INDIRECT("'数据-取费表'!Al"&amp;$G$1)</f>
        <v>1.5E-3</v>
      </c>
      <c r="G37" s="1851"/>
      <c r="H37" s="1859"/>
      <c r="I37" s="1860"/>
      <c r="J37" s="1861"/>
      <c r="K37" s="748"/>
      <c r="L37" s="1859"/>
      <c r="M37" s="1859"/>
    </row>
    <row r="38" spans="1:18" ht="18" customHeight="1" thickBot="1">
      <c r="A38" s="1339" t="s">
        <v>1389</v>
      </c>
      <c r="B38" s="1340" t="s">
        <v>1435</v>
      </c>
      <c r="C38" s="1341">
        <f ca="1">ROUND(C5*F38,1)</f>
        <v>1.1000000000000001</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4">
        <f ca="1">C5-C30</f>
        <v>42</v>
      </c>
      <c r="D39" s="1345" t="s">
        <v>1480</v>
      </c>
      <c r="E39" s="1346"/>
      <c r="F39" s="1347"/>
      <c r="G39" s="1851"/>
      <c r="H39" s="1859"/>
      <c r="I39" s="1860"/>
      <c r="J39" s="1861"/>
      <c r="K39" s="1865"/>
      <c r="L39" s="1859"/>
      <c r="M39" s="1859"/>
    </row>
    <row r="40" spans="1:18" ht="18" customHeight="1">
      <c r="A40" s="343" t="s">
        <v>1029</v>
      </c>
      <c r="B40" s="344" t="s">
        <v>1481</v>
      </c>
      <c r="C40" s="345">
        <f ca="1">ROUND(C39*(1-((1+F42)/(1+F40))^F41)/(F40-F42),0)</f>
        <v>954</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35.01</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f ca="1">ROUND(C40*10000/F43,0)</f>
        <v>33133</v>
      </c>
      <c r="D43" s="382" t="s">
        <v>1484</v>
      </c>
      <c r="E43" s="383" t="s">
        <v>1485</v>
      </c>
      <c r="F43" s="384">
        <f ca="1">INDIRECT("'数据-取费表'!k"&amp;$G$1)</f>
        <v>287.93</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-1108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3098</v>
      </c>
      <c r="K47" s="1882" t="s">
        <v>1523</v>
      </c>
      <c r="L47" s="1883">
        <f ca="1">INDIRECT("'数据-取费表'!d"&amp;$G$1)</f>
        <v>40</v>
      </c>
      <c r="M47" s="1838" t="str">
        <f>IF(ISNUMBER(FIND("住宅",C1)),"住宅","非住宅")</f>
        <v>非住宅</v>
      </c>
      <c r="O47" s="1884" t="s">
        <v>1037</v>
      </c>
      <c r="P47" s="1885" t="s">
        <v>1524</v>
      </c>
      <c r="Q47" s="1886">
        <f ca="1">C40+J29</f>
        <v>954</v>
      </c>
      <c r="R47" s="1886" t="s">
        <v>1525</v>
      </c>
    </row>
    <row r="48" spans="1:18" s="1842" customFormat="1" ht="28.5" thickBot="1">
      <c r="A48" s="1360" t="s">
        <v>1132</v>
      </c>
      <c r="B48" s="344" t="s">
        <v>1397</v>
      </c>
      <c r="C48" s="1817">
        <f ca="1">C49+C53+C55</f>
        <v>0</v>
      </c>
      <c r="D48" s="1362"/>
      <c r="E48" s="1363"/>
      <c r="F48" s="1181"/>
      <c r="G48" s="789"/>
      <c r="H48" s="790"/>
      <c r="I48" s="1887" t="s">
        <v>1526</v>
      </c>
      <c r="J48" s="1888" t="s">
        <v>3099</v>
      </c>
      <c r="K48" s="1889" t="s">
        <v>1527</v>
      </c>
      <c r="L48" s="1890">
        <f ca="1">INDIRECT("'数据-取费表'!f"&amp;$G$1)</f>
        <v>35.01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0"/>
      <c r="I49" s="1887" t="s">
        <v>1530</v>
      </c>
      <c r="J49" s="1892">
        <v>2018</v>
      </c>
      <c r="K49" s="1889" t="s">
        <v>1531</v>
      </c>
      <c r="L49" s="1893"/>
      <c r="O49" s="1894" t="s">
        <v>1039</v>
      </c>
      <c r="P49" s="1885" t="s">
        <v>1532</v>
      </c>
      <c r="Q49" s="1886">
        <f ca="1">C29</f>
        <v>98</v>
      </c>
      <c r="R49" s="1886" t="s">
        <v>1525</v>
      </c>
    </row>
    <row r="50" spans="1:18" s="1842" customFormat="1" ht="13.5" thickBot="1">
      <c r="A50" s="1195"/>
      <c r="B50" s="1198"/>
      <c r="C50" s="1368"/>
      <c r="D50" s="1172"/>
      <c r="E50" s="1277" t="s">
        <v>1402</v>
      </c>
      <c r="F50" s="1278">
        <f ca="1">F7</f>
        <v>287.93</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7">
        <f ca="1">F8</f>
        <v>365</v>
      </c>
      <c r="I51" s="1898" t="s">
        <v>1536</v>
      </c>
      <c r="J51" s="1899">
        <f>IF(J49="",J50,J49+J50-YEAR('数据-取费表'!B2))</f>
        <v>60</v>
      </c>
      <c r="K51" s="1900" t="s">
        <v>1537</v>
      </c>
      <c r="L51" s="1901">
        <f ca="1">ROUND(-PV(INDIRECT("'数据-取费表'!h"&amp;$G$1),L48,(C39-C13*C76),0),0)</f>
        <v>559</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35.01</v>
      </c>
      <c r="R52" s="1886" t="s">
        <v>1542</v>
      </c>
    </row>
    <row r="53" spans="1:18" s="1842" customFormat="1" ht="24.75" thickBot="1">
      <c r="A53" s="1405" t="s">
        <v>1134</v>
      </c>
      <c r="B53" s="1831" t="s">
        <v>1405</v>
      </c>
      <c r="C53" s="360">
        <f ca="1">ROUND(IF(F53="押一",C49/12*F11,IF(F53="押二",C49/12*2*F11,IF(F53="押三",C49/12*3*F11,C54*F11))),0)</f>
        <v>0</v>
      </c>
      <c r="D53" s="1824" t="s">
        <v>3033</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35.01</v>
      </c>
      <c r="K53" s="3207" t="s">
        <v>1544</v>
      </c>
      <c r="L53" s="3208"/>
      <c r="O53" s="1884" t="s">
        <v>1043</v>
      </c>
      <c r="P53" s="1885" t="s">
        <v>1545</v>
      </c>
      <c r="Q53" s="1886">
        <f ca="1">Q47+Q48</f>
        <v>954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98</v>
      </c>
      <c r="D56" s="1914"/>
      <c r="E56" s="1915"/>
      <c r="F56" s="1907"/>
      <c r="I56" s="1916" t="s">
        <v>1550</v>
      </c>
      <c r="J56" s="1917" t="s">
        <v>3090</v>
      </c>
      <c r="K56" s="1887" t="s">
        <v>1551</v>
      </c>
      <c r="L56" s="1890" t="str">
        <f ca="1">IF(L48&lt;J51,"——",L48-J53)</f>
        <v>——</v>
      </c>
      <c r="O56" s="1884" t="s">
        <v>1037</v>
      </c>
      <c r="P56" s="1885" t="s">
        <v>1524</v>
      </c>
      <c r="Q56" s="1886">
        <f ca="1">C40+J29</f>
        <v>954</v>
      </c>
      <c r="R56" s="1886" t="s">
        <v>1525</v>
      </c>
    </row>
    <row r="57" spans="1:18" s="1842" customFormat="1" ht="24.75" thickBot="1">
      <c r="A57" s="1918"/>
      <c r="B57" s="1169" t="s">
        <v>1474</v>
      </c>
      <c r="C57" s="281">
        <f ca="1">C29</f>
        <v>98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10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8.3000000000000007</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6">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8.23</v>
      </c>
      <c r="D61" s="1828" t="s">
        <v>1434</v>
      </c>
      <c r="E61" s="1169"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7.0000000000000007E-2</v>
      </c>
      <c r="D62" s="1184" t="s">
        <v>1493</v>
      </c>
      <c r="E62" s="1169" t="s">
        <v>1494</v>
      </c>
      <c r="F62" s="370">
        <f t="shared" si="0"/>
        <v>6</v>
      </c>
      <c r="I62" s="1929" t="s">
        <v>1566</v>
      </c>
      <c r="J62" s="1930" t="s">
        <v>1567</v>
      </c>
      <c r="K62" s="1930" t="s">
        <v>1568</v>
      </c>
      <c r="L62" s="1930" t="s">
        <v>1569</v>
      </c>
      <c r="M62" s="1931" t="s">
        <v>1570</v>
      </c>
      <c r="O62" s="1884" t="s">
        <v>1043</v>
      </c>
      <c r="P62" s="1885" t="s">
        <v>1571</v>
      </c>
      <c r="Q62" s="1886">
        <f ca="1">Q56+Q57</f>
        <v>954</v>
      </c>
      <c r="R62" s="1886" t="s">
        <v>1044</v>
      </c>
    </row>
    <row r="63" spans="1:18" s="1842" customFormat="1" ht="13.5" thickBot="1">
      <c r="A63" s="371"/>
      <c r="B63" s="1175"/>
      <c r="C63" s="29"/>
      <c r="D63" s="1185"/>
      <c r="E63" s="1169" t="s">
        <v>1495</v>
      </c>
      <c r="F63" s="347">
        <f t="shared" ca="1" si="0"/>
        <v>111.99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1.5</v>
      </c>
      <c r="D64" s="1183" t="s">
        <v>1498</v>
      </c>
      <c r="E64" s="1169"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0.1</v>
      </c>
      <c r="D65" s="1183" t="s">
        <v>1450</v>
      </c>
      <c r="E65" s="1169" t="s">
        <v>1451</v>
      </c>
      <c r="F65" s="375">
        <f t="shared" ca="1" si="0"/>
        <v>1.5E-3</v>
      </c>
      <c r="I65" s="1929" t="s">
        <v>1575</v>
      </c>
      <c r="J65" s="1930">
        <v>40</v>
      </c>
      <c r="K65" s="1930">
        <v>30</v>
      </c>
      <c r="L65" s="1930">
        <v>50</v>
      </c>
      <c r="M65" s="1932">
        <v>0.02</v>
      </c>
      <c r="O65" s="1884" t="s">
        <v>1037</v>
      </c>
      <c r="P65" s="1885" t="s">
        <v>1576</v>
      </c>
      <c r="Q65" s="1886">
        <f ca="1">C40+J29</f>
        <v>954</v>
      </c>
      <c r="R65" s="1886" t="s">
        <v>1525</v>
      </c>
    </row>
    <row r="66" spans="1:18" s="1842" customFormat="1" ht="16.5" thickBot="1">
      <c r="A66" s="1201" t="s">
        <v>1500</v>
      </c>
      <c r="B66" s="1169" t="s">
        <v>1435</v>
      </c>
      <c r="C66" s="24">
        <f ca="1">ROUND(C48*F66,1)</f>
        <v>0</v>
      </c>
      <c r="D66" s="1183" t="s">
        <v>1501</v>
      </c>
      <c r="E66" s="1169" t="s">
        <v>1418</v>
      </c>
      <c r="F66" s="356">
        <f t="shared" ca="1" si="0"/>
        <v>0.02</v>
      </c>
      <c r="O66" s="1884" t="s">
        <v>1038</v>
      </c>
      <c r="P66" s="1885" t="s">
        <v>1554</v>
      </c>
      <c r="Q66" s="1886">
        <f ca="1">L60</f>
        <v>0</v>
      </c>
      <c r="R66" s="1886" t="s">
        <v>1577</v>
      </c>
    </row>
    <row r="67" spans="1:18" s="1842" customFormat="1" ht="16.5" thickBot="1">
      <c r="A67" s="1176" t="s">
        <v>1028</v>
      </c>
      <c r="B67" s="1186" t="s">
        <v>1459</v>
      </c>
      <c r="C67" s="360">
        <f ca="1">C48-C58</f>
        <v>-10</v>
      </c>
      <c r="D67" s="1182" t="s">
        <v>1460</v>
      </c>
      <c r="E67" s="1187"/>
      <c r="F67" s="1188"/>
      <c r="O67" s="1894" t="s">
        <v>1039</v>
      </c>
      <c r="P67" s="1885" t="s">
        <v>1558</v>
      </c>
      <c r="Q67" s="1933">
        <f ca="1">L51</f>
        <v>559</v>
      </c>
      <c r="R67" s="1886" t="s">
        <v>1578</v>
      </c>
    </row>
    <row r="68" spans="1:18" s="1842" customFormat="1" ht="16.5" thickBot="1">
      <c r="A68" s="1166" t="s">
        <v>1029</v>
      </c>
      <c r="B68" s="1167" t="s">
        <v>1481</v>
      </c>
      <c r="C68" s="345">
        <f ca="1">ROUND(C67*(1-((1+F70)/(1+F68))^F69)/(F68-F70),0)</f>
        <v>-154</v>
      </c>
      <c r="D68" s="1184" t="s">
        <v>1465</v>
      </c>
      <c r="E68" s="1169" t="s">
        <v>1466</v>
      </c>
      <c r="F68" s="356">
        <f ca="1">F40</f>
        <v>5.5E-2</v>
      </c>
      <c r="O68" s="1894" t="s">
        <v>1040</v>
      </c>
      <c r="P68" s="1934" t="s">
        <v>1579</v>
      </c>
      <c r="Q68" s="1886">
        <f ca="1">ROUND(Q69-Q70*Q71,0)</f>
        <v>34</v>
      </c>
      <c r="R68" s="1886" t="s">
        <v>1048</v>
      </c>
    </row>
    <row r="69" spans="1:18" s="1842" customFormat="1" ht="13.5" thickBot="1">
      <c r="A69" s="1170"/>
      <c r="B69" s="1171"/>
      <c r="C69" s="350"/>
      <c r="D69" s="1189" t="s">
        <v>1469</v>
      </c>
      <c r="E69" s="1169" t="s">
        <v>1470</v>
      </c>
      <c r="F69" s="378">
        <f ca="1">F41</f>
        <v>35.01</v>
      </c>
      <c r="O69" s="1894" t="s">
        <v>1045</v>
      </c>
      <c r="P69" s="1934" t="s">
        <v>1580</v>
      </c>
      <c r="Q69" s="1886">
        <f ca="1">C39</f>
        <v>42</v>
      </c>
      <c r="R69" s="1886" t="s">
        <v>1525</v>
      </c>
    </row>
    <row r="70" spans="1:18" s="1842" customFormat="1" ht="13.5" thickBot="1">
      <c r="A70" s="1173"/>
      <c r="B70" s="1174"/>
      <c r="C70" s="354"/>
      <c r="D70" s="1185"/>
      <c r="E70" s="1169" t="s">
        <v>1473</v>
      </c>
      <c r="F70" s="1275"/>
      <c r="O70" s="1894" t="s">
        <v>1046</v>
      </c>
      <c r="P70" s="1934" t="s">
        <v>1581</v>
      </c>
      <c r="Q70" s="1886">
        <f ca="1">C13</f>
        <v>98</v>
      </c>
      <c r="R70" s="1886" t="s">
        <v>1525</v>
      </c>
    </row>
    <row r="71" spans="1:18" s="1842" customFormat="1" ht="13.5" thickBot="1">
      <c r="A71" s="1190" t="s">
        <v>1030</v>
      </c>
      <c r="B71" s="1191" t="s">
        <v>1483</v>
      </c>
      <c r="C71" s="381">
        <f ca="1">ROUND(C68*10000/F71,0)</f>
        <v>-5349</v>
      </c>
      <c r="D71" s="1192" t="s">
        <v>1484</v>
      </c>
      <c r="E71" s="1193" t="s">
        <v>1485</v>
      </c>
      <c r="F71" s="384">
        <f ca="1">F43</f>
        <v>287.93</v>
      </c>
      <c r="O71" s="1894" t="s">
        <v>1047</v>
      </c>
      <c r="P71" s="1934" t="s">
        <v>1582</v>
      </c>
      <c r="Q71" s="1897">
        <f ca="1">C76</f>
        <v>0.08</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v>
      </c>
      <c r="D75" s="1842"/>
      <c r="E75" s="1842"/>
      <c r="F75" s="1842"/>
      <c r="K75" s="1868"/>
      <c r="L75" s="1842"/>
      <c r="O75" s="1884" t="s">
        <v>1043</v>
      </c>
      <c r="P75" s="1885" t="s">
        <v>1545</v>
      </c>
      <c r="Q75" s="1886">
        <f ca="1">Q65+Q66</f>
        <v>954</v>
      </c>
      <c r="R75" s="1886" t="s">
        <v>1044</v>
      </c>
    </row>
    <row r="76" spans="1:18">
      <c r="B76" s="387" t="s">
        <v>1503</v>
      </c>
      <c r="C76" s="388">
        <f ca="1">INDIRECT("'数据-取费表'!j"&amp;$G$1)</f>
        <v>0.08</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0.81</v>
      </c>
    </row>
    <row r="80" spans="1:18">
      <c r="B80" s="385" t="s">
        <v>1507</v>
      </c>
      <c r="C80" s="317">
        <f ca="1">ROUND(C75/C39,3)</f>
        <v>0.19</v>
      </c>
    </row>
    <row r="81" spans="2:3">
      <c r="B81" s="313" t="s">
        <v>1508</v>
      </c>
      <c r="C81" s="281"/>
    </row>
    <row r="82" spans="2:3">
      <c r="B82" s="316" t="s">
        <v>1509</v>
      </c>
      <c r="C82" s="318">
        <f ca="1">1-C83</f>
        <v>0.89700000000000002</v>
      </c>
    </row>
    <row r="83" spans="2:3">
      <c r="B83" s="316" t="s">
        <v>1510</v>
      </c>
      <c r="C83" s="317">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2">
        <f ca="1">C6+C10+C12</f>
        <v>0</v>
      </c>
      <c r="D5" s="1822" t="s">
        <v>1597</v>
      </c>
      <c r="E5" s="1293"/>
      <c r="F5" s="1294"/>
      <c r="G5" s="1851"/>
      <c r="H5" s="343">
        <v>1</v>
      </c>
      <c r="I5" s="344" t="s">
        <v>1596</v>
      </c>
      <c r="J5" s="1292">
        <f ca="1">J6+J10+J12</f>
        <v>0</v>
      </c>
      <c r="K5" s="1822" t="s">
        <v>1597</v>
      </c>
      <c r="L5" s="1293"/>
      <c r="M5" s="1294"/>
    </row>
    <row r="6" spans="1:37" ht="18" customHeight="1">
      <c r="A6" s="1291" t="s">
        <v>1032</v>
      </c>
      <c r="B6" s="3209" t="s">
        <v>1399</v>
      </c>
      <c r="C6" s="1296">
        <f ca="1">ROUND(F6*F8*F7*(1-F9),0)</f>
        <v>0</v>
      </c>
      <c r="D6" s="163" t="s">
        <v>3022</v>
      </c>
      <c r="E6" s="346" t="s">
        <v>1401</v>
      </c>
      <c r="F6" s="347">
        <f ca="1">INDIRECT("'数据-取费表'!u"&amp;$G$1)</f>
        <v>0</v>
      </c>
      <c r="G6" s="1851"/>
      <c r="H6" s="1291" t="s">
        <v>1032</v>
      </c>
      <c r="I6" s="3209" t="s">
        <v>1399</v>
      </c>
      <c r="J6" s="345">
        <f ca="1">ROUND(M6*M8*M7*(1-M9),0)</f>
        <v>0</v>
      </c>
      <c r="K6" s="1834" t="s">
        <v>3023</v>
      </c>
      <c r="L6" s="346" t="s">
        <v>1401</v>
      </c>
      <c r="M6" s="347">
        <f ca="1">INDIRECT("'数据-取费表'!z"&amp;$G$1)</f>
        <v>0</v>
      </c>
    </row>
    <row r="7" spans="1:37" ht="18" customHeight="1">
      <c r="A7" s="1295"/>
      <c r="B7" s="3210"/>
      <c r="C7" s="1297"/>
      <c r="D7" s="351"/>
      <c r="E7" s="1298" t="s">
        <v>1402</v>
      </c>
      <c r="F7" s="347">
        <f ca="1">IF(INDIRECT("'数据-取费表'!ah"&amp;$G$1)="",INDIRECT("'数据-取费表'!k"&amp;$G$1),INDIRECT("'数据-取费表'!ah"&amp;$G$1))</f>
        <v>0</v>
      </c>
      <c r="G7" s="1851"/>
      <c r="H7" s="348"/>
      <c r="I7" s="3210"/>
      <c r="J7" s="350"/>
      <c r="K7" s="351"/>
      <c r="L7" s="346" t="s">
        <v>1402</v>
      </c>
      <c r="M7" s="347">
        <f ca="1">F7</f>
        <v>0</v>
      </c>
    </row>
    <row r="8" spans="1:37" ht="18" customHeight="1">
      <c r="A8" s="348"/>
      <c r="B8" s="3210"/>
      <c r="C8" s="350"/>
      <c r="D8" s="351"/>
      <c r="E8" s="346" t="s">
        <v>1403</v>
      </c>
      <c r="F8" s="347">
        <f ca="1">INDIRECT("'数据-取费表'!ai"&amp;$G$1)</f>
        <v>0</v>
      </c>
      <c r="G8" s="1851"/>
      <c r="H8" s="348"/>
      <c r="I8" s="3210"/>
      <c r="J8" s="350"/>
      <c r="K8" s="351"/>
      <c r="L8" s="346" t="s">
        <v>1403</v>
      </c>
      <c r="M8" s="347">
        <f ca="1">INDIRECT("'数据-取费表'!ai"&amp;$G$1)</f>
        <v>0</v>
      </c>
    </row>
    <row r="9" spans="1:37" ht="18" customHeight="1">
      <c r="A9" s="348"/>
      <c r="B9" s="3211"/>
      <c r="C9" s="350"/>
      <c r="D9" s="351"/>
      <c r="E9" s="346" t="s">
        <v>1404</v>
      </c>
      <c r="F9" s="356">
        <f ca="1">INDIRECT("'数据-取费表'!w"&amp;$G$1)</f>
        <v>0</v>
      </c>
      <c r="G9" s="1851"/>
      <c r="H9" s="348"/>
      <c r="I9" s="3211"/>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3033</v>
      </c>
      <c r="E10" s="357" t="s">
        <v>1406</v>
      </c>
      <c r="F10" s="1366"/>
      <c r="G10" s="1851"/>
      <c r="H10" s="1291" t="s">
        <v>1036</v>
      </c>
      <c r="I10" s="1823" t="s">
        <v>1405</v>
      </c>
      <c r="J10" s="345">
        <f ca="1">ROUND(IF(M10="押一",J6/12*M11,IF(M10="押二",J6/12*2*M11,IF(M10="押三",J6/12*3*M11,J11*M11))),0)</f>
        <v>0</v>
      </c>
      <c r="K10" s="1835" t="s">
        <v>3035</v>
      </c>
      <c r="L10" s="357" t="s">
        <v>1406</v>
      </c>
      <c r="M10" s="1366"/>
    </row>
    <row r="11" spans="1:37" ht="18" customHeight="1">
      <c r="A11" s="352"/>
      <c r="B11" s="1825" t="s">
        <v>1598</v>
      </c>
      <c r="C11" s="1178"/>
      <c r="D11" s="351"/>
      <c r="E11" s="357" t="s">
        <v>1408</v>
      </c>
      <c r="F11" s="358">
        <f ca="1">'数据-取费表'!B39</f>
        <v>1.4999999999999999E-2</v>
      </c>
      <c r="G11" s="1851"/>
      <c r="H11" s="1299"/>
      <c r="I11" s="1825" t="s">
        <v>1599</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ROUND(INDIRECT("'数据-取费表'!l"&amp;$G$1)*F43+'数据-取费表'!L14*INDIRECT("'数据-取费表'!S"&amp;$G$1),0)</f>
        <v>0</v>
      </c>
      <c r="D14" s="1800" t="s">
        <v>1414</v>
      </c>
      <c r="E14" s="1794"/>
      <c r="F14" s="363"/>
      <c r="G14" s="1851"/>
      <c r="H14" s="1201" t="s">
        <v>1032</v>
      </c>
      <c r="I14" s="346" t="s">
        <v>1415</v>
      </c>
      <c r="J14" s="24">
        <f ca="1">C29</f>
        <v>0</v>
      </c>
      <c r="K14" s="15"/>
      <c r="L14" s="979"/>
      <c r="M14" s="980"/>
    </row>
    <row r="15" spans="1:37" s="1858" customFormat="1" ht="18" customHeight="1" thickBot="1">
      <c r="A15" s="1201" t="s">
        <v>1033</v>
      </c>
      <c r="B15" s="346" t="s">
        <v>1416</v>
      </c>
      <c r="C15" s="24">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4">
        <f ca="1">ROUND(INDIRECT("'数据-取费表'!l"&amp;$G$1)*F43*F16,0)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1338"/>
      <c r="M16" s="1294"/>
    </row>
    <row r="17" spans="1:37" s="1858" customFormat="1" ht="18" customHeight="1">
      <c r="A17" s="1201" t="s">
        <v>1386</v>
      </c>
      <c r="B17" s="346" t="s">
        <v>1422</v>
      </c>
      <c r="C17" s="24">
        <f ca="1">ROUND(F17*(F43+INDIRECT("'数据-取费表'!S"&amp;$G$1)),0)</f>
        <v>0</v>
      </c>
      <c r="D17" s="346" t="s">
        <v>1423</v>
      </c>
      <c r="E17" s="346" t="s">
        <v>1424</v>
      </c>
      <c r="F17" s="26">
        <f>'数据-取费表'!B35</f>
        <v>200</v>
      </c>
      <c r="G17" s="1854"/>
      <c r="H17" s="1201" t="s">
        <v>1032</v>
      </c>
      <c r="I17" s="346" t="s">
        <v>1425</v>
      </c>
      <c r="J17" s="24">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4">
        <f ca="1">ROUND(C14*F18,0)</f>
        <v>0</v>
      </c>
      <c r="D18" s="346" t="s">
        <v>1417</v>
      </c>
      <c r="E18" s="346" t="s">
        <v>1418</v>
      </c>
      <c r="F18" s="366">
        <f>'数据-取费表'!B36</f>
        <v>1.4999999999999999E-2</v>
      </c>
      <c r="G18" s="1854"/>
      <c r="H18" s="1201" t="s">
        <v>1031</v>
      </c>
      <c r="I18" s="346" t="s">
        <v>1429</v>
      </c>
      <c r="J18" s="24">
        <f ca="1">ROUND(J5*M18/(1+'数据-取费表'!C42),0)</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4">
        <f ca="1">SUM(C14:C18)</f>
        <v>0</v>
      </c>
      <c r="D19" s="139" t="s">
        <v>1432</v>
      </c>
      <c r="E19" s="1818"/>
      <c r="F19" s="26"/>
      <c r="G19" s="1851"/>
      <c r="H19" s="1201" t="s">
        <v>1033</v>
      </c>
      <c r="I19" s="346" t="s">
        <v>1433</v>
      </c>
      <c r="J19" s="24">
        <f ca="1">IF(K19="按租金收入计税",ROUND(J5*M19,0),ROUND(C29*M19*0.7,0))</f>
        <v>0</v>
      </c>
      <c r="K19" s="1828" t="s">
        <v>1434</v>
      </c>
      <c r="L19" s="346" t="s">
        <v>1418</v>
      </c>
      <c r="M19" s="366">
        <f>IF(K19="按租金收入计税",'数据-取费表'!B51,'数据-取费表'!B50)</f>
        <v>1.2E-2</v>
      </c>
    </row>
    <row r="20" spans="1:37" s="1858" customFormat="1" ht="18" customHeight="1">
      <c r="A20" s="1201" t="s">
        <v>1036</v>
      </c>
      <c r="B20" s="346" t="s">
        <v>1435</v>
      </c>
      <c r="C20" s="24">
        <f ca="1">ROUND(C19*F20,0)</f>
        <v>0</v>
      </c>
      <c r="D20" s="368" t="s">
        <v>1436</v>
      </c>
      <c r="E20" s="346" t="s">
        <v>1418</v>
      </c>
      <c r="F20" s="366">
        <f>'数据-取费表'!B37</f>
        <v>0.02</v>
      </c>
      <c r="G20" s="1854"/>
      <c r="H20" s="1201" t="s">
        <v>1385</v>
      </c>
      <c r="I20" s="163" t="s">
        <v>1437</v>
      </c>
      <c r="J20" s="25">
        <f ca="1">ROUND(M20*M21,0)</f>
        <v>0</v>
      </c>
      <c r="K20" s="369" t="s">
        <v>1438</v>
      </c>
      <c r="L20" s="346" t="s">
        <v>1439</v>
      </c>
      <c r="M20" s="370">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4" t="s">
        <v>1</v>
      </c>
      <c r="D21" s="368" t="s">
        <v>1441</v>
      </c>
      <c r="E21" s="346" t="s">
        <v>1442</v>
      </c>
      <c r="F21" s="366">
        <f>'数据-取费表'!B38</f>
        <v>0.02</v>
      </c>
      <c r="G21" s="1854"/>
      <c r="H21" s="371"/>
      <c r="I21" s="355"/>
      <c r="J21" s="29"/>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4"/>
      <c r="D22" s="139" t="str">
        <f>IF(F23&lt;=1,"单利计息。","复利计息。")&amp;"建造成本、管理费用、销售费用产生的利息。"</f>
        <v>复利计息。建造成本、管理费用、销售费用产生的利息。</v>
      </c>
      <c r="E22" s="1818"/>
      <c r="F22" s="26"/>
      <c r="G22" s="1851"/>
      <c r="H22" s="1201" t="s">
        <v>1036</v>
      </c>
      <c r="I22" s="346" t="s">
        <v>1445</v>
      </c>
      <c r="J22" s="24">
        <f ca="1">ROUND(J14*M22,0)</f>
        <v>0</v>
      </c>
      <c r="K22" s="1798" t="s">
        <v>1446</v>
      </c>
      <c r="L22" s="346" t="s">
        <v>1418</v>
      </c>
      <c r="M22" s="373">
        <f ca="1">INDIRECT("'数据-取费表'!Ak"&amp;$G$1)</f>
        <v>0</v>
      </c>
    </row>
    <row r="23" spans="1:37" s="1858" customFormat="1" ht="18" customHeight="1">
      <c r="A23" s="1201"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4"/>
      <c r="H23" s="1201" t="s">
        <v>1072</v>
      </c>
      <c r="I23" s="346" t="s">
        <v>1449</v>
      </c>
      <c r="J23" s="24">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6" t="s">
        <v>1457</v>
      </c>
      <c r="C25" s="24"/>
      <c r="D25" s="139" t="s">
        <v>1458</v>
      </c>
      <c r="E25" s="1818"/>
      <c r="F25" s="26"/>
      <c r="G25" s="1851"/>
      <c r="H25" s="1329" t="s">
        <v>1028</v>
      </c>
      <c r="I25" s="1344" t="s">
        <v>1459</v>
      </c>
      <c r="J25" s="354">
        <f ca="1">J5-J16</f>
        <v>0</v>
      </c>
      <c r="K25" s="1345" t="s">
        <v>1460</v>
      </c>
      <c r="L25" s="1346"/>
      <c r="M25" s="1347"/>
    </row>
    <row r="26" spans="1:37" ht="18" customHeight="1">
      <c r="A26" s="1201" t="s">
        <v>1031</v>
      </c>
      <c r="B26" s="346" t="s">
        <v>1461</v>
      </c>
      <c r="C26" s="24">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4">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4">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1338"/>
      <c r="F30" s="1294"/>
      <c r="G30" s="1851"/>
      <c r="H30" s="742"/>
      <c r="I30" s="743"/>
      <c r="J30" s="744"/>
      <c r="K30" s="745"/>
      <c r="L30" s="746"/>
      <c r="M30" s="747"/>
    </row>
    <row r="31" spans="1:37" ht="18" customHeight="1">
      <c r="A31" s="1201" t="s">
        <v>1032</v>
      </c>
      <c r="B31" s="346" t="s">
        <v>1425</v>
      </c>
      <c r="C31" s="24">
        <f ca="1">ROUND(IF(项目基本情况!B11="自然人",C5*F31,C32+C33+C34),0)</f>
        <v>0</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4">
        <f ca="1">IF(项目基本情况!B11="自然人","——",ROUND(C5*F32/(1+'数据-取费表'!C42),0))</f>
        <v>0</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4">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5">
        <f ca="1">IF(项目基本情况!B11="自然人","——",ROUND(F34*F35,))</f>
        <v>0</v>
      </c>
      <c r="D34" s="369" t="s">
        <v>1438</v>
      </c>
      <c r="E34" s="346" t="s">
        <v>1439</v>
      </c>
      <c r="F34" s="370">
        <f>'数据-取费表'!B52</f>
        <v>6</v>
      </c>
      <c r="G34" s="1851"/>
      <c r="H34" s="742"/>
      <c r="I34" s="1860"/>
      <c r="J34" s="1861"/>
      <c r="K34" s="1863"/>
      <c r="L34" s="1864"/>
      <c r="M34" s="1864"/>
    </row>
    <row r="35" spans="1:18" ht="18" customHeight="1">
      <c r="A35" s="1353"/>
      <c r="B35" s="1351"/>
      <c r="C35" s="29"/>
      <c r="D35" s="372"/>
      <c r="E35" s="346" t="s">
        <v>1443</v>
      </c>
      <c r="F35" s="347">
        <f ca="1">INDIRECT("'数据-取费表'!r"&amp;$G$1)</f>
        <v>0</v>
      </c>
      <c r="G35" s="1851"/>
      <c r="H35" s="742"/>
      <c r="I35" s="1860"/>
      <c r="J35" s="1861"/>
      <c r="K35" s="1862"/>
      <c r="L35" s="1859"/>
      <c r="M35" s="1859"/>
    </row>
    <row r="36" spans="1:18" ht="18" customHeight="1">
      <c r="A36" s="1352" t="s">
        <v>1036</v>
      </c>
      <c r="B36" s="346" t="s">
        <v>1445</v>
      </c>
      <c r="C36" s="24">
        <f ca="1">ROUND(C29*F36,0)</f>
        <v>0</v>
      </c>
      <c r="D36" s="1798" t="s">
        <v>1478</v>
      </c>
      <c r="E36" s="346" t="s">
        <v>1418</v>
      </c>
      <c r="F36" s="373">
        <f ca="1">INDIRECT("'数据-取费表'!Ak"&amp;$G$1)</f>
        <v>0</v>
      </c>
      <c r="G36" s="1851"/>
      <c r="H36" s="1859"/>
      <c r="I36" s="1860"/>
      <c r="J36" s="1861"/>
      <c r="K36" s="748"/>
      <c r="L36" s="1859"/>
      <c r="M36" s="1859"/>
    </row>
    <row r="37" spans="1:18" ht="18" customHeight="1">
      <c r="A37" s="1201" t="s">
        <v>1072</v>
      </c>
      <c r="B37" s="346" t="s">
        <v>1449</v>
      </c>
      <c r="C37" s="24">
        <f ca="1">ROUND(C13*F37,0)</f>
        <v>0</v>
      </c>
      <c r="D37" s="1798" t="s">
        <v>1450</v>
      </c>
      <c r="E37" s="346" t="s">
        <v>1451</v>
      </c>
      <c r="F37" s="375">
        <f ca="1">INDIRECT("'数据-取费表'!Al"&amp;$G$1)</f>
        <v>0</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4">
        <f ca="1">C5-C30</f>
        <v>0</v>
      </c>
      <c r="D39" s="1345" t="s">
        <v>1480</v>
      </c>
      <c r="E39" s="1346"/>
      <c r="F39" s="1347"/>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1473</v>
      </c>
      <c r="F42" s="356">
        <f ca="1">INDIRECT("'数据-取费表'!v"&amp;$G$1)</f>
        <v>0</v>
      </c>
      <c r="G42" s="1851"/>
      <c r="H42" s="729"/>
      <c r="I42" s="1860"/>
      <c r="J42" s="1861"/>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4" t="s">
        <v>1397</v>
      </c>
      <c r="C48" s="1817">
        <f ca="1">C49+C53+C55</f>
        <v>0</v>
      </c>
      <c r="D48" s="1362"/>
      <c r="E48" s="1363"/>
      <c r="F48" s="1181"/>
      <c r="G48" s="789"/>
      <c r="H48" s="790"/>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8" t="s">
        <v>1405</v>
      </c>
      <c r="C53" s="360">
        <f ca="1">ROUND(IF(F53="押一",C49/12*F11,IF(F53="押二",C49/12*2*F11,IF(F53="押三",C49/12*3*F11,C54*F11))),0)</f>
        <v>0</v>
      </c>
      <c r="D53" s="1824" t="s">
        <v>3036</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07" t="s">
        <v>1544</v>
      </c>
      <c r="L53" s="3208"/>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7" t="s">
        <v>1420</v>
      </c>
      <c r="C58" s="360">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6">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0">
        <f t="shared" si="0"/>
        <v>6</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5"/>
      <c r="C63" s="29"/>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6">
        <f t="shared" ca="1" si="0"/>
        <v>0</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#DIV/0!</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f ca="1">F41</f>
        <v>0</v>
      </c>
      <c r="O69" s="1894" t="s">
        <v>1045</v>
      </c>
      <c r="P69" s="1934" t="s">
        <v>1580</v>
      </c>
      <c r="Q69" s="1886">
        <f ca="1">C39</f>
        <v>0</v>
      </c>
      <c r="R69" s="1886" t="s">
        <v>1525</v>
      </c>
    </row>
    <row r="70" spans="1:18" s="1842" customFormat="1" ht="13.5" thickBot="1">
      <c r="A70" s="1173"/>
      <c r="B70" s="1174"/>
      <c r="C70" s="354"/>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1" t="e">
        <f ca="1">ROUND(C68/F71,0)</f>
        <v>#DIV/0!</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2520</v>
      </c>
      <c r="B1" s="2561"/>
      <c r="C1" s="2561"/>
      <c r="D1" s="2561"/>
      <c r="E1" s="2562"/>
    </row>
    <row r="2" spans="1:6" ht="15.75">
      <c r="A2" s="2563" t="s">
        <v>2321</v>
      </c>
      <c r="B2" s="2564">
        <f ca="1">SUMIF(B6:B13,"&lt;&gt;#ref!",B6:B13)</f>
        <v>954</v>
      </c>
      <c r="C2" s="2565" t="s">
        <v>2513</v>
      </c>
      <c r="D2" s="2566" t="s">
        <v>2514</v>
      </c>
      <c r="E2" s="2567">
        <f>SUM(E6:E13)</f>
        <v>287.93</v>
      </c>
    </row>
    <row r="3" spans="1:6" ht="15.75">
      <c r="A3" s="2563" t="s">
        <v>1391</v>
      </c>
      <c r="B3" s="2564">
        <f ca="1">ROUND(B2*10000/E2,0)</f>
        <v>33133</v>
      </c>
      <c r="C3" s="2565" t="s">
        <v>2521</v>
      </c>
      <c r="D3" s="2568"/>
      <c r="E3" s="2569"/>
    </row>
    <row r="4" spans="1:6" ht="15.75">
      <c r="A4" s="2570"/>
      <c r="B4" s="2568"/>
      <c r="C4" s="2568"/>
      <c r="D4" s="2568"/>
      <c r="E4" s="2569"/>
    </row>
    <row r="5" spans="1:6" ht="15">
      <c r="A5" s="2571" t="s">
        <v>2515</v>
      </c>
      <c r="B5" s="3212" t="s">
        <v>2516</v>
      </c>
      <c r="C5" s="3212"/>
      <c r="D5" s="2572"/>
      <c r="E5" s="2573" t="s">
        <v>2517</v>
      </c>
      <c r="F5" s="2574" t="s">
        <v>2518</v>
      </c>
    </row>
    <row r="6" spans="1:6">
      <c r="A6" s="2575" t="str">
        <f>'数据-取费表'!AN6</f>
        <v>收益法</v>
      </c>
      <c r="B6" s="2574">
        <f ca="1">IF(F6="是",'数据-取费表'!AO6,0)</f>
        <v>954</v>
      </c>
      <c r="C6" s="2565" t="s">
        <v>2513</v>
      </c>
      <c r="D6" s="2568"/>
      <c r="E6" s="2576">
        <f>IF(OR(A6=0,F6="否"),0,'数据-取费表'!K6+'数据-取费表'!S6)</f>
        <v>287.93</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18" t="s">
        <v>1074</v>
      </c>
      <c r="B2" s="3219" t="s">
        <v>1075</v>
      </c>
      <c r="C2" s="3219"/>
      <c r="D2" s="1301" t="s">
        <v>1076</v>
      </c>
      <c r="E2" s="1301" t="s">
        <v>1077</v>
      </c>
      <c r="F2" s="1301" t="s">
        <v>1078</v>
      </c>
      <c r="G2" s="1301" t="s">
        <v>1079</v>
      </c>
      <c r="H2" s="1301" t="s">
        <v>1080</v>
      </c>
      <c r="I2" s="1302" t="s">
        <v>1081</v>
      </c>
    </row>
    <row r="3" spans="1:9">
      <c r="A3" s="3218"/>
      <c r="B3" s="3219" t="s">
        <v>1082</v>
      </c>
      <c r="C3" s="3219"/>
      <c r="D3" s="1303"/>
      <c r="E3" s="1301"/>
      <c r="F3" s="1304"/>
      <c r="G3" s="1304"/>
      <c r="H3" s="1305"/>
      <c r="I3" s="1306">
        <f>ROUND(D3*E3*F3*G3*H3/10000,0)</f>
        <v>0</v>
      </c>
    </row>
    <row r="4" spans="1:9">
      <c r="A4" s="3218"/>
      <c r="B4" s="3219" t="s">
        <v>1083</v>
      </c>
      <c r="C4" s="3219"/>
      <c r="D4" s="1303"/>
      <c r="E4" s="1301"/>
      <c r="F4" s="1304"/>
      <c r="G4" s="1304"/>
      <c r="H4" s="1305"/>
      <c r="I4" s="1306">
        <f t="shared" ref="I4:I9" si="0">ROUND(D4*E4*F4*G4*H4/10000,0)</f>
        <v>0</v>
      </c>
    </row>
    <row r="5" spans="1:9">
      <c r="A5" s="3218"/>
      <c r="B5" s="3219" t="s">
        <v>1084</v>
      </c>
      <c r="C5" s="3219"/>
      <c r="D5" s="1303"/>
      <c r="E5" s="1301"/>
      <c r="F5" s="1304"/>
      <c r="G5" s="1304"/>
      <c r="H5" s="1305"/>
      <c r="I5" s="1306">
        <f t="shared" si="0"/>
        <v>0</v>
      </c>
    </row>
    <row r="6" spans="1:9">
      <c r="A6" s="3218"/>
      <c r="B6" s="3219" t="s">
        <v>1085</v>
      </c>
      <c r="C6" s="3219"/>
      <c r="D6" s="1303"/>
      <c r="E6" s="1301"/>
      <c r="F6" s="1304"/>
      <c r="G6" s="1304"/>
      <c r="H6" s="1305"/>
      <c r="I6" s="1306">
        <f t="shared" si="0"/>
        <v>0</v>
      </c>
    </row>
    <row r="7" spans="1:9">
      <c r="A7" s="3218"/>
      <c r="B7" s="3219" t="s">
        <v>1086</v>
      </c>
      <c r="C7" s="3219"/>
      <c r="D7" s="1303"/>
      <c r="E7" s="1301"/>
      <c r="F7" s="1304"/>
      <c r="G7" s="1304"/>
      <c r="H7" s="1305"/>
      <c r="I7" s="1306">
        <f t="shared" si="0"/>
        <v>0</v>
      </c>
    </row>
    <row r="8" spans="1:9">
      <c r="A8" s="3218"/>
      <c r="B8" s="3219" t="s">
        <v>1087</v>
      </c>
      <c r="C8" s="3219"/>
      <c r="D8" s="1303"/>
      <c r="E8" s="1301"/>
      <c r="F8" s="1304"/>
      <c r="G8" s="1304"/>
      <c r="H8" s="1305"/>
      <c r="I8" s="1306">
        <f t="shared" si="0"/>
        <v>0</v>
      </c>
    </row>
    <row r="9" spans="1:9">
      <c r="A9" s="3218"/>
      <c r="B9" s="3219" t="s">
        <v>1088</v>
      </c>
      <c r="C9" s="3219"/>
      <c r="D9" s="1303"/>
      <c r="E9" s="1301"/>
      <c r="F9" s="1304"/>
      <c r="G9" s="1304"/>
      <c r="H9" s="1305"/>
      <c r="I9" s="1306">
        <f t="shared" si="0"/>
        <v>0</v>
      </c>
    </row>
    <row r="10" spans="1:9">
      <c r="A10" s="3218"/>
      <c r="B10" s="3220" t="s">
        <v>1089</v>
      </c>
      <c r="C10" s="3220"/>
      <c r="D10" s="1307"/>
      <c r="E10" s="1307" t="e">
        <f>ROUND(D1*10000/D10/H9,0)</f>
        <v>#DIV/0!</v>
      </c>
      <c r="F10" s="1308"/>
      <c r="G10" s="1308"/>
      <c r="H10" s="1309"/>
      <c r="I10" s="1310">
        <f>SUM(I3:I9)</f>
        <v>0</v>
      </c>
    </row>
    <row r="11" spans="1:9" ht="14.25">
      <c r="A11" s="3218" t="s">
        <v>1090</v>
      </c>
      <c r="B11" s="3219" t="s">
        <v>1091</v>
      </c>
      <c r="C11" s="3219"/>
      <c r="D11" s="1303" t="s">
        <v>1092</v>
      </c>
      <c r="E11" s="1303" t="s">
        <v>1093</v>
      </c>
      <c r="F11" s="1304" t="s">
        <v>1094</v>
      </c>
      <c r="G11" s="1304" t="s">
        <v>1080</v>
      </c>
      <c r="H11" s="1311" t="s">
        <v>1095</v>
      </c>
      <c r="I11" s="1302" t="s">
        <v>1081</v>
      </c>
    </row>
    <row r="12" spans="1:9">
      <c r="A12" s="3218"/>
      <c r="B12" s="3219" t="s">
        <v>1096</v>
      </c>
      <c r="C12" s="3219"/>
      <c r="D12" s="1303"/>
      <c r="E12" s="1303"/>
      <c r="F12" s="1304"/>
      <c r="G12" s="1305"/>
      <c r="H12" s="1312"/>
      <c r="I12" s="1302">
        <f>ROUND(D12*E12*F12*G12/10000,0)</f>
        <v>0</v>
      </c>
    </row>
    <row r="13" spans="1:9">
      <c r="A13" s="3218"/>
      <c r="B13" s="3219" t="s">
        <v>1097</v>
      </c>
      <c r="C13" s="3219"/>
      <c r="D13" s="1303"/>
      <c r="E13" s="1303"/>
      <c r="F13" s="1304"/>
      <c r="G13" s="1305"/>
      <c r="H13" s="1312"/>
      <c r="I13" s="1302">
        <f>ROUND(D13*E13*F13*G13/10000,0)</f>
        <v>0</v>
      </c>
    </row>
    <row r="14" spans="1:9">
      <c r="A14" s="3218"/>
      <c r="B14" s="3219" t="s">
        <v>1098</v>
      </c>
      <c r="C14" s="3219"/>
      <c r="D14" s="1303"/>
      <c r="E14" s="1303"/>
      <c r="F14" s="1304"/>
      <c r="G14" s="1305"/>
      <c r="H14" s="1312"/>
      <c r="I14" s="1302">
        <f>ROUND(D14*E14*F14*G14/10000,0)</f>
        <v>0</v>
      </c>
    </row>
    <row r="15" spans="1:9">
      <c r="A15" s="3218"/>
      <c r="B15" s="3220" t="s">
        <v>1089</v>
      </c>
      <c r="C15" s="3220"/>
      <c r="D15" s="1307"/>
      <c r="E15" s="1307">
        <f>SUM(E12:E14)</f>
        <v>0</v>
      </c>
      <c r="F15" s="1308"/>
      <c r="G15" s="1305"/>
      <c r="H15" s="1312"/>
      <c r="I15" s="1313">
        <f>SUM(I12:I14)</f>
        <v>0</v>
      </c>
    </row>
    <row r="16" spans="1:9" ht="24">
      <c r="A16" s="3218" t="s">
        <v>1099</v>
      </c>
      <c r="B16" s="3219" t="s">
        <v>1100</v>
      </c>
      <c r="C16" s="3219"/>
      <c r="D16" s="1303" t="s">
        <v>1076</v>
      </c>
      <c r="E16" s="1314" t="s">
        <v>1101</v>
      </c>
      <c r="F16" s="1304" t="s">
        <v>1102</v>
      </c>
      <c r="G16" s="1305" t="s">
        <v>1080</v>
      </c>
      <c r="H16" s="1311" t="s">
        <v>1095</v>
      </c>
      <c r="I16" s="1302" t="s">
        <v>1081</v>
      </c>
    </row>
    <row r="17" spans="1:9" ht="14.25">
      <c r="A17" s="3218"/>
      <c r="B17" s="3219" t="s">
        <v>1103</v>
      </c>
      <c r="C17" s="3219"/>
      <c r="D17" s="1303"/>
      <c r="E17" s="1303"/>
      <c r="F17" s="1304"/>
      <c r="G17" s="1305"/>
      <c r="H17" s="1315"/>
      <c r="I17" s="1316">
        <f>ROUND(D17*E17*F17*G17/10000,0)</f>
        <v>0</v>
      </c>
    </row>
    <row r="18" spans="1:9" ht="14.25">
      <c r="A18" s="3218"/>
      <c r="B18" s="3219" t="s">
        <v>1104</v>
      </c>
      <c r="C18" s="3219"/>
      <c r="D18" s="1303"/>
      <c r="E18" s="1303"/>
      <c r="F18" s="1304"/>
      <c r="G18" s="1305"/>
      <c r="H18" s="1315"/>
      <c r="I18" s="1316">
        <f>ROUND(D18*E18*F18*G18/10000,0)</f>
        <v>0</v>
      </c>
    </row>
    <row r="19" spans="1:9" ht="14.25">
      <c r="A19" s="3218"/>
      <c r="B19" s="3219" t="s">
        <v>1105</v>
      </c>
      <c r="C19" s="3219"/>
      <c r="D19" s="1303"/>
      <c r="E19" s="1303"/>
      <c r="F19" s="1304"/>
      <c r="G19" s="1305"/>
      <c r="H19" s="1315"/>
      <c r="I19" s="1316">
        <f>ROUND(D19*E19*F19*G19/10000,0)</f>
        <v>0</v>
      </c>
    </row>
    <row r="20" spans="1:9">
      <c r="A20" s="3218"/>
      <c r="B20" s="3220" t="s">
        <v>1089</v>
      </c>
      <c r="C20" s="3220"/>
      <c r="D20" s="1307">
        <f>SUM(D17:D19)</f>
        <v>0</v>
      </c>
      <c r="E20" s="1307"/>
      <c r="F20" s="1308"/>
      <c r="G20" s="1305"/>
      <c r="H20" s="1312"/>
      <c r="I20" s="1313">
        <f>SUM(I17:I19)</f>
        <v>0</v>
      </c>
    </row>
    <row r="21" spans="1:9">
      <c r="A21" s="3218" t="s">
        <v>1106</v>
      </c>
      <c r="B21" s="3222"/>
      <c r="C21" s="3222"/>
      <c r="D21" s="3222"/>
      <c r="E21" s="3222"/>
      <c r="F21" s="3222"/>
      <c r="G21" s="3222"/>
      <c r="H21" s="1765">
        <v>0.1</v>
      </c>
      <c r="I21" s="1310">
        <f>ROUND(I10*H21,0)</f>
        <v>0</v>
      </c>
    </row>
    <row r="22" spans="1:9" ht="14.25">
      <c r="A22" s="3223" t="s">
        <v>1107</v>
      </c>
      <c r="B22" s="3224"/>
      <c r="C22" s="3225"/>
      <c r="D22" s="1317" t="s">
        <v>1108</v>
      </c>
      <c r="E22" s="1317" t="s">
        <v>1109</v>
      </c>
      <c r="F22" s="1318" t="s">
        <v>1110</v>
      </c>
      <c r="G22" s="1318" t="s">
        <v>1111</v>
      </c>
      <c r="H22" s="1311" t="s">
        <v>1112</v>
      </c>
      <c r="I22" s="1302" t="s">
        <v>1113</v>
      </c>
    </row>
    <row r="23" spans="1:9" ht="14.25" thickBot="1">
      <c r="A23" s="3226"/>
      <c r="B23" s="3227"/>
      <c r="C23" s="3228"/>
      <c r="D23" s="1319"/>
      <c r="E23" s="1319"/>
      <c r="F23" s="1319"/>
      <c r="G23" s="1320"/>
      <c r="H23" s="1321"/>
      <c r="I23" s="1322">
        <f>ROUND(E23*D23*F23*(1-G23)/10000,0)</f>
        <v>0</v>
      </c>
    </row>
    <row r="26" spans="1:9">
      <c r="A26" s="1323" t="s">
        <v>1114</v>
      </c>
      <c r="B26" s="1323"/>
      <c r="C26" s="1323"/>
      <c r="D26" s="1323"/>
      <c r="E26" s="3229">
        <f>C27-C30-C31-C32</f>
        <v>0</v>
      </c>
      <c r="F26" s="3229"/>
      <c r="G26" s="3229"/>
      <c r="H26" s="1737" t="s">
        <v>1336</v>
      </c>
    </row>
    <row r="27" spans="1:9">
      <c r="A27" s="1324">
        <v>1</v>
      </c>
      <c r="B27" s="1325" t="s">
        <v>1115</v>
      </c>
      <c r="C27" s="1325">
        <f>C28+C29</f>
        <v>0</v>
      </c>
      <c r="D27" s="1325"/>
      <c r="E27" s="3230"/>
      <c r="F27" s="3230"/>
      <c r="G27" s="3230"/>
    </row>
    <row r="28" spans="1:9">
      <c r="A28" s="1326" t="s">
        <v>1116</v>
      </c>
      <c r="B28" s="1325" t="s">
        <v>1117</v>
      </c>
      <c r="C28" s="1325"/>
      <c r="D28" s="1325"/>
      <c r="E28" s="3230"/>
      <c r="F28" s="3230"/>
      <c r="G28" s="323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1"/>
      <c r="F32" s="3221"/>
      <c r="G32" s="3221"/>
    </row>
    <row r="33" spans="1:7" hidden="1">
      <c r="A33" s="3231" t="s">
        <v>1126</v>
      </c>
      <c r="B33" s="3232"/>
      <c r="C33" s="3232"/>
      <c r="D33" s="3233"/>
      <c r="E33" s="3229"/>
      <c r="F33" s="3229"/>
      <c r="G33" s="3229"/>
    </row>
    <row r="34" spans="1:7" hidden="1">
      <c r="A34" s="1328">
        <v>1</v>
      </c>
      <c r="B34" s="1325" t="s">
        <v>1127</v>
      </c>
      <c r="C34" s="1325"/>
      <c r="D34" s="1325"/>
      <c r="E34" s="3230"/>
      <c r="F34" s="3230"/>
      <c r="G34" s="3230"/>
    </row>
    <row r="35" spans="1:7" hidden="1">
      <c r="A35" s="1328">
        <v>2</v>
      </c>
      <c r="B35" s="1325" t="s">
        <v>1128</v>
      </c>
      <c r="C35" s="1325"/>
      <c r="D35" s="1325"/>
      <c r="E35" s="3230"/>
      <c r="F35" s="3230"/>
      <c r="G35" s="3230"/>
    </row>
    <row r="36" spans="1:7" hidden="1">
      <c r="A36" s="1328">
        <v>3</v>
      </c>
      <c r="B36" s="1325" t="s">
        <v>1129</v>
      </c>
      <c r="C36" s="1325"/>
      <c r="D36" s="1325"/>
      <c r="E36" s="3230"/>
      <c r="F36" s="3230"/>
      <c r="G36" s="3230"/>
    </row>
    <row r="37" spans="1:7" hidden="1">
      <c r="A37" s="1328">
        <v>4</v>
      </c>
      <c r="B37" s="1325" t="s">
        <v>1130</v>
      </c>
      <c r="C37" s="1325"/>
      <c r="D37" s="1325"/>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1" t="s">
        <v>2523</v>
      </c>
      <c r="C1" s="1634" t="s">
        <v>2524</v>
      </c>
      <c r="D1" s="1621"/>
      <c r="E1" s="2582"/>
      <c r="F1" s="2583" t="s">
        <v>2525</v>
      </c>
      <c r="G1" s="1631" t="s">
        <v>2526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2" customFormat="1" ht="28.5" customHeight="1" thickTop="1">
      <c r="A2" s="1617" t="s">
        <v>1390</v>
      </c>
      <c r="B2" s="1418" t="e">
        <f ca="1">IF(C2="——",ROUND(C49*D3/10000,0),ROUND(C49*D3/10000,0)-D2)</f>
        <v>#DIV/0!</v>
      </c>
      <c r="C2" s="2585"/>
      <c r="D2" s="1365" t="e">
        <f ca="1">SUMIF(INDIRECT("'"&amp;F2&amp;"'"&amp;"!A:A"),"承租人权益价值",INDIRECT("'"&amp;F2&amp;"'"&amp;"!c:c"))</f>
        <v>#REF!</v>
      </c>
      <c r="E2" s="2586" t="s">
        <v>2527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2528</v>
      </c>
      <c r="D3" s="398">
        <f>IF(D1="",'数据-汇总表'!E3,SUMIF('数据-汇总表'!$C19:$C33,D1,'数据-汇总表'!$E19:$E33))</f>
        <v>31156.999999999996</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2529</v>
      </c>
      <c r="B4" s="401"/>
      <c r="C4" s="3180" t="s">
        <v>2530</v>
      </c>
      <c r="D4" s="3181"/>
      <c r="E4" s="3182" t="s">
        <v>2531</v>
      </c>
      <c r="F4" s="3183"/>
      <c r="G4" s="3180" t="s">
        <v>2532</v>
      </c>
      <c r="H4" s="3181"/>
      <c r="I4" s="3180" t="s">
        <v>2533</v>
      </c>
      <c r="J4" s="3181"/>
      <c r="K4" s="2595" t="s">
        <v>2534</v>
      </c>
      <c r="L4" s="1130"/>
      <c r="M4" s="1131"/>
      <c r="N4" s="1131"/>
      <c r="O4" s="1131"/>
      <c r="P4" s="3184" t="s">
        <v>2535</v>
      </c>
      <c r="Q4" s="3185"/>
      <c r="R4" s="3167" t="s">
        <v>2531</v>
      </c>
      <c r="S4" s="3168"/>
      <c r="T4" s="3167" t="s">
        <v>2532</v>
      </c>
      <c r="U4" s="3168"/>
      <c r="V4" s="3164" t="s">
        <v>2533</v>
      </c>
      <c r="W4" s="3164"/>
      <c r="X4" s="1813"/>
      <c r="Y4" s="3167" t="s">
        <v>2535</v>
      </c>
      <c r="Z4" s="3168"/>
      <c r="AA4" s="3161" t="s">
        <v>2531</v>
      </c>
      <c r="AB4" s="3161" t="s">
        <v>2532</v>
      </c>
      <c r="AC4" s="3161" t="s">
        <v>2533</v>
      </c>
    </row>
    <row r="5" spans="1:29" ht="15">
      <c r="A5" s="403"/>
      <c r="B5" s="404"/>
      <c r="C5" s="3173" t="s">
        <v>2536</v>
      </c>
      <c r="D5" s="3174"/>
      <c r="E5" s="3171" t="s">
        <v>2537</v>
      </c>
      <c r="F5" s="3172"/>
      <c r="G5" s="3173" t="s">
        <v>2538</v>
      </c>
      <c r="H5" s="3174"/>
      <c r="I5" s="3173" t="s">
        <v>2539</v>
      </c>
      <c r="J5" s="3174"/>
      <c r="K5" s="2596"/>
      <c r="L5" s="1130"/>
      <c r="M5" s="1131"/>
      <c r="N5" s="1131"/>
      <c r="O5" s="1131"/>
      <c r="P5" s="3186"/>
      <c r="Q5" s="3187"/>
      <c r="R5" s="3169"/>
      <c r="S5" s="3170"/>
      <c r="T5" s="3169"/>
      <c r="U5" s="3170"/>
      <c r="V5" s="3164"/>
      <c r="W5" s="3164"/>
      <c r="X5" s="1813"/>
      <c r="Y5" s="3169"/>
      <c r="Z5" s="3170"/>
      <c r="AA5" s="3162"/>
      <c r="AB5" s="3162"/>
      <c r="AC5" s="3162"/>
    </row>
    <row r="6" spans="1:29" ht="15.75" thickBot="1">
      <c r="A6" s="405"/>
      <c r="B6" s="406"/>
      <c r="C6" s="3175" t="s">
        <v>2540</v>
      </c>
      <c r="D6" s="3176"/>
      <c r="E6" s="3177" t="s">
        <v>2540</v>
      </c>
      <c r="F6" s="3178"/>
      <c r="G6" s="3175" t="s">
        <v>2540</v>
      </c>
      <c r="H6" s="3176"/>
      <c r="I6" s="3175" t="s">
        <v>2540</v>
      </c>
      <c r="J6" s="3176"/>
      <c r="K6" s="2596" t="s">
        <v>2541</v>
      </c>
      <c r="L6" s="1130"/>
      <c r="M6" s="1131"/>
      <c r="N6" s="1131"/>
      <c r="O6" s="1131"/>
      <c r="P6" s="3188"/>
      <c r="Q6" s="3189"/>
      <c r="R6" s="3169"/>
      <c r="S6" s="3170"/>
      <c r="T6" s="3190"/>
      <c r="U6" s="3191"/>
      <c r="V6" s="3164"/>
      <c r="W6" s="3164"/>
      <c r="X6" s="1813"/>
      <c r="Y6" s="3190"/>
      <c r="Z6" s="3191"/>
      <c r="AA6" s="3163"/>
      <c r="AB6" s="3163"/>
      <c r="AC6" s="3163"/>
    </row>
    <row r="7" spans="1:29" s="116" customFormat="1" ht="15.75" thickBot="1">
      <c r="A7" s="407" t="s">
        <v>2542</v>
      </c>
      <c r="B7" s="408"/>
      <c r="C7" s="409">
        <f>'数据-取费表'!B2</f>
        <v>43405</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165" t="s">
        <v>2543</v>
      </c>
      <c r="Q7" s="3192"/>
      <c r="R7" s="767" t="s">
        <v>23</v>
      </c>
      <c r="S7" s="768">
        <f t="shared" ref="S7:S15" si="0">F7</f>
        <v>0</v>
      </c>
      <c r="T7" s="767" t="s">
        <v>23</v>
      </c>
      <c r="U7" s="768">
        <f t="shared" ref="U7:U15" si="1">H7</f>
        <v>0</v>
      </c>
      <c r="V7" s="767" t="s">
        <v>23</v>
      </c>
      <c r="W7" s="768">
        <f t="shared" ref="W7:W15" si="2">J7</f>
        <v>0</v>
      </c>
      <c r="X7" s="769"/>
      <c r="Y7" s="3165" t="s">
        <v>2543</v>
      </c>
      <c r="Z7" s="3166"/>
      <c r="AA7" s="770" t="e">
        <f>D7/F7</f>
        <v>#DIV/0!</v>
      </c>
      <c r="AB7" s="770" t="e">
        <f>D7/H7</f>
        <v>#DIV/0!</v>
      </c>
      <c r="AC7" s="770" t="e">
        <f>D7/J7</f>
        <v>#DIV/0!</v>
      </c>
    </row>
    <row r="8" spans="1:29" s="116"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165" t="s">
        <v>2546</v>
      </c>
      <c r="Q8" s="3166"/>
      <c r="R8" s="767" t="s">
        <v>23</v>
      </c>
      <c r="S8" s="768">
        <f t="shared" si="0"/>
        <v>0</v>
      </c>
      <c r="T8" s="767" t="s">
        <v>23</v>
      </c>
      <c r="U8" s="768">
        <f t="shared" si="1"/>
        <v>0</v>
      </c>
      <c r="V8" s="767" t="s">
        <v>23</v>
      </c>
      <c r="W8" s="768">
        <f t="shared" si="2"/>
        <v>0</v>
      </c>
      <c r="X8" s="769"/>
      <c r="Y8" s="3165" t="s">
        <v>2546</v>
      </c>
      <c r="Z8" s="3166"/>
      <c r="AA8" s="770" t="e">
        <f t="shared" ref="AA8:AA19" si="3">D8/F8</f>
        <v>#DIV/0!</v>
      </c>
      <c r="AB8" s="770" t="e">
        <f t="shared" ref="AB8:AB19" si="4">D8/H8</f>
        <v>#DIV/0!</v>
      </c>
      <c r="AC8" s="770"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179"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770">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179"/>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179"/>
      <c r="Q11" s="1795" t="str">
        <f t="shared" si="6"/>
        <v>容积率</v>
      </c>
      <c r="R11" s="767" t="s">
        <v>21</v>
      </c>
      <c r="S11" s="768" t="e">
        <f t="shared" si="0"/>
        <v>#N/A</v>
      </c>
      <c r="T11" s="767" t="s">
        <v>21</v>
      </c>
      <c r="U11" s="768" t="e">
        <f t="shared" si="1"/>
        <v>#N/A</v>
      </c>
      <c r="V11" s="767" t="s">
        <v>21</v>
      </c>
      <c r="W11" s="768" t="e">
        <f t="shared" si="2"/>
        <v>#N/A</v>
      </c>
      <c r="X11" s="769"/>
      <c r="Y11" s="3038"/>
      <c r="Z11" s="55" t="str">
        <f t="shared" si="7"/>
        <v>容积率</v>
      </c>
      <c r="AA11" s="770" t="e">
        <f t="shared" si="3"/>
        <v>#N/A</v>
      </c>
      <c r="AB11" s="770" t="e">
        <f t="shared" si="4"/>
        <v>#N/A</v>
      </c>
      <c r="AC11" s="770"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179"/>
      <c r="Q12" s="1795">
        <f t="shared" si="6"/>
        <v>111</v>
      </c>
      <c r="R12" s="767" t="s">
        <v>21</v>
      </c>
      <c r="S12" s="768">
        <f t="shared" si="0"/>
        <v>100</v>
      </c>
      <c r="T12" s="767" t="s">
        <v>21</v>
      </c>
      <c r="U12" s="768">
        <f t="shared" si="1"/>
        <v>100</v>
      </c>
      <c r="V12" s="767" t="s">
        <v>21</v>
      </c>
      <c r="W12" s="768">
        <f t="shared" si="2"/>
        <v>100</v>
      </c>
      <c r="X12" s="769"/>
      <c r="Y12" s="3038"/>
      <c r="Z12" s="55">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179"/>
      <c r="Q13" s="1795">
        <f t="shared" si="6"/>
        <v>111</v>
      </c>
      <c r="R13" s="767" t="s">
        <v>21</v>
      </c>
      <c r="S13" s="768">
        <f t="shared" si="0"/>
        <v>100</v>
      </c>
      <c r="T13" s="767" t="s">
        <v>21</v>
      </c>
      <c r="U13" s="768">
        <f t="shared" si="1"/>
        <v>100</v>
      </c>
      <c r="V13" s="767" t="s">
        <v>21</v>
      </c>
      <c r="W13" s="768">
        <f t="shared" si="2"/>
        <v>100</v>
      </c>
      <c r="X13" s="769"/>
      <c r="Y13" s="3038"/>
      <c r="Z13" s="55">
        <f t="shared" si="7"/>
        <v>111</v>
      </c>
      <c r="AA13" s="770">
        <f t="shared" si="3"/>
        <v>1</v>
      </c>
      <c r="AB13" s="770">
        <f t="shared" si="4"/>
        <v>1</v>
      </c>
      <c r="AC13" s="770">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179"/>
      <c r="Q14" s="1795">
        <f t="shared" si="6"/>
        <v>111</v>
      </c>
      <c r="R14" s="767" t="s">
        <v>21</v>
      </c>
      <c r="S14" s="768">
        <f t="shared" si="0"/>
        <v>100</v>
      </c>
      <c r="T14" s="767" t="s">
        <v>21</v>
      </c>
      <c r="U14" s="768">
        <f t="shared" si="1"/>
        <v>100</v>
      </c>
      <c r="V14" s="767" t="s">
        <v>21</v>
      </c>
      <c r="W14" s="768">
        <f t="shared" si="2"/>
        <v>100</v>
      </c>
      <c r="X14" s="769"/>
      <c r="Y14" s="3038"/>
      <c r="Z14" s="55">
        <f t="shared" si="7"/>
        <v>111</v>
      </c>
      <c r="AA14" s="770">
        <f t="shared" si="3"/>
        <v>1</v>
      </c>
      <c r="AB14" s="770">
        <f t="shared" si="4"/>
        <v>1</v>
      </c>
      <c r="AC14" s="770">
        <f t="shared" si="5"/>
        <v>1</v>
      </c>
    </row>
    <row r="15" spans="1:29" ht="99.75">
      <c r="A15" s="439" t="s">
        <v>2553</v>
      </c>
      <c r="B15" s="68" t="s">
        <v>2077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193" t="s">
        <v>2554</v>
      </c>
      <c r="Q15" s="1810" t="str">
        <f t="shared" si="6"/>
        <v>居住社区成熟度</v>
      </c>
      <c r="R15" s="771" t="s">
        <v>21</v>
      </c>
      <c r="S15" s="772">
        <f t="shared" si="0"/>
        <v>100</v>
      </c>
      <c r="T15" s="771" t="s">
        <v>21</v>
      </c>
      <c r="U15" s="772">
        <f t="shared" si="1"/>
        <v>100</v>
      </c>
      <c r="V15" s="771" t="s">
        <v>21</v>
      </c>
      <c r="W15" s="772">
        <f t="shared" si="2"/>
        <v>100</v>
      </c>
      <c r="X15" s="1813"/>
      <c r="Y15" s="3195" t="s">
        <v>2554</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0"/>
      <c r="M16" s="1131"/>
      <c r="N16" s="1131"/>
      <c r="O16" s="1131"/>
      <c r="P16" s="3194"/>
      <c r="Q16" s="1810"/>
      <c r="R16" s="771"/>
      <c r="S16" s="772"/>
      <c r="T16" s="771"/>
      <c r="U16" s="772"/>
      <c r="V16" s="771"/>
      <c r="W16" s="772"/>
      <c r="X16" s="1813"/>
      <c r="Y16" s="3196"/>
      <c r="Z16" s="1814"/>
      <c r="AA16" s="1811">
        <v>1</v>
      </c>
      <c r="AB16" s="1811">
        <v>1</v>
      </c>
      <c r="AC16" s="1811">
        <v>1</v>
      </c>
    </row>
    <row r="17" spans="1:29" ht="85.5">
      <c r="A17" s="427"/>
      <c r="B17" s="450" t="s">
        <v>2089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194"/>
      <c r="Q17" s="1810" t="str">
        <f>B17</f>
        <v>交通便捷度</v>
      </c>
      <c r="R17" s="771" t="s">
        <v>21</v>
      </c>
      <c r="S17" s="772">
        <f>F17</f>
        <v>100</v>
      </c>
      <c r="T17" s="771" t="s">
        <v>21</v>
      </c>
      <c r="U17" s="772">
        <f>H17</f>
        <v>100</v>
      </c>
      <c r="V17" s="771" t="s">
        <v>21</v>
      </c>
      <c r="W17" s="772">
        <f>J17</f>
        <v>100</v>
      </c>
      <c r="X17" s="1813"/>
      <c r="Y17" s="3196"/>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0"/>
      <c r="M18" s="1131"/>
      <c r="N18" s="1131"/>
      <c r="O18" s="1131"/>
      <c r="P18" s="3194"/>
      <c r="Q18" s="1810"/>
      <c r="R18" s="771"/>
      <c r="S18" s="772"/>
      <c r="T18" s="771"/>
      <c r="U18" s="772"/>
      <c r="V18" s="771"/>
      <c r="W18" s="772"/>
      <c r="X18" s="1813"/>
      <c r="Y18" s="3196"/>
      <c r="Z18" s="1814"/>
      <c r="AA18" s="1811">
        <v>1</v>
      </c>
      <c r="AB18" s="1811">
        <v>1</v>
      </c>
      <c r="AC18" s="1811">
        <v>1</v>
      </c>
    </row>
    <row r="19" spans="1:29" ht="42.75">
      <c r="A19" s="427"/>
      <c r="B19" s="450" t="s">
        <v>2087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194"/>
      <c r="Q19" s="1810" t="str">
        <f>B19</f>
        <v>公共配套设施</v>
      </c>
      <c r="R19" s="771" t="s">
        <v>21</v>
      </c>
      <c r="S19" s="772">
        <f>F19</f>
        <v>100</v>
      </c>
      <c r="T19" s="771" t="s">
        <v>21</v>
      </c>
      <c r="U19" s="772">
        <f>H19</f>
        <v>100</v>
      </c>
      <c r="V19" s="771" t="s">
        <v>21</v>
      </c>
      <c r="W19" s="772">
        <f>J19</f>
        <v>100</v>
      </c>
      <c r="X19" s="1813"/>
      <c r="Y19" s="3196"/>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0"/>
      <c r="M20" s="1131"/>
      <c r="N20" s="1131"/>
      <c r="O20" s="1131"/>
      <c r="P20" s="3194"/>
      <c r="Q20" s="1810"/>
      <c r="R20" s="771"/>
      <c r="S20" s="772"/>
      <c r="T20" s="771"/>
      <c r="U20" s="772"/>
      <c r="V20" s="771"/>
      <c r="W20" s="772"/>
      <c r="X20" s="1813"/>
      <c r="Y20" s="3196"/>
      <c r="Z20" s="1814"/>
      <c r="AA20" s="1811">
        <v>1</v>
      </c>
      <c r="AB20" s="1811">
        <v>1</v>
      </c>
      <c r="AC20" s="1811">
        <v>1</v>
      </c>
    </row>
    <row r="21" spans="1:29" ht="28.5">
      <c r="A21" s="427"/>
      <c r="B21" s="1384" t="s">
        <v>2090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194"/>
      <c r="Q21" s="1810" t="str">
        <f>B21</f>
        <v>基础设施水平</v>
      </c>
      <c r="R21" s="771" t="s">
        <v>17</v>
      </c>
      <c r="S21" s="772">
        <f>F21</f>
        <v>100</v>
      </c>
      <c r="T21" s="771" t="s">
        <v>17</v>
      </c>
      <c r="U21" s="772">
        <f>H21</f>
        <v>100</v>
      </c>
      <c r="V21" s="771" t="s">
        <v>17</v>
      </c>
      <c r="W21" s="772">
        <f>J21</f>
        <v>100</v>
      </c>
      <c r="X21" s="1813"/>
      <c r="Y21" s="3196"/>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0"/>
      <c r="M22" s="1131"/>
      <c r="N22" s="1131"/>
      <c r="O22" s="1131"/>
      <c r="P22" s="3194"/>
      <c r="Q22" s="1810"/>
      <c r="R22" s="771"/>
      <c r="S22" s="772"/>
      <c r="T22" s="771"/>
      <c r="U22" s="772"/>
      <c r="V22" s="771"/>
      <c r="W22" s="772"/>
      <c r="X22" s="1813"/>
      <c r="Y22" s="3196"/>
      <c r="Z22" s="1814"/>
      <c r="AA22" s="1811">
        <v>1</v>
      </c>
      <c r="AB22" s="1811">
        <v>1</v>
      </c>
      <c r="AC22" s="1811">
        <v>1</v>
      </c>
    </row>
    <row r="23" spans="1:29" ht="57">
      <c r="A23" s="427"/>
      <c r="B23" s="450" t="s">
        <v>2094</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194"/>
      <c r="Q23" s="1810" t="str">
        <f>B23</f>
        <v>自然及人文环境</v>
      </c>
      <c r="R23" s="771" t="s">
        <v>21</v>
      </c>
      <c r="S23" s="772">
        <f>F23</f>
        <v>100</v>
      </c>
      <c r="T23" s="771" t="s">
        <v>21</v>
      </c>
      <c r="U23" s="772">
        <f>H23</f>
        <v>100</v>
      </c>
      <c r="V23" s="771" t="s">
        <v>21</v>
      </c>
      <c r="W23" s="772">
        <f>J23</f>
        <v>100</v>
      </c>
      <c r="X23" s="1813"/>
      <c r="Y23" s="3196"/>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0"/>
      <c r="M24" s="1131"/>
      <c r="N24" s="1131"/>
      <c r="O24" s="1131"/>
      <c r="P24" s="3194"/>
      <c r="Q24" s="1810"/>
      <c r="R24" s="771"/>
      <c r="S24" s="772"/>
      <c r="T24" s="771"/>
      <c r="U24" s="772"/>
      <c r="V24" s="771"/>
      <c r="W24" s="772"/>
      <c r="X24" s="1813"/>
      <c r="Y24" s="3196"/>
      <c r="Z24" s="1814"/>
      <c r="AA24" s="1811">
        <v>1</v>
      </c>
      <c r="AB24" s="1811">
        <v>1</v>
      </c>
      <c r="AC24" s="1811">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194"/>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96"/>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194"/>
      <c r="Q26" s="1810" t="str">
        <f t="shared" si="11"/>
        <v>朝向</v>
      </c>
      <c r="R26" s="771" t="s">
        <v>21</v>
      </c>
      <c r="S26" s="772">
        <f t="shared" si="12"/>
        <v>100</v>
      </c>
      <c r="T26" s="771" t="s">
        <v>21</v>
      </c>
      <c r="U26" s="772">
        <f t="shared" si="13"/>
        <v>100</v>
      </c>
      <c r="V26" s="771" t="s">
        <v>21</v>
      </c>
      <c r="W26" s="772">
        <f t="shared" si="14"/>
        <v>100</v>
      </c>
      <c r="X26" s="1813"/>
      <c r="Y26" s="3196"/>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194"/>
      <c r="Q27" s="1795">
        <f t="shared" si="11"/>
        <v>111</v>
      </c>
      <c r="R27" s="767" t="s">
        <v>21</v>
      </c>
      <c r="S27" s="768">
        <f t="shared" si="12"/>
        <v>100</v>
      </c>
      <c r="T27" s="767" t="s">
        <v>21</v>
      </c>
      <c r="U27" s="768">
        <f t="shared" si="13"/>
        <v>100</v>
      </c>
      <c r="V27" s="767" t="s">
        <v>21</v>
      </c>
      <c r="W27" s="768">
        <f t="shared" si="14"/>
        <v>100</v>
      </c>
      <c r="X27" s="769"/>
      <c r="Y27" s="3196"/>
      <c r="Z27" s="55">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194"/>
      <c r="Q28" s="1810">
        <f t="shared" si="11"/>
        <v>111</v>
      </c>
      <c r="R28" s="771" t="s">
        <v>21</v>
      </c>
      <c r="S28" s="772">
        <f t="shared" si="12"/>
        <v>100</v>
      </c>
      <c r="T28" s="771" t="s">
        <v>21</v>
      </c>
      <c r="U28" s="772">
        <f t="shared" si="13"/>
        <v>100</v>
      </c>
      <c r="V28" s="771" t="s">
        <v>21</v>
      </c>
      <c r="W28" s="772">
        <f t="shared" si="14"/>
        <v>100</v>
      </c>
      <c r="X28" s="1813"/>
      <c r="Y28" s="3196"/>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194"/>
      <c r="Q29" s="1810">
        <f t="shared" si="11"/>
        <v>111</v>
      </c>
      <c r="R29" s="771" t="s">
        <v>21</v>
      </c>
      <c r="S29" s="772">
        <f t="shared" si="12"/>
        <v>100</v>
      </c>
      <c r="T29" s="771" t="s">
        <v>21</v>
      </c>
      <c r="U29" s="772">
        <f t="shared" si="13"/>
        <v>100</v>
      </c>
      <c r="V29" s="771" t="s">
        <v>21</v>
      </c>
      <c r="W29" s="772">
        <f t="shared" si="14"/>
        <v>100</v>
      </c>
      <c r="X29" s="1813"/>
      <c r="Y29" s="3196"/>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194"/>
      <c r="Q30" s="1810">
        <f t="shared" si="11"/>
        <v>111</v>
      </c>
      <c r="R30" s="771" t="s">
        <v>21</v>
      </c>
      <c r="S30" s="772">
        <f t="shared" si="12"/>
        <v>100</v>
      </c>
      <c r="T30" s="771" t="s">
        <v>21</v>
      </c>
      <c r="U30" s="772">
        <f t="shared" si="13"/>
        <v>100</v>
      </c>
      <c r="V30" s="771" t="s">
        <v>21</v>
      </c>
      <c r="W30" s="772">
        <f t="shared" si="14"/>
        <v>100</v>
      </c>
      <c r="X30" s="1813"/>
      <c r="Y30" s="3196"/>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194"/>
      <c r="Q31" s="1810">
        <f t="shared" si="11"/>
        <v>111</v>
      </c>
      <c r="R31" s="771" t="s">
        <v>21</v>
      </c>
      <c r="S31" s="772">
        <f t="shared" si="12"/>
        <v>100</v>
      </c>
      <c r="T31" s="771" t="s">
        <v>21</v>
      </c>
      <c r="U31" s="772">
        <f t="shared" si="13"/>
        <v>100</v>
      </c>
      <c r="V31" s="771" t="s">
        <v>21</v>
      </c>
      <c r="W31" s="772">
        <f t="shared" si="14"/>
        <v>100</v>
      </c>
      <c r="X31" s="1813"/>
      <c r="Y31" s="3196"/>
      <c r="Z31" s="1814">
        <f t="shared" si="18"/>
        <v>111</v>
      </c>
      <c r="AA31" s="1811">
        <f t="shared" si="15"/>
        <v>1</v>
      </c>
      <c r="AB31" s="1811">
        <f t="shared" si="16"/>
        <v>1</v>
      </c>
      <c r="AC31" s="1811">
        <f t="shared" si="17"/>
        <v>1</v>
      </c>
    </row>
    <row r="32" spans="1:29" ht="15">
      <c r="A32" s="439" t="s">
        <v>2557</v>
      </c>
      <c r="B32" s="70"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197" t="s">
        <v>2559</v>
      </c>
      <c r="Q32" s="1810" t="str">
        <f t="shared" si="11"/>
        <v>建筑类型</v>
      </c>
      <c r="R32" s="771" t="s">
        <v>21</v>
      </c>
      <c r="S32" s="772">
        <f t="shared" si="12"/>
        <v>100</v>
      </c>
      <c r="T32" s="771" t="s">
        <v>21</v>
      </c>
      <c r="U32" s="772">
        <f t="shared" si="13"/>
        <v>100</v>
      </c>
      <c r="V32" s="771" t="s">
        <v>21</v>
      </c>
      <c r="W32" s="772">
        <f t="shared" si="14"/>
        <v>100</v>
      </c>
      <c r="X32" s="1813"/>
      <c r="Y32" s="3200"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198"/>
      <c r="Q33" s="773" t="str">
        <f t="shared" si="11"/>
        <v>项目建筑规模</v>
      </c>
      <c r="R33" s="774" t="s">
        <v>21</v>
      </c>
      <c r="S33" s="775" t="e">
        <f t="shared" si="12"/>
        <v>#N/A</v>
      </c>
      <c r="T33" s="774" t="s">
        <v>21</v>
      </c>
      <c r="U33" s="775" t="e">
        <f t="shared" si="13"/>
        <v>#N/A</v>
      </c>
      <c r="V33" s="774" t="s">
        <v>21</v>
      </c>
      <c r="W33" s="775" t="e">
        <f t="shared" si="14"/>
        <v>#N/A</v>
      </c>
      <c r="X33" s="776"/>
      <c r="Y33" s="3200"/>
      <c r="Z33" s="777" t="str">
        <f t="shared" si="18"/>
        <v>项目建筑规模</v>
      </c>
      <c r="AA33" s="1811" t="e">
        <f t="shared" si="15"/>
        <v>#N/A</v>
      </c>
      <c r="AB33" s="1811" t="e">
        <f t="shared" si="16"/>
        <v>#N/A</v>
      </c>
      <c r="AC33" s="1811"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198"/>
      <c r="Q34" s="1810" t="str">
        <f t="shared" si="11"/>
        <v>建筑结构</v>
      </c>
      <c r="R34" s="771" t="s">
        <v>21</v>
      </c>
      <c r="S34" s="772">
        <f t="shared" si="12"/>
        <v>100</v>
      </c>
      <c r="T34" s="771" t="s">
        <v>21</v>
      </c>
      <c r="U34" s="772">
        <f t="shared" si="13"/>
        <v>100</v>
      </c>
      <c r="V34" s="771" t="s">
        <v>21</v>
      </c>
      <c r="W34" s="772">
        <f t="shared" si="14"/>
        <v>100</v>
      </c>
      <c r="X34" s="1813"/>
      <c r="Y34" s="3200"/>
      <c r="Z34" s="1814" t="str">
        <f t="shared" si="18"/>
        <v>建筑结构</v>
      </c>
      <c r="AA34" s="1811">
        <f t="shared" si="15"/>
        <v>1</v>
      </c>
      <c r="AB34" s="1811">
        <f t="shared" si="16"/>
        <v>1</v>
      </c>
      <c r="AC34" s="1811">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198"/>
      <c r="Q35" s="1810" t="str">
        <f t="shared" si="11"/>
        <v>建筑品质</v>
      </c>
      <c r="R35" s="771" t="s">
        <v>21</v>
      </c>
      <c r="S35" s="772">
        <f t="shared" si="12"/>
        <v>100</v>
      </c>
      <c r="T35" s="771" t="s">
        <v>21</v>
      </c>
      <c r="U35" s="772">
        <f t="shared" si="13"/>
        <v>100</v>
      </c>
      <c r="V35" s="771" t="s">
        <v>21</v>
      </c>
      <c r="W35" s="772">
        <f t="shared" si="14"/>
        <v>100</v>
      </c>
      <c r="X35" s="1813"/>
      <c r="Y35" s="3200"/>
      <c r="Z35" s="1814" t="str">
        <f t="shared" si="18"/>
        <v>建筑品质</v>
      </c>
      <c r="AA35" s="1811">
        <f t="shared" si="15"/>
        <v>1</v>
      </c>
      <c r="AB35" s="1811">
        <f t="shared" si="16"/>
        <v>1</v>
      </c>
      <c r="AC35" s="1811">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198"/>
      <c r="Q36" s="1810" t="str">
        <f t="shared" si="11"/>
        <v>公共部分装修</v>
      </c>
      <c r="R36" s="771" t="s">
        <v>21</v>
      </c>
      <c r="S36" s="772">
        <f t="shared" si="12"/>
        <v>100</v>
      </c>
      <c r="T36" s="771" t="s">
        <v>21</v>
      </c>
      <c r="U36" s="772">
        <f t="shared" si="13"/>
        <v>100</v>
      </c>
      <c r="V36" s="771" t="s">
        <v>21</v>
      </c>
      <c r="W36" s="772">
        <f t="shared" si="14"/>
        <v>100</v>
      </c>
      <c r="X36" s="1813"/>
      <c r="Y36" s="3200"/>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198"/>
      <c r="Q37" s="1795" t="str">
        <f t="shared" si="11"/>
        <v>成新度</v>
      </c>
      <c r="R37" s="767" t="s">
        <v>21</v>
      </c>
      <c r="S37" s="768" t="e">
        <f t="shared" si="12"/>
        <v>#N/A</v>
      </c>
      <c r="T37" s="767" t="s">
        <v>21</v>
      </c>
      <c r="U37" s="768" t="e">
        <f t="shared" si="13"/>
        <v>#N/A</v>
      </c>
      <c r="V37" s="767" t="s">
        <v>21</v>
      </c>
      <c r="W37" s="768" t="e">
        <f t="shared" si="14"/>
        <v>#N/A</v>
      </c>
      <c r="X37" s="769"/>
      <c r="Y37" s="3200"/>
      <c r="Z37" s="55" t="str">
        <f t="shared" si="18"/>
        <v>成新度</v>
      </c>
      <c r="AA37" s="770" t="e">
        <f t="shared" si="15"/>
        <v>#N/A</v>
      </c>
      <c r="AB37" s="770" t="e">
        <f t="shared" si="16"/>
        <v>#N/A</v>
      </c>
      <c r="AC37" s="770"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198" t="s">
        <v>2559</v>
      </c>
      <c r="Q38" s="1810" t="str">
        <f t="shared" si="11"/>
        <v>物业管理</v>
      </c>
      <c r="R38" s="771" t="s">
        <v>21</v>
      </c>
      <c r="S38" s="772">
        <f t="shared" si="12"/>
        <v>100</v>
      </c>
      <c r="T38" s="771" t="s">
        <v>21</v>
      </c>
      <c r="U38" s="772">
        <f t="shared" si="13"/>
        <v>100</v>
      </c>
      <c r="V38" s="771" t="s">
        <v>21</v>
      </c>
      <c r="W38" s="772">
        <f t="shared" si="14"/>
        <v>100</v>
      </c>
      <c r="X38" s="1813"/>
      <c r="Y38" s="3200" t="s">
        <v>2559</v>
      </c>
      <c r="Z38" s="1814" t="str">
        <f t="shared" si="18"/>
        <v>物业管理</v>
      </c>
      <c r="AA38" s="1811">
        <f t="shared" si="15"/>
        <v>1</v>
      </c>
      <c r="AB38" s="1811">
        <f t="shared" si="16"/>
        <v>1</v>
      </c>
      <c r="AC38" s="1811">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198"/>
      <c r="Q39" s="1810" t="str">
        <f t="shared" si="11"/>
        <v>市政基础设施</v>
      </c>
      <c r="R39" s="771" t="s">
        <v>21</v>
      </c>
      <c r="S39" s="772">
        <f t="shared" si="12"/>
        <v>100</v>
      </c>
      <c r="T39" s="771" t="s">
        <v>21</v>
      </c>
      <c r="U39" s="772">
        <f t="shared" si="13"/>
        <v>100</v>
      </c>
      <c r="V39" s="771" t="s">
        <v>21</v>
      </c>
      <c r="W39" s="772">
        <f t="shared" si="14"/>
        <v>100</v>
      </c>
      <c r="X39" s="1813"/>
      <c r="Y39" s="3200"/>
      <c r="Z39" s="1814" t="str">
        <f t="shared" si="18"/>
        <v>市政基础设施</v>
      </c>
      <c r="AA39" s="1811">
        <f t="shared" si="15"/>
        <v>1</v>
      </c>
      <c r="AB39" s="1811">
        <f t="shared" si="16"/>
        <v>1</v>
      </c>
      <c r="AC39" s="1811">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198"/>
      <c r="Q40" s="1810" t="str">
        <f t="shared" si="11"/>
        <v>房型</v>
      </c>
      <c r="R40" s="771" t="s">
        <v>21</v>
      </c>
      <c r="S40" s="772">
        <f t="shared" si="12"/>
        <v>100</v>
      </c>
      <c r="T40" s="771" t="s">
        <v>21</v>
      </c>
      <c r="U40" s="772">
        <f t="shared" si="13"/>
        <v>100</v>
      </c>
      <c r="V40" s="771" t="s">
        <v>21</v>
      </c>
      <c r="W40" s="772">
        <f t="shared" si="14"/>
        <v>100</v>
      </c>
      <c r="X40" s="1813"/>
      <c r="Y40" s="3200"/>
      <c r="Z40" s="1814" t="str">
        <f t="shared" si="18"/>
        <v>房型</v>
      </c>
      <c r="AA40" s="1811">
        <f t="shared" si="15"/>
        <v>1</v>
      </c>
      <c r="AB40" s="1811">
        <f t="shared" si="16"/>
        <v>1</v>
      </c>
      <c r="AC40" s="1811">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198"/>
      <c r="Q41" s="773" t="str">
        <f t="shared" si="11"/>
        <v>单套/主力户型建筑面积</v>
      </c>
      <c r="R41" s="774" t="s">
        <v>21</v>
      </c>
      <c r="S41" s="775">
        <f t="shared" si="12"/>
        <v>100</v>
      </c>
      <c r="T41" s="774" t="s">
        <v>21</v>
      </c>
      <c r="U41" s="775">
        <f t="shared" si="13"/>
        <v>100</v>
      </c>
      <c r="V41" s="774" t="s">
        <v>21</v>
      </c>
      <c r="W41" s="775">
        <f t="shared" si="14"/>
        <v>100</v>
      </c>
      <c r="X41" s="776"/>
      <c r="Y41" s="3200"/>
      <c r="Z41" s="777" t="str">
        <f t="shared" si="18"/>
        <v>单套/主力户型建筑面积</v>
      </c>
      <c r="AA41" s="1811">
        <f t="shared" si="15"/>
        <v>1</v>
      </c>
      <c r="AB41" s="1811">
        <f t="shared" si="16"/>
        <v>1</v>
      </c>
      <c r="AC41" s="1811">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198"/>
      <c r="Q42" s="1810" t="str">
        <f t="shared" si="11"/>
        <v>内部装修</v>
      </c>
      <c r="R42" s="771" t="s">
        <v>21</v>
      </c>
      <c r="S42" s="772">
        <f t="shared" si="12"/>
        <v>100</v>
      </c>
      <c r="T42" s="771" t="s">
        <v>21</v>
      </c>
      <c r="U42" s="772">
        <f t="shared" si="13"/>
        <v>100</v>
      </c>
      <c r="V42" s="771" t="s">
        <v>21</v>
      </c>
      <c r="W42" s="772">
        <f t="shared" si="14"/>
        <v>100</v>
      </c>
      <c r="X42" s="1813"/>
      <c r="Y42" s="3200"/>
      <c r="Z42" s="1814" t="str">
        <f t="shared" si="18"/>
        <v>内部装修</v>
      </c>
      <c r="AA42" s="1811">
        <f t="shared" si="15"/>
        <v>1</v>
      </c>
      <c r="AB42" s="1811">
        <f t="shared" si="16"/>
        <v>1</v>
      </c>
      <c r="AC42" s="1811">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198"/>
      <c r="Q43" s="1810" t="str">
        <f t="shared" si="11"/>
        <v>内部装修维护情况</v>
      </c>
      <c r="R43" s="771" t="s">
        <v>21</v>
      </c>
      <c r="S43" s="772">
        <f t="shared" si="12"/>
        <v>100</v>
      </c>
      <c r="T43" s="771" t="s">
        <v>21</v>
      </c>
      <c r="U43" s="772">
        <f t="shared" si="13"/>
        <v>100</v>
      </c>
      <c r="V43" s="771" t="s">
        <v>21</v>
      </c>
      <c r="W43" s="772">
        <f t="shared" si="14"/>
        <v>100</v>
      </c>
      <c r="X43" s="1813"/>
      <c r="Y43" s="3200"/>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198"/>
      <c r="Q44" s="1795">
        <f t="shared" si="11"/>
        <v>111</v>
      </c>
      <c r="R44" s="767" t="s">
        <v>21</v>
      </c>
      <c r="S44" s="768">
        <f t="shared" si="12"/>
        <v>100</v>
      </c>
      <c r="T44" s="767" t="s">
        <v>21</v>
      </c>
      <c r="U44" s="768">
        <f t="shared" si="13"/>
        <v>100</v>
      </c>
      <c r="V44" s="767" t="s">
        <v>21</v>
      </c>
      <c r="W44" s="768">
        <f t="shared" si="14"/>
        <v>100</v>
      </c>
      <c r="X44" s="769"/>
      <c r="Y44" s="3200"/>
      <c r="Z44" s="55">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198"/>
      <c r="Q45" s="1810">
        <f t="shared" si="11"/>
        <v>111</v>
      </c>
      <c r="R45" s="771" t="s">
        <v>21</v>
      </c>
      <c r="S45" s="772">
        <f t="shared" si="12"/>
        <v>100</v>
      </c>
      <c r="T45" s="771" t="s">
        <v>21</v>
      </c>
      <c r="U45" s="772">
        <f t="shared" si="13"/>
        <v>100</v>
      </c>
      <c r="V45" s="771" t="s">
        <v>21</v>
      </c>
      <c r="W45" s="772">
        <f t="shared" si="14"/>
        <v>100</v>
      </c>
      <c r="X45" s="1813"/>
      <c r="Y45" s="3200"/>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199"/>
      <c r="Q46" s="1810">
        <f t="shared" si="11"/>
        <v>111</v>
      </c>
      <c r="R46" s="771" t="s">
        <v>20</v>
      </c>
      <c r="S46" s="772">
        <f t="shared" si="12"/>
        <v>100</v>
      </c>
      <c r="T46" s="771" t="s">
        <v>20</v>
      </c>
      <c r="U46" s="772">
        <f t="shared" si="13"/>
        <v>100</v>
      </c>
      <c r="V46" s="771" t="s">
        <v>20</v>
      </c>
      <c r="W46" s="772">
        <f t="shared" si="14"/>
        <v>100</v>
      </c>
      <c r="X46" s="1813"/>
      <c r="Y46" s="3201"/>
      <c r="Z46" s="1814">
        <f t="shared" si="18"/>
        <v>111</v>
      </c>
      <c r="AA46" s="1811">
        <f t="shared" si="15"/>
        <v>1</v>
      </c>
      <c r="AB46" s="1811">
        <f t="shared" si="16"/>
        <v>1</v>
      </c>
      <c r="AC46" s="1811">
        <f t="shared" si="17"/>
        <v>1</v>
      </c>
    </row>
    <row r="47" spans="1:29" ht="15">
      <c r="A47" s="478" t="s">
        <v>2571</v>
      </c>
      <c r="B47" s="479"/>
      <c r="C47" s="1407" t="s">
        <v>19</v>
      </c>
      <c r="D47" s="1408"/>
      <c r="E47" s="1409"/>
      <c r="F47" s="1410"/>
      <c r="G47" s="1411"/>
      <c r="H47" s="1412"/>
      <c r="I47" s="1409"/>
      <c r="J47" s="1412"/>
      <c r="K47" s="2620"/>
      <c r="L47" s="1143"/>
      <c r="M47" s="1144"/>
      <c r="N47" s="1131"/>
      <c r="O47" s="1144"/>
      <c r="P47" s="3202" t="str">
        <f>A47</f>
        <v>成交单价（元/平方米）</v>
      </c>
      <c r="Q47" s="3202"/>
      <c r="R47" s="3203">
        <f>E47</f>
        <v>0</v>
      </c>
      <c r="S47" s="3203"/>
      <c r="T47" s="3203">
        <f>G47</f>
        <v>0</v>
      </c>
      <c r="U47" s="3203"/>
      <c r="V47" s="3203">
        <f>I47</f>
        <v>0</v>
      </c>
      <c r="W47" s="3203"/>
      <c r="X47" s="756"/>
      <c r="Y47" s="778"/>
      <c r="Z47" s="756"/>
      <c r="AA47" s="756"/>
      <c r="AB47" s="756"/>
      <c r="AC47" s="756"/>
    </row>
    <row r="48" spans="1:29" ht="15.75" thickBot="1">
      <c r="A48" s="485" t="s">
        <v>2572</v>
      </c>
      <c r="B48" s="486"/>
      <c r="C48" s="1413" t="e">
        <f>R49</f>
        <v>#DIV/0!</v>
      </c>
      <c r="D48" s="1414"/>
      <c r="E48" s="1415" t="e">
        <f>R48</f>
        <v>#DIV/0!</v>
      </c>
      <c r="F48" s="1415"/>
      <c r="G48" s="1413" t="e">
        <f>T48</f>
        <v>#DIV/0!</v>
      </c>
      <c r="H48" s="1414"/>
      <c r="I48" s="1415" t="e">
        <f>V48</f>
        <v>#DIV/0!</v>
      </c>
      <c r="J48" s="1414"/>
      <c r="K48" s="2621"/>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6"/>
      <c r="Y48" s="756"/>
      <c r="Z48" s="756"/>
      <c r="AA48" s="756"/>
      <c r="AB48" s="756"/>
      <c r="AC48" s="756"/>
    </row>
    <row r="49" spans="1:29" ht="15.75" thickBot="1">
      <c r="A49" s="491" t="s">
        <v>2573</v>
      </c>
      <c r="B49" s="492"/>
      <c r="C49" s="1416" t="e">
        <f>R49</f>
        <v>#DIV/0!</v>
      </c>
      <c r="D49" s="1417"/>
      <c r="E49" s="1417"/>
      <c r="F49" s="1417"/>
      <c r="G49" s="1417"/>
      <c r="H49" s="1417"/>
      <c r="I49" s="1417"/>
      <c r="J49" s="1417"/>
      <c r="K49" s="2622"/>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2577</v>
      </c>
      <c r="B57" s="756"/>
      <c r="C57" s="761"/>
      <c r="D57" s="761"/>
      <c r="E57" s="761"/>
      <c r="F57" s="762"/>
      <c r="G57" s="762"/>
      <c r="H57" s="761"/>
      <c r="I57" s="761"/>
      <c r="J57" s="761"/>
      <c r="K57" s="1160"/>
      <c r="L57" s="1161"/>
      <c r="M57" s="1159"/>
      <c r="N57" s="1159"/>
      <c r="O57" s="1159"/>
      <c r="P57" s="2625"/>
      <c r="Q57" s="503"/>
    </row>
    <row r="58" spans="1:29" s="507" customFormat="1" ht="15">
      <c r="A58" s="504" t="s">
        <v>2578</v>
      </c>
      <c r="B58" s="505"/>
      <c r="C58" s="1576" t="str">
        <f>YEAR(C7)&amp;"-"&amp;MONTH(C7)</f>
        <v>2018-11</v>
      </c>
      <c r="D58" s="1575">
        <f>EDATE(C58,-1)</f>
        <v>43374</v>
      </c>
      <c r="E58" s="1575">
        <f>EDATE(D58,-1)</f>
        <v>43344</v>
      </c>
      <c r="F58" s="1575">
        <f t="shared" ref="F58:O58" si="19">EDATE(E58,-1)</f>
        <v>43313</v>
      </c>
      <c r="G58" s="1575">
        <f t="shared" si="19"/>
        <v>43282</v>
      </c>
      <c r="H58" s="1575">
        <f t="shared" si="19"/>
        <v>43252</v>
      </c>
      <c r="I58" s="1575">
        <f t="shared" si="19"/>
        <v>43221</v>
      </c>
      <c r="J58" s="1575">
        <f t="shared" si="19"/>
        <v>43191</v>
      </c>
      <c r="K58" s="1575">
        <f t="shared" si="19"/>
        <v>43160</v>
      </c>
      <c r="L58" s="1575">
        <f t="shared" si="19"/>
        <v>43132</v>
      </c>
      <c r="M58" s="1575">
        <f t="shared" si="19"/>
        <v>43101</v>
      </c>
      <c r="N58" s="1575">
        <f t="shared" si="19"/>
        <v>43070</v>
      </c>
      <c r="O58" s="1575">
        <f t="shared" si="19"/>
        <v>43040</v>
      </c>
      <c r="P58" s="1570"/>
    </row>
    <row r="59" spans="1:29" s="116" customFormat="1" ht="15">
      <c r="A59" s="508"/>
      <c r="B59" s="2626"/>
      <c r="C59" s="1573">
        <v>100</v>
      </c>
      <c r="D59" s="510"/>
      <c r="E59" s="511"/>
      <c r="F59" s="511"/>
      <c r="G59" s="511"/>
      <c r="H59" s="511"/>
      <c r="I59" s="511"/>
      <c r="J59" s="511"/>
      <c r="K59" s="511"/>
      <c r="L59" s="511"/>
      <c r="M59" s="512"/>
      <c r="N59" s="511"/>
      <c r="O59" s="512"/>
      <c r="P59" s="2627"/>
    </row>
    <row r="60" spans="1:29" s="116" customFormat="1" ht="15.75" thickBot="1">
      <c r="A60" s="514" t="s">
        <v>2579</v>
      </c>
      <c r="B60" s="515"/>
      <c r="C60" s="516"/>
      <c r="D60" s="517"/>
      <c r="E60" s="517"/>
      <c r="F60" s="517"/>
      <c r="G60" s="517"/>
      <c r="H60" s="517"/>
      <c r="I60" s="517"/>
      <c r="J60" s="517"/>
      <c r="K60" s="517"/>
      <c r="L60" s="517"/>
      <c r="M60" s="518"/>
      <c r="N60" s="517"/>
      <c r="O60" s="518"/>
      <c r="P60" s="2627"/>
      <c r="Q60" s="503"/>
    </row>
    <row r="61" spans="1:29" s="116" customFormat="1" ht="15">
      <c r="A61" s="520" t="s">
        <v>2580</v>
      </c>
      <c r="B61" s="509"/>
      <c r="C61" s="521" t="s">
        <v>2581</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2582</v>
      </c>
      <c r="B63" s="527" t="s">
        <v>2548</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2090</v>
      </c>
      <c r="C82" s="538" t="s">
        <v>2598</v>
      </c>
      <c r="D82" s="538" t="s">
        <v>2599</v>
      </c>
      <c r="E82" s="538" t="s">
        <v>2600</v>
      </c>
      <c r="F82" s="538" t="s">
        <v>2601</v>
      </c>
      <c r="G82" s="538" t="s">
        <v>2602</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2604</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2605</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2557</v>
      </c>
      <c r="B100" s="527" t="s">
        <v>2606</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2608</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2609</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2610</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2611</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2612</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2613</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2568</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2614</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4">
        <v>6</v>
      </c>
      <c r="C139" s="1085">
        <v>96</v>
      </c>
      <c r="D139" s="2647" t="s">
        <v>2625</v>
      </c>
      <c r="E139" s="1086">
        <v>100</v>
      </c>
      <c r="F139" s="1087">
        <v>102.5</v>
      </c>
      <c r="G139" s="2647" t="s">
        <v>2625</v>
      </c>
      <c r="H139" s="1088">
        <v>105</v>
      </c>
      <c r="I139" s="2648" t="s">
        <v>2626</v>
      </c>
      <c r="J139" s="1085">
        <v>20</v>
      </c>
      <c r="K139" s="1089">
        <f>C145/(J139-2)</f>
        <v>4.0555555555555553E-3</v>
      </c>
    </row>
    <row r="140" spans="1:17" ht="15">
      <c r="B140" s="1090">
        <v>5</v>
      </c>
      <c r="C140" s="1091">
        <v>100</v>
      </c>
      <c r="D140" s="1091"/>
      <c r="E140" s="1092"/>
      <c r="F140" s="1093">
        <v>102</v>
      </c>
      <c r="G140" s="1091"/>
      <c r="H140" s="1094"/>
      <c r="I140" s="2649" t="s">
        <v>2627</v>
      </c>
      <c r="J140" s="314">
        <f>ROUNDUP((J139-1)/2,0)</f>
        <v>10</v>
      </c>
      <c r="K140" s="1095">
        <v>100</v>
      </c>
    </row>
    <row r="141" spans="1:17" ht="15">
      <c r="B141" s="1090">
        <v>4</v>
      </c>
      <c r="C141" s="1091">
        <v>102</v>
      </c>
      <c r="D141" s="1091"/>
      <c r="E141" s="1092"/>
      <c r="F141" s="1093">
        <v>101.5</v>
      </c>
      <c r="G141" s="1091"/>
      <c r="H141" s="1094"/>
      <c r="I141" s="2649" t="s">
        <v>2628</v>
      </c>
      <c r="J141" s="314">
        <v>1</v>
      </c>
      <c r="K141" s="1096">
        <f>ROUND(100+(J141-J140)*K139*100,1)</f>
        <v>96.4</v>
      </c>
    </row>
    <row r="142" spans="1:17" ht="15">
      <c r="B142" s="1090">
        <v>3</v>
      </c>
      <c r="C142" s="1091">
        <v>103</v>
      </c>
      <c r="D142" s="1091"/>
      <c r="E142" s="1092"/>
      <c r="F142" s="1093">
        <v>101</v>
      </c>
      <c r="G142" s="1091"/>
      <c r="H142" s="1094"/>
      <c r="I142" s="2649" t="s">
        <v>2629</v>
      </c>
      <c r="J142" s="314">
        <f>J139</f>
        <v>20</v>
      </c>
      <c r="K142" s="1097">
        <v>95</v>
      </c>
    </row>
    <row r="143" spans="1:17" ht="15">
      <c r="B143" s="1090">
        <v>2</v>
      </c>
      <c r="C143" s="1091">
        <v>100</v>
      </c>
      <c r="D143" s="1091"/>
      <c r="E143" s="1092"/>
      <c r="F143" s="1093">
        <v>100.5</v>
      </c>
      <c r="G143" s="1091"/>
      <c r="H143" s="1094"/>
      <c r="I143" s="2649" t="s">
        <v>2630</v>
      </c>
      <c r="J143" s="1091">
        <v>15</v>
      </c>
      <c r="K143" s="1096">
        <f>ROUND(100+(J143-J140)*K139*100,1)</f>
        <v>102</v>
      </c>
    </row>
    <row r="144" spans="1:17" ht="15">
      <c r="B144" s="1090">
        <v>1</v>
      </c>
      <c r="C144" s="1091">
        <v>98</v>
      </c>
      <c r="D144" s="2650" t="s">
        <v>2631</v>
      </c>
      <c r="E144" s="1092">
        <v>102</v>
      </c>
      <c r="F144" s="1098">
        <v>100</v>
      </c>
      <c r="G144" s="2650" t="s">
        <v>2631</v>
      </c>
      <c r="H144" s="1094">
        <v>105</v>
      </c>
      <c r="I144" s="2649" t="s">
        <v>2630</v>
      </c>
      <c r="J144" s="1091">
        <v>18</v>
      </c>
      <c r="K144" s="1096">
        <f>ROUND(100+(J144-J140)*K139*100,1)</f>
        <v>103.2</v>
      </c>
    </row>
    <row r="145" spans="2:11" ht="15.75" thickBot="1">
      <c r="B145" s="2651" t="s">
        <v>2632</v>
      </c>
      <c r="C145" s="1099">
        <f>ROUND(MAX(C139:C144)/MIN(C139:C144)-1,3)</f>
        <v>7.2999999999999995E-2</v>
      </c>
      <c r="D145" s="1100"/>
      <c r="E145" s="1100"/>
      <c r="F145" s="2652" t="s">
        <v>2633</v>
      </c>
      <c r="G145" s="2653"/>
      <c r="H145" s="2654"/>
      <c r="I145" s="2655" t="s">
        <v>2630</v>
      </c>
      <c r="J145" s="1101">
        <v>8</v>
      </c>
      <c r="K145" s="1102">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68" t="s">
        <v>2680</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8" t="e">
        <f ca="1">IF(C2="——",ROUND(C50*D3/10000,0),ROUND(C50*D3/10000,0)-D2)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2323</v>
      </c>
      <c r="B3" s="608" t="e">
        <f ca="1">IF(C2="——",C50,ROUND(B2*10000/D3,0))</f>
        <v>#DIV/0!</v>
      </c>
      <c r="C3" s="399" t="s">
        <v>2638</v>
      </c>
      <c r="D3" s="398">
        <f>IF(D1="",'数据-汇总表'!E3,SUMIF('数据-汇总表'!$C19:$C33,D1,'数据-汇总表'!$E19:$E33))</f>
        <v>31156.999999999996</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240" t="s">
        <v>2645</v>
      </c>
      <c r="Q4" s="3241"/>
      <c r="R4" s="3235" t="s">
        <v>2641</v>
      </c>
      <c r="S4" s="3236"/>
      <c r="T4" s="3235" t="s">
        <v>2642</v>
      </c>
      <c r="U4" s="3236"/>
      <c r="V4" s="3244" t="s">
        <v>2643</v>
      </c>
      <c r="W4" s="3244"/>
      <c r="X4" s="2669"/>
      <c r="Y4" s="3235" t="s">
        <v>2645</v>
      </c>
      <c r="Z4" s="3236"/>
      <c r="AA4" s="3234" t="s">
        <v>2641</v>
      </c>
      <c r="AB4" s="3234" t="s">
        <v>2642</v>
      </c>
      <c r="AC4" s="3237" t="s">
        <v>2643</v>
      </c>
    </row>
    <row r="5" spans="1:29" ht="15">
      <c r="A5" s="403"/>
      <c r="B5" s="404"/>
      <c r="C5" s="3173" t="s">
        <v>2536</v>
      </c>
      <c r="D5" s="3174"/>
      <c r="E5" s="3171" t="s">
        <v>2537</v>
      </c>
      <c r="F5" s="3172"/>
      <c r="G5" s="3173" t="s">
        <v>2538</v>
      </c>
      <c r="H5" s="3174"/>
      <c r="I5" s="3173" t="s">
        <v>2539</v>
      </c>
      <c r="J5" s="3174"/>
      <c r="K5" s="609"/>
      <c r="L5" s="1130"/>
      <c r="M5" s="1131"/>
      <c r="N5" s="1131"/>
      <c r="O5" s="1131"/>
      <c r="P5" s="3242"/>
      <c r="Q5" s="3187"/>
      <c r="R5" s="3169"/>
      <c r="S5" s="3170"/>
      <c r="T5" s="3169"/>
      <c r="U5" s="3170"/>
      <c r="V5" s="3164"/>
      <c r="W5" s="3164"/>
      <c r="X5" s="1813"/>
      <c r="Y5" s="3169"/>
      <c r="Z5" s="3170"/>
      <c r="AA5" s="3162"/>
      <c r="AB5" s="3162"/>
      <c r="AC5" s="3238"/>
    </row>
    <row r="6" spans="1:29" ht="15.75" thickBot="1">
      <c r="A6" s="405"/>
      <c r="B6" s="406"/>
      <c r="C6" s="3175" t="s">
        <v>2540</v>
      </c>
      <c r="D6" s="3176"/>
      <c r="E6" s="3177" t="s">
        <v>2540</v>
      </c>
      <c r="F6" s="3178"/>
      <c r="G6" s="3175" t="s">
        <v>2540</v>
      </c>
      <c r="H6" s="3176"/>
      <c r="I6" s="3175" t="s">
        <v>2540</v>
      </c>
      <c r="J6" s="3176"/>
      <c r="K6" s="609" t="s">
        <v>2541</v>
      </c>
      <c r="L6" s="1130"/>
      <c r="M6" s="1131"/>
      <c r="N6" s="1131"/>
      <c r="O6" s="1131"/>
      <c r="P6" s="3243"/>
      <c r="Q6" s="3189"/>
      <c r="R6" s="3169"/>
      <c r="S6" s="3170"/>
      <c r="T6" s="3190"/>
      <c r="U6" s="3191"/>
      <c r="V6" s="3164"/>
      <c r="W6" s="3164"/>
      <c r="X6" s="1813"/>
      <c r="Y6" s="3190"/>
      <c r="Z6" s="3191"/>
      <c r="AA6" s="3163"/>
      <c r="AB6" s="3163"/>
      <c r="AC6" s="3239"/>
    </row>
    <row r="7" spans="1:29" s="116" customFormat="1" ht="15.75" thickBot="1">
      <c r="A7" s="407" t="s">
        <v>2542</v>
      </c>
      <c r="B7" s="408"/>
      <c r="C7" s="409">
        <f>'数据-取费表'!B2</f>
        <v>43405</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45" t="s">
        <v>2543</v>
      </c>
      <c r="Q7" s="3192"/>
      <c r="R7" s="767" t="s">
        <v>17</v>
      </c>
      <c r="S7" s="768">
        <f t="shared" ref="S7:S15" si="0">F7</f>
        <v>0</v>
      </c>
      <c r="T7" s="767" t="s">
        <v>17</v>
      </c>
      <c r="U7" s="768">
        <f t="shared" ref="U7:U15" si="1">H7</f>
        <v>0</v>
      </c>
      <c r="V7" s="767" t="s">
        <v>17</v>
      </c>
      <c r="W7" s="768">
        <f t="shared" ref="W7:W15" si="2">J7</f>
        <v>0</v>
      </c>
      <c r="X7" s="769"/>
      <c r="Y7" s="3165" t="s">
        <v>2543</v>
      </c>
      <c r="Z7" s="3166"/>
      <c r="AA7" s="770" t="e">
        <f>D7/F7</f>
        <v>#DIV/0!</v>
      </c>
      <c r="AB7" s="770" t="e">
        <f>D7/H7</f>
        <v>#DIV/0!</v>
      </c>
      <c r="AC7" s="2670"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45" t="s">
        <v>2546</v>
      </c>
      <c r="Q8" s="3166"/>
      <c r="R8" s="767" t="s">
        <v>17</v>
      </c>
      <c r="S8" s="768">
        <f t="shared" si="0"/>
        <v>0</v>
      </c>
      <c r="T8" s="767" t="s">
        <v>17</v>
      </c>
      <c r="U8" s="768">
        <f t="shared" si="1"/>
        <v>0</v>
      </c>
      <c r="V8" s="767" t="s">
        <v>17</v>
      </c>
      <c r="W8" s="768">
        <f t="shared" si="2"/>
        <v>0</v>
      </c>
      <c r="X8" s="769"/>
      <c r="Y8" s="3165" t="s">
        <v>2546</v>
      </c>
      <c r="Z8" s="3166"/>
      <c r="AA8" s="770" t="e">
        <f t="shared" ref="AA8:AA47" si="3">D8/F8</f>
        <v>#DIV/0!</v>
      </c>
      <c r="AB8" s="770" t="e">
        <f t="shared" ref="AB8:AB47" si="4">D8/H8</f>
        <v>#DIV/0!</v>
      </c>
      <c r="AC8" s="2670"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179"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2670">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179"/>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267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179"/>
      <c r="Q11" s="1795"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179"/>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179"/>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179"/>
      <c r="Q14" s="1795">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2670">
        <f t="shared" si="5"/>
        <v>1</v>
      </c>
    </row>
    <row r="15" spans="1:29" ht="71.25">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193" t="s">
        <v>2554</v>
      </c>
      <c r="Q15" s="1810" t="str">
        <f t="shared" si="6"/>
        <v>办公集聚程度</v>
      </c>
      <c r="R15" s="771" t="s">
        <v>17</v>
      </c>
      <c r="S15" s="772">
        <f t="shared" si="0"/>
        <v>100</v>
      </c>
      <c r="T15" s="771" t="s">
        <v>17</v>
      </c>
      <c r="U15" s="772">
        <f t="shared" si="1"/>
        <v>100</v>
      </c>
      <c r="V15" s="771" t="s">
        <v>17</v>
      </c>
      <c r="W15" s="772">
        <f t="shared" si="2"/>
        <v>100</v>
      </c>
      <c r="X15" s="1813"/>
      <c r="Y15" s="3195" t="s">
        <v>2554</v>
      </c>
      <c r="Z15" s="1814" t="str">
        <f t="shared" si="7"/>
        <v>办公集聚程度</v>
      </c>
      <c r="AA15" s="1811">
        <f t="shared" si="3"/>
        <v>1</v>
      </c>
      <c r="AB15" s="1811">
        <f t="shared" si="4"/>
        <v>1</v>
      </c>
      <c r="AC15" s="2673">
        <f t="shared" si="5"/>
        <v>1</v>
      </c>
    </row>
    <row r="16" spans="1:29" ht="15">
      <c r="A16" s="427"/>
      <c r="B16" s="629"/>
      <c r="C16" s="2610"/>
      <c r="D16" s="447"/>
      <c r="E16" s="446"/>
      <c r="F16" s="447"/>
      <c r="G16" s="2610"/>
      <c r="H16" s="449"/>
      <c r="I16" s="446"/>
      <c r="J16" s="447"/>
      <c r="K16" s="614"/>
      <c r="L16" s="1140"/>
      <c r="M16" s="1131"/>
      <c r="N16" s="1131"/>
      <c r="O16" s="1131"/>
      <c r="P16" s="3194"/>
      <c r="Q16" s="1810"/>
      <c r="R16" s="771"/>
      <c r="S16" s="772"/>
      <c r="T16" s="771"/>
      <c r="U16" s="772"/>
      <c r="V16" s="771"/>
      <c r="W16" s="772"/>
      <c r="X16" s="1813"/>
      <c r="Y16" s="3196"/>
      <c r="Z16" s="1814"/>
      <c r="AA16" s="1811">
        <v>1</v>
      </c>
      <c r="AB16" s="1811">
        <v>1</v>
      </c>
      <c r="AC16" s="2673">
        <v>1</v>
      </c>
    </row>
    <row r="17" spans="1:29" ht="71.25">
      <c r="A17" s="427"/>
      <c r="B17" s="630" t="s">
        <v>2089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194"/>
      <c r="Q17" s="1810" t="str">
        <f>B17</f>
        <v>交通便捷度</v>
      </c>
      <c r="R17" s="771" t="s">
        <v>17</v>
      </c>
      <c r="S17" s="772">
        <f>F17</f>
        <v>100</v>
      </c>
      <c r="T17" s="771" t="s">
        <v>17</v>
      </c>
      <c r="U17" s="772">
        <f>H17</f>
        <v>100</v>
      </c>
      <c r="V17" s="771" t="s">
        <v>17</v>
      </c>
      <c r="W17" s="772">
        <f>J17</f>
        <v>100</v>
      </c>
      <c r="X17" s="1813"/>
      <c r="Y17" s="3196"/>
      <c r="Z17" s="1814" t="str">
        <f>Q17</f>
        <v>交通便捷度</v>
      </c>
      <c r="AA17" s="1811">
        <f t="shared" si="3"/>
        <v>1</v>
      </c>
      <c r="AB17" s="1811">
        <f t="shared" si="4"/>
        <v>1</v>
      </c>
      <c r="AC17" s="2673">
        <f t="shared" si="5"/>
        <v>1</v>
      </c>
    </row>
    <row r="18" spans="1:29" ht="15">
      <c r="A18" s="427"/>
      <c r="B18" s="631"/>
      <c r="C18" s="2675"/>
      <c r="D18" s="449"/>
      <c r="E18" s="2608"/>
      <c r="F18" s="449"/>
      <c r="G18" s="2609"/>
      <c r="H18" s="447"/>
      <c r="I18" s="2609"/>
      <c r="J18" s="447"/>
      <c r="K18" s="614"/>
      <c r="L18" s="1140"/>
      <c r="M18" s="1131"/>
      <c r="N18" s="1131"/>
      <c r="O18" s="1131"/>
      <c r="P18" s="3194"/>
      <c r="Q18" s="1810"/>
      <c r="R18" s="771"/>
      <c r="S18" s="772"/>
      <c r="T18" s="771"/>
      <c r="U18" s="772"/>
      <c r="V18" s="771"/>
      <c r="W18" s="772"/>
      <c r="X18" s="1813"/>
      <c r="Y18" s="3196"/>
      <c r="Z18" s="1814"/>
      <c r="AA18" s="1811">
        <v>1</v>
      </c>
      <c r="AB18" s="1811">
        <v>1</v>
      </c>
      <c r="AC18" s="2673">
        <v>1</v>
      </c>
    </row>
    <row r="19" spans="1:29" ht="42.75">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194"/>
      <c r="Q19" s="1810" t="str">
        <f>B19</f>
        <v>公共配套设施</v>
      </c>
      <c r="R19" s="771" t="s">
        <v>17</v>
      </c>
      <c r="S19" s="772">
        <f>F19</f>
        <v>100</v>
      </c>
      <c r="T19" s="771" t="s">
        <v>17</v>
      </c>
      <c r="U19" s="772">
        <f>H19</f>
        <v>100</v>
      </c>
      <c r="V19" s="771" t="s">
        <v>17</v>
      </c>
      <c r="W19" s="772">
        <f>J19</f>
        <v>100</v>
      </c>
      <c r="X19" s="1813"/>
      <c r="Y19" s="3196"/>
      <c r="Z19" s="1814" t="str">
        <f>Q19</f>
        <v>公共配套设施</v>
      </c>
      <c r="AA19" s="1811">
        <f t="shared" si="3"/>
        <v>1</v>
      </c>
      <c r="AB19" s="1811">
        <f t="shared" si="4"/>
        <v>1</v>
      </c>
      <c r="AC19" s="2673">
        <f t="shared" si="5"/>
        <v>1</v>
      </c>
    </row>
    <row r="20" spans="1:29" ht="15">
      <c r="A20" s="427"/>
      <c r="B20" s="631"/>
      <c r="C20" s="2610"/>
      <c r="D20" s="447"/>
      <c r="E20" s="2603"/>
      <c r="F20" s="447"/>
      <c r="G20" s="2604"/>
      <c r="H20" s="447"/>
      <c r="I20" s="2604"/>
      <c r="J20" s="447"/>
      <c r="K20" s="614"/>
      <c r="L20" s="1140"/>
      <c r="M20" s="1131"/>
      <c r="N20" s="1131"/>
      <c r="O20" s="1131"/>
      <c r="P20" s="3194"/>
      <c r="Q20" s="1810"/>
      <c r="R20" s="771"/>
      <c r="S20" s="772"/>
      <c r="T20" s="771"/>
      <c r="U20" s="772"/>
      <c r="V20" s="771"/>
      <c r="W20" s="772"/>
      <c r="X20" s="1813"/>
      <c r="Y20" s="3196"/>
      <c r="Z20" s="1814"/>
      <c r="AA20" s="1811">
        <v>1</v>
      </c>
      <c r="AB20" s="1811">
        <v>1</v>
      </c>
      <c r="AC20" s="2673">
        <v>1</v>
      </c>
    </row>
    <row r="21" spans="1:29" ht="28.5">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194"/>
      <c r="Q21" s="1810" t="str">
        <f>B21</f>
        <v>基础设施水平</v>
      </c>
      <c r="R21" s="771" t="s">
        <v>17</v>
      </c>
      <c r="S21" s="772">
        <f>F21</f>
        <v>100</v>
      </c>
      <c r="T21" s="771" t="s">
        <v>17</v>
      </c>
      <c r="U21" s="772">
        <f>H21</f>
        <v>100</v>
      </c>
      <c r="V21" s="771" t="s">
        <v>17</v>
      </c>
      <c r="W21" s="772">
        <f>J21</f>
        <v>100</v>
      </c>
      <c r="X21" s="1813"/>
      <c r="Y21" s="3196"/>
      <c r="Z21" s="1814" t="str">
        <f>Q21</f>
        <v>基础设施水平</v>
      </c>
      <c r="AA21" s="1811">
        <f t="shared" ref="AA21" si="8">D21/F21</f>
        <v>1</v>
      </c>
      <c r="AB21" s="1811">
        <f t="shared" ref="AB21" si="9">D21/H21</f>
        <v>1</v>
      </c>
      <c r="AC21" s="2673">
        <f t="shared" ref="AC21" si="10">D21/J21</f>
        <v>1</v>
      </c>
    </row>
    <row r="22" spans="1:29" ht="15">
      <c r="A22" s="427"/>
      <c r="B22" s="632"/>
      <c r="C22" s="2675"/>
      <c r="D22" s="447"/>
      <c r="E22" s="446"/>
      <c r="F22" s="447"/>
      <c r="G22" s="2610"/>
      <c r="H22" s="447"/>
      <c r="I22" s="2610"/>
      <c r="J22" s="447"/>
      <c r="K22" s="1383"/>
      <c r="L22" s="1140"/>
      <c r="M22" s="1131"/>
      <c r="N22" s="1131"/>
      <c r="O22" s="1131"/>
      <c r="P22" s="3194"/>
      <c r="Q22" s="1810"/>
      <c r="R22" s="771"/>
      <c r="S22" s="772"/>
      <c r="T22" s="771"/>
      <c r="U22" s="772"/>
      <c r="V22" s="771"/>
      <c r="W22" s="772"/>
      <c r="X22" s="1813"/>
      <c r="Y22" s="3196"/>
      <c r="Z22" s="1814"/>
      <c r="AA22" s="1811">
        <v>1</v>
      </c>
      <c r="AB22" s="1811">
        <v>1</v>
      </c>
      <c r="AC22" s="2673">
        <v>1</v>
      </c>
    </row>
    <row r="23" spans="1:29" ht="42.75">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194"/>
      <c r="Q23" s="1810" t="str">
        <f>B23</f>
        <v>环境质量</v>
      </c>
      <c r="R23" s="771" t="s">
        <v>17</v>
      </c>
      <c r="S23" s="772">
        <f>F23</f>
        <v>100</v>
      </c>
      <c r="T23" s="771" t="s">
        <v>17</v>
      </c>
      <c r="U23" s="772">
        <f>H23</f>
        <v>100</v>
      </c>
      <c r="V23" s="771" t="s">
        <v>17</v>
      </c>
      <c r="W23" s="772">
        <f>J23</f>
        <v>100</v>
      </c>
      <c r="X23" s="1813"/>
      <c r="Y23" s="3196"/>
      <c r="Z23" s="1814" t="str">
        <f>Q23</f>
        <v>环境质量</v>
      </c>
      <c r="AA23" s="1811">
        <f t="shared" si="3"/>
        <v>1</v>
      </c>
      <c r="AB23" s="1811">
        <f t="shared" si="4"/>
        <v>1</v>
      </c>
      <c r="AC23" s="2673">
        <f t="shared" si="5"/>
        <v>1</v>
      </c>
    </row>
    <row r="24" spans="1:29" ht="15">
      <c r="A24" s="427"/>
      <c r="B24" s="632"/>
      <c r="C24" s="2610"/>
      <c r="D24" s="447"/>
      <c r="E24" s="2603"/>
      <c r="F24" s="447"/>
      <c r="G24" s="2604"/>
      <c r="H24" s="447"/>
      <c r="I24" s="2604"/>
      <c r="J24" s="447"/>
      <c r="K24" s="614"/>
      <c r="L24" s="1140"/>
      <c r="M24" s="1131"/>
      <c r="N24" s="1131"/>
      <c r="O24" s="1131"/>
      <c r="P24" s="3194"/>
      <c r="Q24" s="1810"/>
      <c r="R24" s="771"/>
      <c r="S24" s="772"/>
      <c r="T24" s="771"/>
      <c r="U24" s="772"/>
      <c r="V24" s="771"/>
      <c r="W24" s="772"/>
      <c r="X24" s="1813"/>
      <c r="Y24" s="3196"/>
      <c r="Z24" s="1814"/>
      <c r="AA24" s="1811">
        <v>1</v>
      </c>
      <c r="AB24" s="1811">
        <v>1</v>
      </c>
      <c r="AC24" s="2673">
        <v>1</v>
      </c>
    </row>
    <row r="25" spans="1:29" ht="27">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40"/>
      <c r="M25" s="1131"/>
      <c r="N25" s="1131"/>
      <c r="O25" s="1131"/>
      <c r="P25" s="3194"/>
      <c r="Q25" s="1810" t="str">
        <f>B25</f>
        <v>毗邻道路的类型与等级</v>
      </c>
      <c r="R25" s="771" t="s">
        <v>17</v>
      </c>
      <c r="S25" s="772">
        <f>F25</f>
        <v>100</v>
      </c>
      <c r="T25" s="771" t="s">
        <v>17</v>
      </c>
      <c r="U25" s="772">
        <f>H25</f>
        <v>100</v>
      </c>
      <c r="V25" s="771" t="s">
        <v>17</v>
      </c>
      <c r="W25" s="772">
        <f>J25</f>
        <v>100</v>
      </c>
      <c r="X25" s="1813"/>
      <c r="Y25" s="3196"/>
      <c r="Z25" s="1814" t="str">
        <f>Q25</f>
        <v>毗邻道路的类型与等级</v>
      </c>
      <c r="AA25" s="1811">
        <f t="shared" si="3"/>
        <v>1</v>
      </c>
      <c r="AB25" s="1811">
        <f t="shared" si="4"/>
        <v>1</v>
      </c>
      <c r="AC25" s="2673">
        <f t="shared" si="5"/>
        <v>1</v>
      </c>
    </row>
    <row r="26" spans="1:29" ht="15">
      <c r="A26" s="403"/>
      <c r="B26" s="631"/>
      <c r="C26" s="633"/>
      <c r="D26" s="434"/>
      <c r="E26" s="615"/>
      <c r="F26" s="434"/>
      <c r="G26" s="633"/>
      <c r="H26" s="434"/>
      <c r="I26" s="615"/>
      <c r="J26" s="434"/>
      <c r="K26" s="614"/>
      <c r="L26" s="1140"/>
      <c r="M26" s="1131"/>
      <c r="N26" s="1131"/>
      <c r="O26" s="1131"/>
      <c r="P26" s="3194"/>
      <c r="Q26" s="1810"/>
      <c r="R26" s="771"/>
      <c r="S26" s="772"/>
      <c r="T26" s="771"/>
      <c r="U26" s="772"/>
      <c r="V26" s="771"/>
      <c r="W26" s="772"/>
      <c r="X26" s="1813"/>
      <c r="Y26" s="3196"/>
      <c r="Z26" s="1814"/>
      <c r="AA26" s="1811">
        <v>1</v>
      </c>
      <c r="AB26" s="1811">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194"/>
      <c r="Q27" s="1810" t="str">
        <f t="shared" ref="Q27:Q47" si="11">B27</f>
        <v>楼层</v>
      </c>
      <c r="R27" s="771" t="s">
        <v>17</v>
      </c>
      <c r="S27" s="772">
        <f>F27</f>
        <v>100</v>
      </c>
      <c r="T27" s="771" t="s">
        <v>17</v>
      </c>
      <c r="U27" s="772">
        <f>H27</f>
        <v>100</v>
      </c>
      <c r="V27" s="771" t="s">
        <v>17</v>
      </c>
      <c r="W27" s="772">
        <f>J27</f>
        <v>100</v>
      </c>
      <c r="X27" s="1813"/>
      <c r="Y27" s="3196"/>
      <c r="Z27" s="1814" t="str">
        <f>Q27</f>
        <v>楼层</v>
      </c>
      <c r="AA27" s="1811">
        <f t="shared" si="3"/>
        <v>1</v>
      </c>
      <c r="AB27" s="1811">
        <f t="shared" si="4"/>
        <v>1</v>
      </c>
      <c r="AC27" s="2673">
        <f t="shared" si="5"/>
        <v>1</v>
      </c>
    </row>
    <row r="28" spans="1:29" s="116"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194"/>
      <c r="Q28" s="1795" t="str">
        <f t="shared" si="11"/>
        <v>朝向</v>
      </c>
      <c r="R28" s="767" t="s">
        <v>17</v>
      </c>
      <c r="S28" s="768">
        <f>F28</f>
        <v>100</v>
      </c>
      <c r="T28" s="767" t="s">
        <v>17</v>
      </c>
      <c r="U28" s="768">
        <f>H28</f>
        <v>100</v>
      </c>
      <c r="V28" s="767" t="s">
        <v>17</v>
      </c>
      <c r="W28" s="768">
        <f>J28</f>
        <v>100</v>
      </c>
      <c r="X28" s="769"/>
      <c r="Y28" s="3196"/>
      <c r="Z28" s="55" t="str">
        <f>Q28</f>
        <v>朝向</v>
      </c>
      <c r="AA28" s="1811">
        <f>D28/F28</f>
        <v>1</v>
      </c>
      <c r="AB28" s="181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194"/>
      <c r="Q29" s="1810">
        <f t="shared" si="11"/>
        <v>111</v>
      </c>
      <c r="R29" s="771" t="s">
        <v>17</v>
      </c>
      <c r="S29" s="772">
        <f t="shared" ref="S29:S47" si="12">F29</f>
        <v>100</v>
      </c>
      <c r="T29" s="771" t="s">
        <v>17</v>
      </c>
      <c r="U29" s="772">
        <f t="shared" ref="U29:U47" si="13">H29</f>
        <v>100</v>
      </c>
      <c r="V29" s="771" t="s">
        <v>17</v>
      </c>
      <c r="W29" s="772">
        <f t="shared" ref="W29:W47" si="14">J29</f>
        <v>100</v>
      </c>
      <c r="X29" s="1813"/>
      <c r="Y29" s="3196"/>
      <c r="Z29" s="1814">
        <f t="shared" ref="Z29:Z47" si="15">Q29</f>
        <v>111</v>
      </c>
      <c r="AA29" s="1811">
        <f t="shared" si="3"/>
        <v>1</v>
      </c>
      <c r="AB29" s="181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194"/>
      <c r="Q30" s="1810">
        <f t="shared" si="11"/>
        <v>111</v>
      </c>
      <c r="R30" s="771" t="s">
        <v>17</v>
      </c>
      <c r="S30" s="772">
        <f t="shared" si="12"/>
        <v>100</v>
      </c>
      <c r="T30" s="771" t="s">
        <v>17</v>
      </c>
      <c r="U30" s="772">
        <f t="shared" si="13"/>
        <v>100</v>
      </c>
      <c r="V30" s="771" t="s">
        <v>17</v>
      </c>
      <c r="W30" s="772">
        <f t="shared" si="14"/>
        <v>100</v>
      </c>
      <c r="X30" s="1813"/>
      <c r="Y30" s="3196"/>
      <c r="Z30" s="1814">
        <f t="shared" si="15"/>
        <v>111</v>
      </c>
      <c r="AA30" s="1811">
        <f t="shared" si="3"/>
        <v>1</v>
      </c>
      <c r="AB30" s="181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194"/>
      <c r="Q31" s="1810">
        <f t="shared" si="11"/>
        <v>111</v>
      </c>
      <c r="R31" s="771" t="s">
        <v>17</v>
      </c>
      <c r="S31" s="772">
        <f t="shared" si="12"/>
        <v>100</v>
      </c>
      <c r="T31" s="771" t="s">
        <v>17</v>
      </c>
      <c r="U31" s="772">
        <f t="shared" si="13"/>
        <v>100</v>
      </c>
      <c r="V31" s="771" t="s">
        <v>17</v>
      </c>
      <c r="W31" s="772">
        <f t="shared" si="14"/>
        <v>100</v>
      </c>
      <c r="X31" s="1813"/>
      <c r="Y31" s="3196"/>
      <c r="Z31" s="1814">
        <f t="shared" si="15"/>
        <v>111</v>
      </c>
      <c r="AA31" s="1811">
        <f t="shared" si="3"/>
        <v>1</v>
      </c>
      <c r="AB31" s="181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194"/>
      <c r="Q32" s="1810">
        <f t="shared" si="11"/>
        <v>111</v>
      </c>
      <c r="R32" s="771" t="s">
        <v>17</v>
      </c>
      <c r="S32" s="772">
        <f t="shared" si="12"/>
        <v>100</v>
      </c>
      <c r="T32" s="771" t="s">
        <v>17</v>
      </c>
      <c r="U32" s="772">
        <f t="shared" si="13"/>
        <v>100</v>
      </c>
      <c r="V32" s="771" t="s">
        <v>17</v>
      </c>
      <c r="W32" s="772">
        <f t="shared" si="14"/>
        <v>100</v>
      </c>
      <c r="X32" s="1813"/>
      <c r="Y32" s="3196"/>
      <c r="Z32" s="1814">
        <f t="shared" si="15"/>
        <v>111</v>
      </c>
      <c r="AA32" s="1811">
        <f t="shared" si="3"/>
        <v>1</v>
      </c>
      <c r="AB32" s="1811">
        <f t="shared" si="4"/>
        <v>1</v>
      </c>
      <c r="AC32" s="2673">
        <f t="shared" si="5"/>
        <v>1</v>
      </c>
    </row>
    <row r="33" spans="1:29" ht="15">
      <c r="A33" s="439" t="s">
        <v>2557</v>
      </c>
      <c r="B33" s="70"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0"/>
      <c r="M33" s="1131"/>
      <c r="N33" s="1131"/>
      <c r="O33" s="1131"/>
      <c r="P33" s="3197" t="s">
        <v>2559</v>
      </c>
      <c r="Q33" s="1810" t="str">
        <f t="shared" si="11"/>
        <v>建筑类型</v>
      </c>
      <c r="R33" s="771" t="s">
        <v>17</v>
      </c>
      <c r="S33" s="772">
        <f t="shared" si="12"/>
        <v>100</v>
      </c>
      <c r="T33" s="771" t="s">
        <v>17</v>
      </c>
      <c r="U33" s="772">
        <f t="shared" si="13"/>
        <v>100</v>
      </c>
      <c r="V33" s="771" t="s">
        <v>17</v>
      </c>
      <c r="W33" s="772">
        <f t="shared" si="14"/>
        <v>100</v>
      </c>
      <c r="X33" s="1813"/>
      <c r="Y33" s="3200" t="s">
        <v>2559</v>
      </c>
      <c r="Z33" s="1814" t="str">
        <f t="shared" si="15"/>
        <v>建筑类型</v>
      </c>
      <c r="AA33" s="1811">
        <f t="shared" si="3"/>
        <v>1</v>
      </c>
      <c r="AB33" s="1811">
        <f t="shared" si="4"/>
        <v>1</v>
      </c>
      <c r="AC33" s="267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198"/>
      <c r="Q34" s="773" t="str">
        <f t="shared" si="11"/>
        <v>项目建筑规模</v>
      </c>
      <c r="R34" s="774" t="s">
        <v>17</v>
      </c>
      <c r="S34" s="775" t="e">
        <f t="shared" si="12"/>
        <v>#N/A</v>
      </c>
      <c r="T34" s="774" t="s">
        <v>17</v>
      </c>
      <c r="U34" s="775" t="e">
        <f t="shared" si="13"/>
        <v>#N/A</v>
      </c>
      <c r="V34" s="774" t="s">
        <v>17</v>
      </c>
      <c r="W34" s="775" t="e">
        <f t="shared" si="14"/>
        <v>#N/A</v>
      </c>
      <c r="X34" s="776"/>
      <c r="Y34" s="3200"/>
      <c r="Z34" s="777" t="str">
        <f t="shared" si="15"/>
        <v>项目建筑规模</v>
      </c>
      <c r="AA34" s="1811" t="e">
        <f t="shared" si="3"/>
        <v>#N/A</v>
      </c>
      <c r="AB34" s="1811"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198"/>
      <c r="Q35" s="1810" t="str">
        <f t="shared" si="11"/>
        <v>建筑结构</v>
      </c>
      <c r="R35" s="771" t="s">
        <v>17</v>
      </c>
      <c r="S35" s="772">
        <f t="shared" si="12"/>
        <v>100</v>
      </c>
      <c r="T35" s="771" t="s">
        <v>17</v>
      </c>
      <c r="U35" s="772">
        <f t="shared" si="13"/>
        <v>100</v>
      </c>
      <c r="V35" s="771" t="s">
        <v>17</v>
      </c>
      <c r="W35" s="772">
        <f t="shared" si="14"/>
        <v>100</v>
      </c>
      <c r="X35" s="1813"/>
      <c r="Y35" s="3200"/>
      <c r="Z35" s="1814" t="str">
        <f t="shared" si="15"/>
        <v>建筑结构</v>
      </c>
      <c r="AA35" s="1811">
        <f t="shared" si="3"/>
        <v>1</v>
      </c>
      <c r="AB35" s="1811">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198"/>
      <c r="Q36" s="1810" t="str">
        <f t="shared" si="11"/>
        <v>公共部分装修</v>
      </c>
      <c r="R36" s="771" t="s">
        <v>17</v>
      </c>
      <c r="S36" s="772">
        <f t="shared" si="12"/>
        <v>100</v>
      </c>
      <c r="T36" s="771" t="s">
        <v>17</v>
      </c>
      <c r="U36" s="772">
        <f t="shared" si="13"/>
        <v>100</v>
      </c>
      <c r="V36" s="771" t="s">
        <v>17</v>
      </c>
      <c r="W36" s="772">
        <f t="shared" si="14"/>
        <v>100</v>
      </c>
      <c r="X36" s="1813"/>
      <c r="Y36" s="3200"/>
      <c r="Z36" s="1814" t="str">
        <f t="shared" si="15"/>
        <v>公共部分装修</v>
      </c>
      <c r="AA36" s="1811">
        <f t="shared" si="3"/>
        <v>1</v>
      </c>
      <c r="AB36" s="1811">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198"/>
      <c r="Q37" s="1810" t="str">
        <f t="shared" si="11"/>
        <v>成新度</v>
      </c>
      <c r="R37" s="771" t="s">
        <v>17</v>
      </c>
      <c r="S37" s="772" t="e">
        <f t="shared" si="12"/>
        <v>#N/A</v>
      </c>
      <c r="T37" s="771" t="s">
        <v>17</v>
      </c>
      <c r="U37" s="772" t="e">
        <f t="shared" si="13"/>
        <v>#N/A</v>
      </c>
      <c r="V37" s="771" t="s">
        <v>17</v>
      </c>
      <c r="W37" s="772" t="e">
        <f t="shared" si="14"/>
        <v>#N/A</v>
      </c>
      <c r="X37" s="1813"/>
      <c r="Y37" s="3200"/>
      <c r="Z37" s="1814" t="str">
        <f t="shared" si="15"/>
        <v>成新度</v>
      </c>
      <c r="AA37" s="1811" t="e">
        <f t="shared" si="3"/>
        <v>#N/A</v>
      </c>
      <c r="AB37" s="1811" t="e">
        <f t="shared" si="4"/>
        <v>#N/A</v>
      </c>
      <c r="AC37" s="2673"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198"/>
      <c r="Q38" s="1795" t="str">
        <f t="shared" si="11"/>
        <v>写字楼等级</v>
      </c>
      <c r="R38" s="767" t="s">
        <v>17</v>
      </c>
      <c r="S38" s="768">
        <f t="shared" si="12"/>
        <v>100</v>
      </c>
      <c r="T38" s="767" t="s">
        <v>17</v>
      </c>
      <c r="U38" s="768">
        <f t="shared" si="13"/>
        <v>100</v>
      </c>
      <c r="V38" s="767" t="s">
        <v>17</v>
      </c>
      <c r="W38" s="768">
        <f t="shared" si="14"/>
        <v>100</v>
      </c>
      <c r="X38" s="769"/>
      <c r="Y38" s="3200"/>
      <c r="Z38" s="55" t="str">
        <f t="shared" si="15"/>
        <v>写字楼等级</v>
      </c>
      <c r="AA38" s="770">
        <f t="shared" si="3"/>
        <v>1</v>
      </c>
      <c r="AB38" s="770">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198" t="s">
        <v>2559</v>
      </c>
      <c r="Q39" s="1810" t="str">
        <f t="shared" si="11"/>
        <v>物业管理</v>
      </c>
      <c r="R39" s="771" t="s">
        <v>17</v>
      </c>
      <c r="S39" s="772">
        <f t="shared" si="12"/>
        <v>100</v>
      </c>
      <c r="T39" s="771" t="s">
        <v>17</v>
      </c>
      <c r="U39" s="772">
        <f t="shared" si="13"/>
        <v>100</v>
      </c>
      <c r="V39" s="771" t="s">
        <v>17</v>
      </c>
      <c r="W39" s="772">
        <f t="shared" si="14"/>
        <v>100</v>
      </c>
      <c r="X39" s="1813"/>
      <c r="Y39" s="3200" t="s">
        <v>2559</v>
      </c>
      <c r="Z39" s="1814" t="str">
        <f t="shared" si="15"/>
        <v>物业管理</v>
      </c>
      <c r="AA39" s="1811">
        <f t="shared" si="3"/>
        <v>1</v>
      </c>
      <c r="AB39" s="1811">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198"/>
      <c r="Q40" s="1810" t="str">
        <f t="shared" si="11"/>
        <v>市政基础设施</v>
      </c>
      <c r="R40" s="771" t="s">
        <v>17</v>
      </c>
      <c r="S40" s="772">
        <f t="shared" si="12"/>
        <v>100</v>
      </c>
      <c r="T40" s="771" t="s">
        <v>17</v>
      </c>
      <c r="U40" s="772">
        <f t="shared" si="13"/>
        <v>100</v>
      </c>
      <c r="V40" s="771" t="s">
        <v>17</v>
      </c>
      <c r="W40" s="772">
        <f t="shared" si="14"/>
        <v>100</v>
      </c>
      <c r="X40" s="1813"/>
      <c r="Y40" s="3200"/>
      <c r="Z40" s="1814" t="str">
        <f t="shared" si="15"/>
        <v>市政基础设施</v>
      </c>
      <c r="AA40" s="1811">
        <f t="shared" si="3"/>
        <v>1</v>
      </c>
      <c r="AB40" s="1811">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198"/>
      <c r="Q41" s="1810" t="str">
        <f t="shared" si="11"/>
        <v>层高</v>
      </c>
      <c r="R41" s="771" t="s">
        <v>17</v>
      </c>
      <c r="S41" s="772">
        <f t="shared" si="12"/>
        <v>100</v>
      </c>
      <c r="T41" s="771" t="s">
        <v>17</v>
      </c>
      <c r="U41" s="772">
        <f t="shared" si="13"/>
        <v>100</v>
      </c>
      <c r="V41" s="771" t="s">
        <v>17</v>
      </c>
      <c r="W41" s="772">
        <f t="shared" si="14"/>
        <v>100</v>
      </c>
      <c r="X41" s="1813"/>
      <c r="Y41" s="3200"/>
      <c r="Z41" s="1814" t="str">
        <f t="shared" si="15"/>
        <v>层高</v>
      </c>
      <c r="AA41" s="1811">
        <f t="shared" si="3"/>
        <v>1</v>
      </c>
      <c r="AB41" s="1811">
        <f t="shared" si="4"/>
        <v>1</v>
      </c>
      <c r="AC41" s="2673">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198"/>
      <c r="Q42" s="773" t="str">
        <f t="shared" si="11"/>
        <v>单套建筑面积</v>
      </c>
      <c r="R42" s="774" t="s">
        <v>17</v>
      </c>
      <c r="S42" s="775">
        <f t="shared" si="12"/>
        <v>100</v>
      </c>
      <c r="T42" s="774" t="s">
        <v>17</v>
      </c>
      <c r="U42" s="775">
        <f t="shared" si="13"/>
        <v>100</v>
      </c>
      <c r="V42" s="774" t="s">
        <v>17</v>
      </c>
      <c r="W42" s="775">
        <f t="shared" si="14"/>
        <v>100</v>
      </c>
      <c r="X42" s="776"/>
      <c r="Y42" s="3200"/>
      <c r="Z42" s="777" t="str">
        <f t="shared" si="15"/>
        <v>单套建筑面积</v>
      </c>
      <c r="AA42" s="1811">
        <f t="shared" si="3"/>
        <v>1</v>
      </c>
      <c r="AB42" s="1811">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198"/>
      <c r="Q43" s="1810" t="str">
        <f t="shared" si="11"/>
        <v>内部装修</v>
      </c>
      <c r="R43" s="771" t="s">
        <v>17</v>
      </c>
      <c r="S43" s="772">
        <f t="shared" si="12"/>
        <v>100</v>
      </c>
      <c r="T43" s="771" t="s">
        <v>17</v>
      </c>
      <c r="U43" s="772">
        <f t="shared" si="13"/>
        <v>100</v>
      </c>
      <c r="V43" s="771" t="s">
        <v>17</v>
      </c>
      <c r="W43" s="772">
        <f t="shared" si="14"/>
        <v>100</v>
      </c>
      <c r="X43" s="1813"/>
      <c r="Y43" s="3200"/>
      <c r="Z43" s="1814" t="str">
        <f t="shared" si="15"/>
        <v>内部装修</v>
      </c>
      <c r="AA43" s="1811">
        <f t="shared" si="3"/>
        <v>1</v>
      </c>
      <c r="AB43" s="1811">
        <f t="shared" si="4"/>
        <v>1</v>
      </c>
      <c r="AC43" s="2673">
        <f t="shared" si="5"/>
        <v>1</v>
      </c>
    </row>
    <row r="44" spans="1:29" ht="15">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0"/>
      <c r="M44" s="1131"/>
      <c r="N44" s="1131"/>
      <c r="O44" s="1131"/>
      <c r="P44" s="3198"/>
      <c r="Q44" s="1810" t="str">
        <f t="shared" si="11"/>
        <v>内部装修维护情况</v>
      </c>
      <c r="R44" s="771" t="s">
        <v>17</v>
      </c>
      <c r="S44" s="772">
        <f t="shared" si="12"/>
        <v>100</v>
      </c>
      <c r="T44" s="771" t="s">
        <v>17</v>
      </c>
      <c r="U44" s="772">
        <f t="shared" si="13"/>
        <v>100</v>
      </c>
      <c r="V44" s="771" t="s">
        <v>17</v>
      </c>
      <c r="W44" s="772">
        <f t="shared" si="14"/>
        <v>100</v>
      </c>
      <c r="X44" s="1813"/>
      <c r="Y44" s="3200"/>
      <c r="Z44" s="1814" t="str">
        <f t="shared" si="15"/>
        <v>内部装修维护情况</v>
      </c>
      <c r="AA44" s="1811">
        <f t="shared" si="3"/>
        <v>1</v>
      </c>
      <c r="AB44" s="1811">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198"/>
      <c r="Q45" s="1795">
        <f t="shared" si="11"/>
        <v>111</v>
      </c>
      <c r="R45" s="767" t="s">
        <v>17</v>
      </c>
      <c r="S45" s="768">
        <f t="shared" si="12"/>
        <v>100</v>
      </c>
      <c r="T45" s="767" t="s">
        <v>17</v>
      </c>
      <c r="U45" s="768">
        <f t="shared" si="13"/>
        <v>100</v>
      </c>
      <c r="V45" s="767" t="s">
        <v>17</v>
      </c>
      <c r="W45" s="768">
        <f t="shared" si="14"/>
        <v>100</v>
      </c>
      <c r="X45" s="769"/>
      <c r="Y45" s="3200"/>
      <c r="Z45" s="55">
        <f t="shared" si="15"/>
        <v>111</v>
      </c>
      <c r="AA45" s="770">
        <f t="shared" si="3"/>
        <v>1</v>
      </c>
      <c r="AB45" s="770">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198"/>
      <c r="Q46" s="1810">
        <f t="shared" si="11"/>
        <v>111</v>
      </c>
      <c r="R46" s="771" t="s">
        <v>17</v>
      </c>
      <c r="S46" s="772">
        <f t="shared" si="12"/>
        <v>100</v>
      </c>
      <c r="T46" s="771" t="s">
        <v>17</v>
      </c>
      <c r="U46" s="772">
        <f t="shared" si="13"/>
        <v>100</v>
      </c>
      <c r="V46" s="771" t="s">
        <v>17</v>
      </c>
      <c r="W46" s="772">
        <f t="shared" si="14"/>
        <v>100</v>
      </c>
      <c r="X46" s="1813"/>
      <c r="Y46" s="3200"/>
      <c r="Z46" s="1814">
        <f t="shared" si="15"/>
        <v>111</v>
      </c>
      <c r="AA46" s="1811">
        <f t="shared" si="3"/>
        <v>1</v>
      </c>
      <c r="AB46" s="1811">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199"/>
      <c r="Q47" s="1810">
        <f t="shared" si="11"/>
        <v>111</v>
      </c>
      <c r="R47" s="771" t="s">
        <v>17</v>
      </c>
      <c r="S47" s="772">
        <f t="shared" si="12"/>
        <v>100</v>
      </c>
      <c r="T47" s="771" t="s">
        <v>17</v>
      </c>
      <c r="U47" s="772">
        <f t="shared" si="13"/>
        <v>100</v>
      </c>
      <c r="V47" s="771" t="s">
        <v>17</v>
      </c>
      <c r="W47" s="772">
        <f t="shared" si="14"/>
        <v>100</v>
      </c>
      <c r="X47" s="1813"/>
      <c r="Y47" s="3201"/>
      <c r="Z47" s="1814">
        <f t="shared" si="15"/>
        <v>111</v>
      </c>
      <c r="AA47" s="1811">
        <f t="shared" si="3"/>
        <v>1</v>
      </c>
      <c r="AB47" s="1811">
        <f t="shared" si="4"/>
        <v>1</v>
      </c>
      <c r="AC47" s="2673">
        <f t="shared" si="5"/>
        <v>1</v>
      </c>
    </row>
    <row r="48" spans="1:29" ht="15">
      <c r="A48" s="478" t="s">
        <v>2571</v>
      </c>
      <c r="B48" s="479"/>
      <c r="C48" s="1407" t="s">
        <v>1</v>
      </c>
      <c r="D48" s="1408"/>
      <c r="E48" s="1409"/>
      <c r="F48" s="1410"/>
      <c r="G48" s="1411"/>
      <c r="H48" s="1412"/>
      <c r="I48" s="1409"/>
      <c r="J48" s="484"/>
      <c r="K48" s="780"/>
      <c r="L48" s="1143"/>
      <c r="M48" s="1131"/>
      <c r="N48" s="1131"/>
      <c r="O48" s="1131"/>
      <c r="P48" s="3179" t="str">
        <f>A48</f>
        <v>成交单价（元/平方米）</v>
      </c>
      <c r="Q48" s="3202"/>
      <c r="R48" s="3203">
        <f>E48</f>
        <v>0</v>
      </c>
      <c r="S48" s="3203"/>
      <c r="T48" s="3203">
        <f>G48</f>
        <v>0</v>
      </c>
      <c r="U48" s="3203"/>
      <c r="V48" s="3203">
        <f>I48</f>
        <v>0</v>
      </c>
      <c r="W48" s="3203"/>
      <c r="X48" s="445"/>
      <c r="Y48" s="778"/>
      <c r="Z48" s="445"/>
      <c r="AA48" s="445"/>
      <c r="AB48" s="445"/>
      <c r="AC48" s="629"/>
    </row>
    <row r="49" spans="1:29" ht="15.75" thickBot="1">
      <c r="A49" s="485" t="s">
        <v>2663</v>
      </c>
      <c r="B49" s="486"/>
      <c r="C49" s="1413" t="e">
        <f>R50</f>
        <v>#DIV/0!</v>
      </c>
      <c r="D49" s="1414"/>
      <c r="E49" s="1415" t="e">
        <f>R49</f>
        <v>#DIV/0!</v>
      </c>
      <c r="F49" s="1415"/>
      <c r="G49" s="1413" t="e">
        <f>T49</f>
        <v>#DIV/0!</v>
      </c>
      <c r="H49" s="1414"/>
      <c r="I49" s="1415" t="e">
        <f>V49</f>
        <v>#DIV/0!</v>
      </c>
      <c r="J49" s="488"/>
      <c r="K49" s="781"/>
      <c r="L49" s="1143"/>
      <c r="M49" s="1131"/>
      <c r="N49" s="1131"/>
      <c r="O49" s="1131"/>
      <c r="P49" s="3179"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5"/>
      <c r="Y49" s="445"/>
      <c r="Z49" s="445"/>
      <c r="AA49" s="445"/>
      <c r="AB49" s="445"/>
      <c r="AC49" s="629"/>
    </row>
    <row r="50" spans="1:29" ht="15.75" thickBot="1">
      <c r="A50" s="491" t="s">
        <v>2664</v>
      </c>
      <c r="B50" s="492"/>
      <c r="C50" s="1417" t="e">
        <f>R50</f>
        <v>#DIV/0!</v>
      </c>
      <c r="D50" s="1417"/>
      <c r="E50" s="1417"/>
      <c r="F50" s="1417"/>
      <c r="G50" s="1417"/>
      <c r="H50" s="1417"/>
      <c r="I50" s="1417"/>
      <c r="J50" s="493"/>
      <c r="K50" s="782"/>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2668</v>
      </c>
      <c r="B58" s="756"/>
      <c r="C58" s="761"/>
      <c r="D58" s="761"/>
      <c r="E58" s="761"/>
      <c r="F58" s="762"/>
      <c r="G58" s="762"/>
      <c r="H58" s="761"/>
      <c r="I58" s="761"/>
      <c r="J58" s="761"/>
      <c r="K58" s="763"/>
      <c r="L58" s="1161"/>
      <c r="M58" s="1159"/>
      <c r="N58" s="1159"/>
      <c r="O58" s="1159"/>
      <c r="P58" s="2680"/>
      <c r="Q58" s="503"/>
    </row>
    <row r="59" spans="1:29" s="507" customFormat="1" ht="15">
      <c r="A59" s="504" t="s">
        <v>2542</v>
      </c>
      <c r="B59" s="505"/>
      <c r="C59" s="1574" t="str">
        <f>YEAR(C7)&amp;"-"&amp;MONTH(C7)</f>
        <v>2018-11</v>
      </c>
      <c r="D59" s="1575">
        <f>EDATE(C59,-1)</f>
        <v>43374</v>
      </c>
      <c r="E59" s="1575">
        <f>EDATE(D59,-1)</f>
        <v>43344</v>
      </c>
      <c r="F59" s="1575">
        <f t="shared" ref="F59:O59" si="16">EDATE(E59,-1)</f>
        <v>43313</v>
      </c>
      <c r="G59" s="1575">
        <f t="shared" si="16"/>
        <v>43282</v>
      </c>
      <c r="H59" s="1575">
        <f t="shared" si="16"/>
        <v>43252</v>
      </c>
      <c r="I59" s="1575">
        <f t="shared" si="16"/>
        <v>43221</v>
      </c>
      <c r="J59" s="1575">
        <f t="shared" si="16"/>
        <v>43191</v>
      </c>
      <c r="K59" s="1575">
        <f t="shared" si="16"/>
        <v>43160</v>
      </c>
      <c r="L59" s="1575">
        <f t="shared" si="16"/>
        <v>43132</v>
      </c>
      <c r="M59" s="1575">
        <f t="shared" si="16"/>
        <v>43101</v>
      </c>
      <c r="N59" s="1575">
        <f t="shared" si="16"/>
        <v>43070</v>
      </c>
      <c r="O59" s="1575">
        <f t="shared" si="16"/>
        <v>43040</v>
      </c>
      <c r="P59" s="1571"/>
    </row>
    <row r="60" spans="1:29" s="116" customFormat="1" ht="15">
      <c r="A60" s="508"/>
      <c r="B60" s="509"/>
      <c r="C60" s="1573">
        <v>100</v>
      </c>
      <c r="D60" s="511"/>
      <c r="E60" s="511"/>
      <c r="F60" s="511"/>
      <c r="G60" s="511"/>
      <c r="H60" s="511"/>
      <c r="I60" s="511"/>
      <c r="J60" s="511"/>
      <c r="K60" s="511"/>
      <c r="L60" s="511"/>
      <c r="M60" s="512"/>
      <c r="N60" s="511"/>
      <c r="O60" s="512"/>
      <c r="P60" s="2681"/>
    </row>
    <row r="61" spans="1:29" s="116" customFormat="1" ht="15.75" thickBot="1">
      <c r="A61" s="514" t="s">
        <v>2579</v>
      </c>
      <c r="B61" s="515"/>
      <c r="C61" s="516"/>
      <c r="D61" s="517"/>
      <c r="E61" s="517"/>
      <c r="F61" s="517"/>
      <c r="G61" s="517"/>
      <c r="H61" s="517"/>
      <c r="I61" s="517"/>
      <c r="J61" s="517"/>
      <c r="K61" s="517"/>
      <c r="L61" s="517"/>
      <c r="M61" s="518"/>
      <c r="N61" s="517"/>
      <c r="O61" s="518"/>
      <c r="P61" s="2681"/>
      <c r="Q61" s="503"/>
    </row>
    <row r="62" spans="1:29" s="116" customFormat="1" ht="15">
      <c r="A62" s="520" t="s">
        <v>2544</v>
      </c>
      <c r="B62" s="509"/>
      <c r="C62" s="521" t="s">
        <v>2646</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2582</v>
      </c>
      <c r="B64" s="527" t="s">
        <v>2548</v>
      </c>
      <c r="C64" s="528">
        <f>C9</f>
        <v>0</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2"/>
      <c r="O66" s="1152"/>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3"/>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c r="D69" s="548"/>
      <c r="E69" s="548"/>
      <c r="F69" s="548"/>
      <c r="G69" s="548"/>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2"/>
      <c r="O77" s="1152"/>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2"/>
      <c r="O79" s="1152"/>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2"/>
      <c r="O81" s="1152"/>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2"/>
      <c r="N83" s="1153"/>
      <c r="O83" s="1153"/>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2"/>
      <c r="O85" s="1152"/>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3"/>
      <c r="Q86" s="503"/>
    </row>
    <row r="87" spans="1:17" s="116" customFormat="1" ht="27.75" thickTop="1">
      <c r="A87" s="578"/>
      <c r="B87" s="537" t="s">
        <v>2693</v>
      </c>
      <c r="C87" s="553"/>
      <c r="D87" s="553"/>
      <c r="E87" s="553"/>
      <c r="F87" s="553"/>
      <c r="G87" s="553"/>
      <c r="H87" s="553"/>
      <c r="I87" s="553"/>
      <c r="J87" s="553"/>
      <c r="K87" s="553"/>
      <c r="L87" s="579"/>
      <c r="M87" s="580"/>
      <c r="N87" s="1151"/>
      <c r="O87" s="1151"/>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3"/>
      <c r="Q88" s="503"/>
    </row>
    <row r="89" spans="1:17" s="116" customFormat="1" ht="15.75" thickTop="1">
      <c r="A89" s="578"/>
      <c r="B89" s="537" t="str">
        <f>B27</f>
        <v>楼层</v>
      </c>
      <c r="C89" s="553"/>
      <c r="D89" s="553"/>
      <c r="E89" s="553"/>
      <c r="F89" s="2634"/>
      <c r="G89" s="553"/>
      <c r="H89" s="553"/>
      <c r="I89" s="553"/>
      <c r="J89" s="553"/>
      <c r="K89" s="553"/>
      <c r="L89" s="553"/>
      <c r="M89" s="580"/>
      <c r="N89" s="1151"/>
      <c r="O89" s="1151"/>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2557</v>
      </c>
      <c r="B101" s="527" t="s">
        <v>2606</v>
      </c>
      <c r="C101" s="529"/>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3"/>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3"/>
      <c r="Q103" s="503"/>
    </row>
    <row r="104" spans="1:17" s="470" customFormat="1">
      <c r="A104" s="592"/>
      <c r="B104" s="593"/>
      <c r="C104" s="594"/>
      <c r="D104" s="594"/>
      <c r="E104" s="594"/>
      <c r="F104" s="594"/>
      <c r="G104" s="594"/>
      <c r="H104" s="594"/>
      <c r="I104" s="594"/>
      <c r="J104" s="595"/>
      <c r="K104" s="595"/>
      <c r="L104" s="596"/>
      <c r="M104" s="597"/>
      <c r="N104" s="1154"/>
      <c r="O104" s="1154"/>
      <c r="P104" s="2684"/>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4"/>
      <c r="Q105" s="558"/>
    </row>
    <row r="106" spans="1:17" ht="15" thickTop="1">
      <c r="A106" s="598"/>
      <c r="B106" s="537" t="s">
        <v>2608</v>
      </c>
      <c r="C106" s="553"/>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3"/>
      <c r="Q107" s="503"/>
    </row>
    <row r="108" spans="1:17" ht="15" thickTop="1">
      <c r="A108" s="598"/>
      <c r="B108" s="537" t="s">
        <v>2610</v>
      </c>
      <c r="C108" s="553"/>
      <c r="D108" s="553"/>
      <c r="E108" s="553"/>
      <c r="F108" s="582"/>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3"/>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3"/>
      <c r="Q112" s="503"/>
    </row>
    <row r="113" spans="1:17" s="470" customFormat="1" ht="15" thickTop="1">
      <c r="A113" s="592"/>
      <c r="B113" s="537" t="s">
        <v>2694</v>
      </c>
      <c r="C113" s="553"/>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4"/>
      <c r="Q114" s="558"/>
    </row>
    <row r="115" spans="1:17" ht="15" thickTop="1">
      <c r="A115" s="598"/>
      <c r="B115" s="537" t="s">
        <v>2611</v>
      </c>
      <c r="C115" s="553"/>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3"/>
      <c r="Q116" s="503"/>
    </row>
    <row r="117" spans="1:17" ht="15" thickTop="1">
      <c r="A117" s="598"/>
      <c r="B117" s="537" t="s">
        <v>2612</v>
      </c>
      <c r="C117" s="553"/>
      <c r="D117" s="553"/>
      <c r="E117" s="553"/>
      <c r="F117" s="553"/>
      <c r="G117" s="553"/>
      <c r="H117" s="582"/>
      <c r="I117" s="582"/>
      <c r="J117" s="582"/>
      <c r="K117" s="583"/>
      <c r="L117" s="584"/>
      <c r="M117" s="585"/>
      <c r="N117" s="1152"/>
      <c r="O117" s="1152"/>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3"/>
      <c r="Q118" s="503"/>
    </row>
    <row r="119" spans="1:17" ht="15" thickTop="1">
      <c r="A119" s="598"/>
      <c r="B119" s="635" t="s">
        <v>2695</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3"/>
      <c r="Q120" s="503"/>
    </row>
    <row r="121" spans="1:17" s="470" customFormat="1" ht="15" thickTop="1">
      <c r="A121" s="592"/>
      <c r="B121" s="537" t="s">
        <v>2678</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2614</v>
      </c>
      <c r="C123" s="553"/>
      <c r="D123" s="553"/>
      <c r="E123" s="553"/>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2"/>
      <c r="O125" s="1152"/>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68" t="s">
        <v>2696</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8" t="e">
        <f ca="1">IF(C2="——",ROUND(C43*D3/10000,0),ROUND(C43*D3/10000,0)-D2)</f>
        <v>#DIV/0!</v>
      </c>
      <c r="C2" s="2585"/>
      <c r="D2" s="1124" t="e">
        <f ca="1">SUMIF(INDIRECT("'"&amp;F2&amp;"'"&amp;"!A:A"),"承租人权益价值",INDIRECT("'"&amp;F2&amp;"'"&amp;"!c:c"))</f>
        <v>#REF!</v>
      </c>
      <c r="E2" s="2586" t="s">
        <v>2322</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2323</v>
      </c>
      <c r="B3" s="608" t="e">
        <f ca="1">IF(C2="——",C43,ROUND(B2*10000/D3,0))</f>
        <v>#DIV/0!</v>
      </c>
      <c r="C3" s="399" t="s">
        <v>2638</v>
      </c>
      <c r="D3" s="398">
        <f>IF(D1="",'数据-汇总表'!E3,SUMIF('数据-汇总表'!$C19:$C33,D1,'数据-汇总表'!$E19:$E33))</f>
        <v>31156.999999999996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2" t="s">
        <v>2642</v>
      </c>
      <c r="AC4" s="3161" t="s">
        <v>2643</v>
      </c>
    </row>
    <row r="5" spans="1:29"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2"/>
      <c r="AC5" s="3162"/>
    </row>
    <row r="6" spans="1:29" ht="15.75" thickBot="1">
      <c r="A6" s="405"/>
      <c r="B6" s="406"/>
      <c r="C6" s="3175" t="s">
        <v>2540</v>
      </c>
      <c r="D6" s="3176"/>
      <c r="E6" s="3177" t="s">
        <v>2540</v>
      </c>
      <c r="F6" s="3178"/>
      <c r="G6" s="3175" t="s">
        <v>2540</v>
      </c>
      <c r="H6" s="3176"/>
      <c r="I6" s="3175" t="s">
        <v>2540</v>
      </c>
      <c r="J6" s="3176"/>
      <c r="K6" s="609" t="s">
        <v>2541</v>
      </c>
      <c r="L6" s="1130"/>
      <c r="M6" s="1131"/>
      <c r="N6" s="1131"/>
      <c r="O6" s="1131"/>
      <c r="P6" s="3188"/>
      <c r="Q6" s="3189"/>
      <c r="R6" s="3169"/>
      <c r="S6" s="3170"/>
      <c r="T6" s="3190"/>
      <c r="U6" s="3191"/>
      <c r="V6" s="3164"/>
      <c r="W6" s="3164"/>
      <c r="X6" s="1813"/>
      <c r="Y6" s="3190"/>
      <c r="Z6" s="3191"/>
      <c r="AA6" s="3163"/>
      <c r="AB6" s="3163"/>
      <c r="AC6" s="3163"/>
    </row>
    <row r="7" spans="1:29" s="116" customFormat="1" ht="15.75" thickBot="1">
      <c r="A7" s="407" t="s">
        <v>2542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65" t="s">
        <v>2543</v>
      </c>
      <c r="Q7" s="3192"/>
      <c r="R7" s="767" t="s">
        <v>17</v>
      </c>
      <c r="S7" s="768">
        <f t="shared" ref="S7:S15" si="0">F7</f>
        <v>0</v>
      </c>
      <c r="T7" s="767" t="s">
        <v>17</v>
      </c>
      <c r="U7" s="768">
        <f t="shared" ref="U7:U15" si="1">H7</f>
        <v>0</v>
      </c>
      <c r="V7" s="767" t="s">
        <v>17</v>
      </c>
      <c r="W7" s="768">
        <f t="shared" ref="W7:W15" si="2">J7</f>
        <v>0</v>
      </c>
      <c r="X7" s="769"/>
      <c r="Y7" s="3165" t="s">
        <v>2543</v>
      </c>
      <c r="Z7" s="3166"/>
      <c r="AA7" s="770" t="e">
        <f>D7/F7</f>
        <v>#DIV/0!</v>
      </c>
      <c r="AB7" s="770" t="e">
        <f>D7/H7</f>
        <v>#DIV/0!</v>
      </c>
      <c r="AC7" s="770"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65" t="s">
        <v>2546</v>
      </c>
      <c r="Q8" s="3166"/>
      <c r="R8" s="767" t="s">
        <v>17</v>
      </c>
      <c r="S8" s="768">
        <f t="shared" si="0"/>
        <v>0</v>
      </c>
      <c r="T8" s="767" t="s">
        <v>17</v>
      </c>
      <c r="U8" s="768">
        <f t="shared" si="1"/>
        <v>0</v>
      </c>
      <c r="V8" s="767" t="s">
        <v>17</v>
      </c>
      <c r="W8" s="768">
        <f t="shared" si="2"/>
        <v>0</v>
      </c>
      <c r="X8" s="769"/>
      <c r="Y8" s="3165" t="s">
        <v>2546</v>
      </c>
      <c r="Z8" s="3166"/>
      <c r="AA8" s="770" t="e">
        <f t="shared" ref="AA8:AA40" si="3">D8/F8</f>
        <v>#DIV/0!</v>
      </c>
      <c r="AB8" s="770" t="e">
        <f t="shared" ref="AB8:AB40" si="4">D8/H8</f>
        <v>#DIV/0!</v>
      </c>
      <c r="AC8" s="770"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02"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770">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02"/>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02"/>
      <c r="Q11" s="1795"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02"/>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02"/>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02"/>
      <c r="Q14" s="1795">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57">
      <c r="A15" s="439" t="s">
        <v>2553</v>
      </c>
      <c r="B15" s="68"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95" t="s">
        <v>2554</v>
      </c>
      <c r="Q15" s="1810" t="str">
        <f t="shared" si="6"/>
        <v>产业集聚程度</v>
      </c>
      <c r="R15" s="771" t="s">
        <v>17</v>
      </c>
      <c r="S15" s="772">
        <f t="shared" si="0"/>
        <v>100</v>
      </c>
      <c r="T15" s="771" t="s">
        <v>17</v>
      </c>
      <c r="U15" s="772">
        <f t="shared" si="1"/>
        <v>100</v>
      </c>
      <c r="V15" s="771" t="s">
        <v>17</v>
      </c>
      <c r="W15" s="772">
        <f t="shared" si="2"/>
        <v>100</v>
      </c>
      <c r="X15" s="1813"/>
      <c r="Y15" s="3195"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196"/>
      <c r="Q16" s="1810"/>
      <c r="R16" s="771"/>
      <c r="S16" s="772"/>
      <c r="T16" s="771"/>
      <c r="U16" s="772"/>
      <c r="V16" s="771"/>
      <c r="W16" s="772"/>
      <c r="X16" s="1813"/>
      <c r="Y16" s="3196"/>
      <c r="Z16" s="1814"/>
      <c r="AA16" s="1811">
        <v>1</v>
      </c>
      <c r="AB16" s="1811">
        <v>1</v>
      </c>
      <c r="AC16" s="1811">
        <v>1</v>
      </c>
    </row>
    <row r="17" spans="1:29" ht="85.5">
      <c r="A17" s="427"/>
      <c r="B17" s="450" t="s">
        <v>2089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96"/>
      <c r="Q17" s="1810" t="str">
        <f>B17</f>
        <v>交通便捷度</v>
      </c>
      <c r="R17" s="771" t="s">
        <v>17</v>
      </c>
      <c r="S17" s="772">
        <f>F17</f>
        <v>100</v>
      </c>
      <c r="T17" s="771" t="s">
        <v>17</v>
      </c>
      <c r="U17" s="772">
        <f>H17</f>
        <v>100</v>
      </c>
      <c r="V17" s="771" t="s">
        <v>17</v>
      </c>
      <c r="W17" s="772">
        <f>J17</f>
        <v>100</v>
      </c>
      <c r="X17" s="1813"/>
      <c r="Y17" s="3196"/>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0"/>
      <c r="M18" s="1131"/>
      <c r="N18" s="1131"/>
      <c r="O18" s="1139"/>
      <c r="P18" s="3196"/>
      <c r="Q18" s="1810"/>
      <c r="R18" s="771"/>
      <c r="S18" s="772"/>
      <c r="T18" s="771"/>
      <c r="U18" s="772"/>
      <c r="V18" s="771"/>
      <c r="W18" s="772"/>
      <c r="X18" s="1813"/>
      <c r="Y18" s="3196"/>
      <c r="Z18" s="1814"/>
      <c r="AA18" s="1811">
        <v>1</v>
      </c>
      <c r="AB18" s="1811">
        <v>1</v>
      </c>
      <c r="AC18" s="1811">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96"/>
      <c r="Q19" s="1810" t="str">
        <f>B19</f>
        <v>公共配套设施</v>
      </c>
      <c r="R19" s="771" t="s">
        <v>17</v>
      </c>
      <c r="S19" s="772">
        <f>F19</f>
        <v>100</v>
      </c>
      <c r="T19" s="771" t="s">
        <v>17</v>
      </c>
      <c r="U19" s="772">
        <f>H19</f>
        <v>100</v>
      </c>
      <c r="V19" s="771" t="s">
        <v>17</v>
      </c>
      <c r="W19" s="772">
        <f>J19</f>
        <v>100</v>
      </c>
      <c r="X19" s="1813"/>
      <c r="Y19" s="3196"/>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0"/>
      <c r="M20" s="1131"/>
      <c r="N20" s="1131"/>
      <c r="O20" s="1139"/>
      <c r="P20" s="3196"/>
      <c r="Q20" s="1810"/>
      <c r="R20" s="771"/>
      <c r="S20" s="772"/>
      <c r="T20" s="771"/>
      <c r="U20" s="772"/>
      <c r="V20" s="771"/>
      <c r="W20" s="772"/>
      <c r="X20" s="1813"/>
      <c r="Y20" s="3196"/>
      <c r="Z20" s="1814"/>
      <c r="AA20" s="1811">
        <v>1</v>
      </c>
      <c r="AB20" s="1811">
        <v>1</v>
      </c>
      <c r="AC20" s="1811">
        <v>1</v>
      </c>
    </row>
    <row r="21" spans="1:29" ht="28.5">
      <c r="A21" s="427"/>
      <c r="B21" s="1384"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96"/>
      <c r="Q21" s="1810" t="str">
        <f>B21</f>
        <v>基础设施水平</v>
      </c>
      <c r="R21" s="771" t="s">
        <v>17</v>
      </c>
      <c r="S21" s="772">
        <f>F21</f>
        <v>100</v>
      </c>
      <c r="T21" s="771" t="s">
        <v>17</v>
      </c>
      <c r="U21" s="772">
        <f>H21</f>
        <v>100</v>
      </c>
      <c r="V21" s="771" t="s">
        <v>17</v>
      </c>
      <c r="W21" s="772">
        <f>J21</f>
        <v>100</v>
      </c>
      <c r="X21" s="1813"/>
      <c r="Y21" s="3196"/>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0"/>
      <c r="M22" s="1131"/>
      <c r="N22" s="1131"/>
      <c r="O22" s="1139"/>
      <c r="P22" s="3196"/>
      <c r="Q22" s="1810"/>
      <c r="R22" s="771"/>
      <c r="S22" s="772"/>
      <c r="T22" s="771"/>
      <c r="U22" s="772"/>
      <c r="V22" s="771"/>
      <c r="W22" s="772"/>
      <c r="X22" s="1813"/>
      <c r="Y22" s="3196"/>
      <c r="Z22" s="1814"/>
      <c r="AA22" s="1811">
        <v>1</v>
      </c>
      <c r="AB22" s="1811">
        <v>1</v>
      </c>
      <c r="AC22" s="1811">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96"/>
      <c r="Q23" s="1810" t="str">
        <f>B23</f>
        <v>环境质量</v>
      </c>
      <c r="R23" s="771" t="s">
        <v>17</v>
      </c>
      <c r="S23" s="772">
        <f>F23</f>
        <v>100</v>
      </c>
      <c r="T23" s="771" t="s">
        <v>17</v>
      </c>
      <c r="U23" s="772">
        <f>H23</f>
        <v>100</v>
      </c>
      <c r="V23" s="771" t="s">
        <v>17</v>
      </c>
      <c r="W23" s="772">
        <f>J23</f>
        <v>100</v>
      </c>
      <c r="X23" s="1813"/>
      <c r="Y23" s="3196"/>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0"/>
      <c r="M24" s="1131"/>
      <c r="N24" s="1131"/>
      <c r="O24" s="1139"/>
      <c r="P24" s="3196"/>
      <c r="Q24" s="1810"/>
      <c r="R24" s="771"/>
      <c r="S24" s="772"/>
      <c r="T24" s="771"/>
      <c r="U24" s="772"/>
      <c r="V24" s="771"/>
      <c r="W24" s="772"/>
      <c r="X24" s="1813"/>
      <c r="Y24" s="3196"/>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96"/>
      <c r="Q25" s="1810">
        <f>B25</f>
        <v>111</v>
      </c>
      <c r="R25" s="771" t="s">
        <v>17</v>
      </c>
      <c r="S25" s="772">
        <f>F25</f>
        <v>100</v>
      </c>
      <c r="T25" s="771" t="s">
        <v>17</v>
      </c>
      <c r="U25" s="772">
        <f>H25</f>
        <v>100</v>
      </c>
      <c r="V25" s="771" t="s">
        <v>17</v>
      </c>
      <c r="W25" s="772">
        <f>J25</f>
        <v>100</v>
      </c>
      <c r="X25" s="1813"/>
      <c r="Y25" s="3196"/>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96"/>
      <c r="Q26" s="1810">
        <f t="shared" ref="Q26:Q40" si="11">B26</f>
        <v>111</v>
      </c>
      <c r="R26" s="771" t="s">
        <v>17</v>
      </c>
      <c r="S26" s="772">
        <f>F26</f>
        <v>100</v>
      </c>
      <c r="T26" s="771" t="s">
        <v>17</v>
      </c>
      <c r="U26" s="772">
        <f>H26</f>
        <v>100</v>
      </c>
      <c r="V26" s="771" t="s">
        <v>17</v>
      </c>
      <c r="W26" s="772">
        <f>J26</f>
        <v>100</v>
      </c>
      <c r="X26" s="1813"/>
      <c r="Y26" s="3196"/>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96"/>
      <c r="Q27" s="1795">
        <f t="shared" si="11"/>
        <v>111</v>
      </c>
      <c r="R27" s="767" t="s">
        <v>17</v>
      </c>
      <c r="S27" s="768">
        <f>F27</f>
        <v>100</v>
      </c>
      <c r="T27" s="767" t="s">
        <v>17</v>
      </c>
      <c r="U27" s="768">
        <f>H27</f>
        <v>100</v>
      </c>
      <c r="V27" s="767" t="s">
        <v>17</v>
      </c>
      <c r="W27" s="768">
        <f>J27</f>
        <v>100</v>
      </c>
      <c r="X27" s="769"/>
      <c r="Y27" s="3196"/>
      <c r="Z27" s="55">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96"/>
      <c r="Q28" s="1810">
        <f t="shared" si="11"/>
        <v>111</v>
      </c>
      <c r="R28" s="771" t="s">
        <v>17</v>
      </c>
      <c r="S28" s="772">
        <f t="shared" ref="S28:S40" si="12">F28</f>
        <v>100</v>
      </c>
      <c r="T28" s="771" t="s">
        <v>17</v>
      </c>
      <c r="U28" s="772">
        <f t="shared" ref="U28:U40" si="13">H28</f>
        <v>100</v>
      </c>
      <c r="V28" s="771" t="s">
        <v>17</v>
      </c>
      <c r="W28" s="772">
        <f t="shared" ref="W28:W40" si="14">J28</f>
        <v>100</v>
      </c>
      <c r="X28" s="1813"/>
      <c r="Y28" s="3196"/>
      <c r="Z28" s="1814">
        <f t="shared" ref="Z28:Z40" si="15">Q28</f>
        <v>111</v>
      </c>
      <c r="AA28" s="1811">
        <f t="shared" si="3"/>
        <v>1</v>
      </c>
      <c r="AB28" s="1811">
        <f t="shared" si="4"/>
        <v>1</v>
      </c>
      <c r="AC28" s="1811">
        <f t="shared" si="5"/>
        <v>1</v>
      </c>
    </row>
    <row r="29" spans="1:29" ht="28.5">
      <c r="A29" s="465" t="s">
        <v>2557</v>
      </c>
      <c r="B29" s="70"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49" t="s">
        <v>2559</v>
      </c>
      <c r="Q29" s="1810" t="str">
        <f t="shared" si="11"/>
        <v>建筑类型</v>
      </c>
      <c r="R29" s="771" t="s">
        <v>17</v>
      </c>
      <c r="S29" s="772">
        <f t="shared" si="12"/>
        <v>100</v>
      </c>
      <c r="T29" s="771" t="s">
        <v>17</v>
      </c>
      <c r="U29" s="772">
        <f t="shared" si="13"/>
        <v>100</v>
      </c>
      <c r="V29" s="771" t="s">
        <v>17</v>
      </c>
      <c r="W29" s="772">
        <f t="shared" si="14"/>
        <v>100</v>
      </c>
      <c r="X29" s="1813"/>
      <c r="Y29" s="3200"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00"/>
      <c r="Q30" s="773" t="str">
        <f t="shared" si="11"/>
        <v>项目建筑规模</v>
      </c>
      <c r="R30" s="774" t="s">
        <v>17</v>
      </c>
      <c r="S30" s="775" t="e">
        <f t="shared" si="12"/>
        <v>#N/A</v>
      </c>
      <c r="T30" s="774" t="s">
        <v>17</v>
      </c>
      <c r="U30" s="775" t="e">
        <f t="shared" si="13"/>
        <v>#N/A</v>
      </c>
      <c r="V30" s="774" t="s">
        <v>17</v>
      </c>
      <c r="W30" s="775" t="e">
        <f t="shared" si="14"/>
        <v>#N/A</v>
      </c>
      <c r="X30" s="776"/>
      <c r="Y30" s="3200"/>
      <c r="Z30" s="777"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00"/>
      <c r="Q31" s="1810" t="str">
        <f t="shared" si="11"/>
        <v>建筑结构</v>
      </c>
      <c r="R31" s="771" t="s">
        <v>17</v>
      </c>
      <c r="S31" s="772">
        <f t="shared" si="12"/>
        <v>100</v>
      </c>
      <c r="T31" s="771" t="s">
        <v>17</v>
      </c>
      <c r="U31" s="772">
        <f t="shared" si="13"/>
        <v>100</v>
      </c>
      <c r="V31" s="771" t="s">
        <v>17</v>
      </c>
      <c r="W31" s="772">
        <f t="shared" si="14"/>
        <v>100</v>
      </c>
      <c r="X31" s="1813"/>
      <c r="Y31" s="3200"/>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00"/>
      <c r="Q32" s="1810" t="str">
        <f t="shared" si="11"/>
        <v>公共部分装修</v>
      </c>
      <c r="R32" s="771" t="s">
        <v>17</v>
      </c>
      <c r="S32" s="772">
        <f t="shared" si="12"/>
        <v>100</v>
      </c>
      <c r="T32" s="771" t="s">
        <v>17</v>
      </c>
      <c r="U32" s="772">
        <f t="shared" si="13"/>
        <v>100</v>
      </c>
      <c r="V32" s="771" t="s">
        <v>17</v>
      </c>
      <c r="W32" s="772">
        <f t="shared" si="14"/>
        <v>100</v>
      </c>
      <c r="X32" s="1813"/>
      <c r="Y32" s="3200"/>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00"/>
      <c r="Q33" s="1810" t="str">
        <f t="shared" si="11"/>
        <v>成新度</v>
      </c>
      <c r="R33" s="771" t="s">
        <v>17</v>
      </c>
      <c r="S33" s="772" t="e">
        <f t="shared" si="12"/>
        <v>#N/A</v>
      </c>
      <c r="T33" s="771" t="s">
        <v>17</v>
      </c>
      <c r="U33" s="772" t="e">
        <f t="shared" si="13"/>
        <v>#N/A</v>
      </c>
      <c r="V33" s="771" t="s">
        <v>17</v>
      </c>
      <c r="W33" s="772" t="e">
        <f t="shared" si="14"/>
        <v>#N/A</v>
      </c>
      <c r="X33" s="1813"/>
      <c r="Y33" s="3200"/>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00"/>
      <c r="Q34" s="1795" t="str">
        <f t="shared" si="11"/>
        <v>物业管理</v>
      </c>
      <c r="R34" s="767" t="s">
        <v>17</v>
      </c>
      <c r="S34" s="768">
        <f t="shared" si="12"/>
        <v>100</v>
      </c>
      <c r="T34" s="767" t="s">
        <v>17</v>
      </c>
      <c r="U34" s="768">
        <f t="shared" si="13"/>
        <v>100</v>
      </c>
      <c r="V34" s="767" t="s">
        <v>17</v>
      </c>
      <c r="W34" s="768">
        <f t="shared" si="14"/>
        <v>100</v>
      </c>
      <c r="X34" s="769"/>
      <c r="Y34" s="3200"/>
      <c r="Z34" s="55" t="str">
        <f t="shared" si="15"/>
        <v>物业管理</v>
      </c>
      <c r="AA34" s="770">
        <f t="shared" si="3"/>
        <v>1</v>
      </c>
      <c r="AB34" s="770">
        <f t="shared" si="4"/>
        <v>1</v>
      </c>
      <c r="AC34" s="770">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00" t="s">
        <v>2559</v>
      </c>
      <c r="Q35" s="1810" t="str">
        <f t="shared" si="11"/>
        <v>市政基础设施</v>
      </c>
      <c r="R35" s="771" t="s">
        <v>17</v>
      </c>
      <c r="S35" s="772">
        <f t="shared" si="12"/>
        <v>100</v>
      </c>
      <c r="T35" s="771" t="s">
        <v>17</v>
      </c>
      <c r="U35" s="772">
        <f t="shared" si="13"/>
        <v>100</v>
      </c>
      <c r="V35" s="771" t="s">
        <v>17</v>
      </c>
      <c r="W35" s="772">
        <f t="shared" si="14"/>
        <v>100</v>
      </c>
      <c r="X35" s="1813"/>
      <c r="Y35" s="3200"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00"/>
      <c r="Q36" s="1810" t="str">
        <f t="shared" si="11"/>
        <v>内部装修</v>
      </c>
      <c r="R36" s="771" t="s">
        <v>17</v>
      </c>
      <c r="S36" s="772">
        <f t="shared" si="12"/>
        <v>100</v>
      </c>
      <c r="T36" s="771" t="s">
        <v>17</v>
      </c>
      <c r="U36" s="772">
        <f t="shared" si="13"/>
        <v>100</v>
      </c>
      <c r="V36" s="771" t="s">
        <v>17</v>
      </c>
      <c r="W36" s="772">
        <f t="shared" si="14"/>
        <v>100</v>
      </c>
      <c r="X36" s="1813"/>
      <c r="Y36" s="3200"/>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00"/>
      <c r="Q37" s="1810" t="str">
        <f t="shared" si="11"/>
        <v>内部装修状况</v>
      </c>
      <c r="R37" s="771" t="s">
        <v>17</v>
      </c>
      <c r="S37" s="772">
        <f t="shared" si="12"/>
        <v>100</v>
      </c>
      <c r="T37" s="771" t="s">
        <v>17</v>
      </c>
      <c r="U37" s="772">
        <f t="shared" si="13"/>
        <v>100</v>
      </c>
      <c r="V37" s="771" t="s">
        <v>17</v>
      </c>
      <c r="W37" s="772">
        <f t="shared" si="14"/>
        <v>100</v>
      </c>
      <c r="X37" s="1813"/>
      <c r="Y37" s="3200"/>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00"/>
      <c r="Q38" s="773">
        <f t="shared" si="11"/>
        <v>111</v>
      </c>
      <c r="R38" s="774" t="s">
        <v>17</v>
      </c>
      <c r="S38" s="775">
        <f t="shared" si="12"/>
        <v>100</v>
      </c>
      <c r="T38" s="774" t="s">
        <v>17</v>
      </c>
      <c r="U38" s="775">
        <f t="shared" si="13"/>
        <v>100</v>
      </c>
      <c r="V38" s="774" t="s">
        <v>17</v>
      </c>
      <c r="W38" s="775">
        <f t="shared" si="14"/>
        <v>100</v>
      </c>
      <c r="X38" s="776"/>
      <c r="Y38" s="3200"/>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00"/>
      <c r="Q39" s="1810">
        <f t="shared" si="11"/>
        <v>111</v>
      </c>
      <c r="R39" s="771" t="s">
        <v>17</v>
      </c>
      <c r="S39" s="772">
        <f t="shared" si="12"/>
        <v>100</v>
      </c>
      <c r="T39" s="771" t="s">
        <v>17</v>
      </c>
      <c r="U39" s="772">
        <f t="shared" si="13"/>
        <v>100</v>
      </c>
      <c r="V39" s="771" t="s">
        <v>17</v>
      </c>
      <c r="W39" s="772">
        <f t="shared" si="14"/>
        <v>100</v>
      </c>
      <c r="X39" s="1813"/>
      <c r="Y39" s="3200"/>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01"/>
      <c r="Q40" s="1810">
        <f t="shared" si="11"/>
        <v>111</v>
      </c>
      <c r="R40" s="771" t="s">
        <v>17</v>
      </c>
      <c r="S40" s="772">
        <f t="shared" si="12"/>
        <v>100</v>
      </c>
      <c r="T40" s="771" t="s">
        <v>17</v>
      </c>
      <c r="U40" s="772">
        <f t="shared" si="13"/>
        <v>100</v>
      </c>
      <c r="V40" s="771" t="s">
        <v>17</v>
      </c>
      <c r="W40" s="772">
        <f t="shared" si="14"/>
        <v>100</v>
      </c>
      <c r="X40" s="1813"/>
      <c r="Y40" s="3201"/>
      <c r="Z40" s="1814">
        <f t="shared" si="15"/>
        <v>111</v>
      </c>
      <c r="AA40" s="1811">
        <f t="shared" si="3"/>
        <v>1</v>
      </c>
      <c r="AB40" s="1811">
        <f t="shared" si="4"/>
        <v>1</v>
      </c>
      <c r="AC40" s="1811">
        <f t="shared" si="5"/>
        <v>1</v>
      </c>
    </row>
    <row r="41" spans="1:29" ht="15">
      <c r="A41" s="478" t="s">
        <v>2571</v>
      </c>
      <c r="B41" s="479"/>
      <c r="C41" s="1407" t="s">
        <v>1</v>
      </c>
      <c r="D41" s="1408"/>
      <c r="E41" s="1409"/>
      <c r="F41" s="1410"/>
      <c r="G41" s="1411"/>
      <c r="H41" s="1412"/>
      <c r="I41" s="1409"/>
      <c r="J41" s="1412"/>
      <c r="K41" s="780"/>
      <c r="L41" s="1143"/>
      <c r="M41" s="1144"/>
      <c r="N41" s="1131"/>
      <c r="O41" s="1144"/>
      <c r="P41" s="3202" t="str">
        <f>A41</f>
        <v>成交单价（元/平方米）</v>
      </c>
      <c r="Q41" s="3202"/>
      <c r="R41" s="3203">
        <f>E41</f>
        <v>0</v>
      </c>
      <c r="S41" s="3203"/>
      <c r="T41" s="3203">
        <f>G41</f>
        <v>0</v>
      </c>
      <c r="U41" s="3203"/>
      <c r="V41" s="3203">
        <f>I41</f>
        <v>0</v>
      </c>
      <c r="W41" s="3203"/>
      <c r="X41" s="756"/>
      <c r="Y41" s="778"/>
      <c r="Z41" s="756"/>
      <c r="AA41" s="756"/>
      <c r="AB41" s="756"/>
      <c r="AC41" s="756"/>
    </row>
    <row r="42" spans="1:29" ht="15.75" thickBot="1">
      <c r="A42" s="485" t="s">
        <v>2663</v>
      </c>
      <c r="B42" s="486"/>
      <c r="C42" s="1413" t="e">
        <f>R43</f>
        <v>#DIV/0!</v>
      </c>
      <c r="D42" s="1414"/>
      <c r="E42" s="1415" t="e">
        <f>R42</f>
        <v>#DIV/0!</v>
      </c>
      <c r="F42" s="1415"/>
      <c r="G42" s="1413" t="e">
        <f>T42</f>
        <v>#DIV/0!</v>
      </c>
      <c r="H42" s="1414"/>
      <c r="I42" s="1415" t="e">
        <f>V42</f>
        <v>#DIV/0!</v>
      </c>
      <c r="J42" s="1414"/>
      <c r="K42" s="781"/>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6"/>
      <c r="Y42" s="756"/>
      <c r="Z42" s="756"/>
      <c r="AA42" s="756"/>
      <c r="AB42" s="756"/>
      <c r="AC42" s="756"/>
    </row>
    <row r="43" spans="1:29" ht="15.75" thickBot="1">
      <c r="A43" s="491" t="s">
        <v>2664</v>
      </c>
      <c r="B43" s="492"/>
      <c r="C43" s="1417" t="e">
        <f>R43</f>
        <v>#DIV/0!</v>
      </c>
      <c r="D43" s="1417"/>
      <c r="E43" s="1417"/>
      <c r="F43" s="1417"/>
      <c r="G43" s="1417"/>
      <c r="H43" s="1417"/>
      <c r="I43" s="1417"/>
      <c r="J43" s="1417"/>
      <c r="K43" s="782"/>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2668</v>
      </c>
      <c r="B51" s="756"/>
      <c r="C51" s="761"/>
      <c r="D51" s="761"/>
      <c r="E51" s="761"/>
      <c r="F51" s="762"/>
      <c r="G51" s="762"/>
      <c r="H51" s="761"/>
      <c r="I51" s="761"/>
      <c r="J51" s="761"/>
      <c r="K51" s="1160"/>
      <c r="L51" s="1161"/>
      <c r="M51" s="1159"/>
      <c r="N51" s="1159"/>
      <c r="O51" s="1159"/>
      <c r="P51" s="502"/>
      <c r="Q51" s="503"/>
    </row>
    <row r="52" spans="1:17" s="507" customFormat="1" ht="15">
      <c r="A52" s="504" t="s">
        <v>2542</v>
      </c>
      <c r="B52" s="505"/>
      <c r="C52" s="1574" t="str">
        <f>YEAR(C7)&amp;"-"&amp;MONTH(C7)</f>
        <v>2018-11</v>
      </c>
      <c r="D52" s="1575">
        <f>EDATE(C52,-1)</f>
        <v>43374</v>
      </c>
      <c r="E52" s="1575">
        <f t="shared" ref="E52:O52" si="16">EDATE(D52,-1)</f>
        <v>43344</v>
      </c>
      <c r="F52" s="1575">
        <f t="shared" si="16"/>
        <v>43313</v>
      </c>
      <c r="G52" s="1575">
        <f t="shared" si="16"/>
        <v>43282</v>
      </c>
      <c r="H52" s="1575">
        <f t="shared" si="16"/>
        <v>43252</v>
      </c>
      <c r="I52" s="1575">
        <f t="shared" si="16"/>
        <v>43221</v>
      </c>
      <c r="J52" s="1575">
        <f t="shared" si="16"/>
        <v>43191</v>
      </c>
      <c r="K52" s="1575">
        <f t="shared" si="16"/>
        <v>43160</v>
      </c>
      <c r="L52" s="1575">
        <f t="shared" si="16"/>
        <v>43132</v>
      </c>
      <c r="M52" s="1575">
        <f t="shared" si="16"/>
        <v>43101</v>
      </c>
      <c r="N52" s="1575">
        <f t="shared" si="16"/>
        <v>43070</v>
      </c>
      <c r="O52" s="1575">
        <f t="shared" si="16"/>
        <v>43040</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2582</v>
      </c>
      <c r="B57" s="527" t="s">
        <v>2548</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6" customFormat="1" ht="15.75" thickTop="1">
      <c r="A80" s="578"/>
      <c r="B80" s="537">
        <f>B25</f>
        <v>111</v>
      </c>
      <c r="C80" s="553"/>
      <c r="D80" s="553"/>
      <c r="E80" s="553"/>
      <c r="F80" s="553"/>
      <c r="G80" s="553"/>
      <c r="H80" s="553"/>
      <c r="I80" s="553"/>
      <c r="J80" s="553"/>
      <c r="K80" s="553"/>
      <c r="L80" s="579"/>
      <c r="M80" s="580"/>
      <c r="N80" s="1151"/>
      <c r="O80" s="1151"/>
      <c r="P80" s="45"/>
      <c r="Q80" s="503"/>
    </row>
    <row r="81" spans="1:17" s="116" customFormat="1" ht="15.75" thickBot="1">
      <c r="A81" s="578"/>
      <c r="B81" s="542"/>
      <c r="C81" s="559"/>
      <c r="D81" s="535"/>
      <c r="E81" s="535"/>
      <c r="F81" s="535"/>
      <c r="G81" s="535"/>
      <c r="H81" s="535"/>
      <c r="I81" s="535"/>
      <c r="J81" s="535"/>
      <c r="K81" s="535"/>
      <c r="L81" s="535"/>
      <c r="M81" s="536"/>
      <c r="N81" s="1153"/>
      <c r="O81" s="1153"/>
      <c r="P81" s="45"/>
      <c r="Q81" s="503"/>
    </row>
    <row r="82" spans="1:17" s="116" customFormat="1" ht="15.75" thickTop="1">
      <c r="A82" s="578"/>
      <c r="B82" s="537">
        <f>B26</f>
        <v>111</v>
      </c>
      <c r="C82" s="553"/>
      <c r="D82" s="553"/>
      <c r="E82" s="553"/>
      <c r="F82" s="553"/>
      <c r="G82" s="553"/>
      <c r="H82" s="553"/>
      <c r="I82" s="553"/>
      <c r="J82" s="553"/>
      <c r="K82" s="553"/>
      <c r="L82" s="579"/>
      <c r="M82" s="580"/>
      <c r="N82" s="1151"/>
      <c r="O82" s="1151"/>
      <c r="P82" s="45"/>
      <c r="Q82" s="503"/>
    </row>
    <row r="83" spans="1:17" s="116"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5"/>
      <c r="B87" s="568"/>
      <c r="C87" s="569"/>
      <c r="D87" s="569"/>
      <c r="E87" s="569"/>
      <c r="F87" s="569"/>
      <c r="G87" s="590"/>
      <c r="H87" s="590"/>
      <c r="I87" s="590"/>
      <c r="J87" s="590"/>
      <c r="K87" s="590"/>
      <c r="L87" s="590"/>
      <c r="M87" s="591"/>
      <c r="N87" s="1153"/>
      <c r="O87" s="1153"/>
      <c r="P87" s="45"/>
      <c r="Q87" s="503"/>
    </row>
    <row r="88" spans="1:17">
      <c r="A88" s="526" t="s">
        <v>2557</v>
      </c>
      <c r="B88" s="527" t="s">
        <v>2606</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2608</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2610</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2611</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2612</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2614</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5"/>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上海三盛房地产（集团）有限责任公司：</v>
      </c>
    </row>
    <row r="4" spans="1:1" ht="36">
      <c r="A4" s="1948" t="str">
        <f>"受贵公司委托，我公司对"&amp;项目基本情况!S1&amp;"进行了预评估。"</f>
        <v>受贵公司委托，我公司对上海市浦东新区惠南镇惠南颐景园出让国有建设用地使用权及在建建筑物房地产抵押价值进行了预评估。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12119平方米，建筑面积为31157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12119平方米，规划建筑面积为31157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2018年11月1日（评估专业人员实地查勘之日）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本次评估采用的主估价方法为比较法和收益法。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22"/>
      <c r="F1" s="2583"/>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8" t="e">
        <f ca="1">IF(C2="——",IF(B37="元/平方米",ROUND(C39*D3/10000,0),ROUND(F3*C39/10000,0)),IF(B37="元/平方米",ROUND(C39*D3/10000,0),ROUND(F3*C39/10000,0))-D2)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2" t="s">
        <v>2642</v>
      </c>
      <c r="AC4" s="3161" t="s">
        <v>2643</v>
      </c>
    </row>
    <row r="5" spans="1:29"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2"/>
      <c r="AC5" s="3162"/>
    </row>
    <row r="6" spans="1:29" ht="15.75" thickBot="1">
      <c r="A6" s="405"/>
      <c r="B6" s="406"/>
      <c r="C6" s="3175" t="s">
        <v>2540</v>
      </c>
      <c r="D6" s="3176"/>
      <c r="E6" s="3177" t="s">
        <v>2540</v>
      </c>
      <c r="F6" s="3178"/>
      <c r="G6" s="3175" t="s">
        <v>2540</v>
      </c>
      <c r="H6" s="3176"/>
      <c r="I6" s="3175" t="s">
        <v>2540</v>
      </c>
      <c r="J6" s="3176"/>
      <c r="K6" s="609" t="s">
        <v>2541</v>
      </c>
      <c r="L6" s="1130"/>
      <c r="M6" s="1131"/>
      <c r="N6" s="1131"/>
      <c r="O6" s="1131"/>
      <c r="P6" s="3188"/>
      <c r="Q6" s="3189"/>
      <c r="R6" s="3169"/>
      <c r="S6" s="3170"/>
      <c r="T6" s="3190"/>
      <c r="U6" s="3191"/>
      <c r="V6" s="3164"/>
      <c r="W6" s="3164"/>
      <c r="X6" s="1813"/>
      <c r="Y6" s="3190"/>
      <c r="Z6" s="3191"/>
      <c r="AA6" s="3163"/>
      <c r="AB6" s="3163"/>
      <c r="AC6" s="3163"/>
    </row>
    <row r="7" spans="1:29" s="116" customFormat="1" ht="15.75" thickBot="1">
      <c r="A7" s="407" t="s">
        <v>2542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65" t="s">
        <v>2543</v>
      </c>
      <c r="Q7" s="3192"/>
      <c r="R7" s="767" t="s">
        <v>17</v>
      </c>
      <c r="S7" s="768">
        <f t="shared" ref="S7:S14" si="0">F7</f>
        <v>0</v>
      </c>
      <c r="T7" s="767" t="s">
        <v>17</v>
      </c>
      <c r="U7" s="768">
        <f t="shared" ref="U7:U14" si="1">H7</f>
        <v>0</v>
      </c>
      <c r="V7" s="767" t="s">
        <v>17</v>
      </c>
      <c r="W7" s="768">
        <f t="shared" ref="W7:W14" si="2">J7</f>
        <v>0</v>
      </c>
      <c r="X7" s="769"/>
      <c r="Y7" s="3165" t="s">
        <v>2543</v>
      </c>
      <c r="Z7" s="3166"/>
      <c r="AA7" s="770" t="e">
        <f>D7/F7</f>
        <v>#DIV/0!</v>
      </c>
      <c r="AB7" s="770" t="e">
        <f>D7/H7</f>
        <v>#DIV/0!</v>
      </c>
      <c r="AC7" s="770"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65" t="s">
        <v>2546</v>
      </c>
      <c r="Q8" s="3166"/>
      <c r="R8" s="767" t="s">
        <v>17</v>
      </c>
      <c r="S8" s="768">
        <f t="shared" si="0"/>
        <v>0</v>
      </c>
      <c r="T8" s="767" t="s">
        <v>17</v>
      </c>
      <c r="U8" s="768">
        <f t="shared" si="1"/>
        <v>0</v>
      </c>
      <c r="V8" s="767" t="s">
        <v>17</v>
      </c>
      <c r="W8" s="768">
        <f t="shared" si="2"/>
        <v>0</v>
      </c>
      <c r="X8" s="769"/>
      <c r="Y8" s="3165" t="s">
        <v>2546</v>
      </c>
      <c r="Z8" s="3166"/>
      <c r="AA8" s="770" t="e">
        <f t="shared" ref="AA8:AA36" si="3">D8/F8</f>
        <v>#DIV/0!</v>
      </c>
      <c r="AB8" s="770" t="e">
        <f t="shared" ref="AB8:AB36" si="4">D8/H8</f>
        <v>#DIV/0!</v>
      </c>
      <c r="AC8" s="770"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02" t="s">
        <v>2549</v>
      </c>
      <c r="Q9" s="1795" t="str">
        <f t="shared" ref="Q9:Q14" si="6">B9</f>
        <v>用途</v>
      </c>
      <c r="R9" s="767" t="s">
        <v>17</v>
      </c>
      <c r="S9" s="768">
        <f t="shared" si="0"/>
        <v>100</v>
      </c>
      <c r="T9" s="767" t="s">
        <v>17</v>
      </c>
      <c r="U9" s="768">
        <f t="shared" si="1"/>
        <v>100</v>
      </c>
      <c r="V9" s="767" t="s">
        <v>17</v>
      </c>
      <c r="W9" s="768">
        <f t="shared" si="2"/>
        <v>100</v>
      </c>
      <c r="X9" s="769"/>
      <c r="Y9" s="3038" t="s">
        <v>2550</v>
      </c>
      <c r="Z9" s="55" t="str">
        <f t="shared" ref="Z9:Z14" si="7">Q9</f>
        <v>用途</v>
      </c>
      <c r="AA9" s="770">
        <f t="shared" si="3"/>
        <v>1</v>
      </c>
      <c r="AB9" s="770">
        <f t="shared" si="4"/>
        <v>1</v>
      </c>
      <c r="AC9" s="770">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02"/>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02"/>
      <c r="Q11" s="1795">
        <f t="shared" si="6"/>
        <v>111</v>
      </c>
      <c r="R11" s="767" t="s">
        <v>17</v>
      </c>
      <c r="S11" s="768">
        <f t="shared" si="0"/>
        <v>100</v>
      </c>
      <c r="T11" s="767" t="s">
        <v>17</v>
      </c>
      <c r="U11" s="768">
        <f t="shared" si="1"/>
        <v>100</v>
      </c>
      <c r="V11" s="767" t="s">
        <v>17</v>
      </c>
      <c r="W11" s="768">
        <f t="shared" si="2"/>
        <v>100</v>
      </c>
      <c r="X11" s="769"/>
      <c r="Y11" s="3038"/>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02"/>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02"/>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85.5">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95" t="s">
        <v>2554</v>
      </c>
      <c r="Q14" s="1810" t="str">
        <f t="shared" si="6"/>
        <v>交通便捷度</v>
      </c>
      <c r="R14" s="771" t="s">
        <v>17</v>
      </c>
      <c r="S14" s="772">
        <f t="shared" si="0"/>
        <v>100</v>
      </c>
      <c r="T14" s="771" t="s">
        <v>17</v>
      </c>
      <c r="U14" s="772">
        <f t="shared" si="1"/>
        <v>100</v>
      </c>
      <c r="V14" s="771" t="s">
        <v>17</v>
      </c>
      <c r="W14" s="772">
        <f t="shared" si="2"/>
        <v>100</v>
      </c>
      <c r="X14" s="1813"/>
      <c r="Y14" s="3195"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196"/>
      <c r="Q15" s="1810"/>
      <c r="R15" s="771"/>
      <c r="S15" s="772"/>
      <c r="T15" s="771"/>
      <c r="U15" s="772"/>
      <c r="V15" s="771"/>
      <c r="W15" s="772"/>
      <c r="X15" s="1813"/>
      <c r="Y15" s="3196"/>
      <c r="Z15" s="1814"/>
      <c r="AA15" s="1811">
        <v>1</v>
      </c>
      <c r="AB15" s="1811">
        <v>1</v>
      </c>
      <c r="AC15" s="1811">
        <v>1</v>
      </c>
    </row>
    <row r="16" spans="1:29" ht="42.75">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96"/>
      <c r="Q16" s="1810" t="str">
        <f>B16</f>
        <v>公共配套设施</v>
      </c>
      <c r="R16" s="771" t="s">
        <v>17</v>
      </c>
      <c r="S16" s="772">
        <f>F16</f>
        <v>100</v>
      </c>
      <c r="T16" s="771" t="s">
        <v>17</v>
      </c>
      <c r="U16" s="772">
        <f>H16</f>
        <v>100</v>
      </c>
      <c r="V16" s="771" t="s">
        <v>17</v>
      </c>
      <c r="W16" s="772">
        <f>J16</f>
        <v>100</v>
      </c>
      <c r="X16" s="1813"/>
      <c r="Y16" s="3196"/>
      <c r="Z16" s="1814" t="str">
        <f>Q16</f>
        <v>公共配套设施</v>
      </c>
      <c r="AA16" s="1811">
        <f t="shared" si="3"/>
        <v>1</v>
      </c>
      <c r="AB16" s="1811">
        <f t="shared" si="4"/>
        <v>1</v>
      </c>
      <c r="AC16" s="1811">
        <f t="shared" si="5"/>
        <v>1</v>
      </c>
    </row>
    <row r="17" spans="1:29" ht="15">
      <c r="A17" s="403"/>
      <c r="B17" s="631"/>
      <c r="C17" s="2607"/>
      <c r="D17" s="447"/>
      <c r="E17" s="446"/>
      <c r="F17" s="448"/>
      <c r="G17" s="446"/>
      <c r="H17" s="447"/>
      <c r="I17" s="446"/>
      <c r="J17" s="447"/>
      <c r="K17" s="614"/>
      <c r="L17" s="1140"/>
      <c r="M17" s="1131"/>
      <c r="N17" s="1131"/>
      <c r="O17" s="1131"/>
      <c r="P17" s="3196"/>
      <c r="Q17" s="1810"/>
      <c r="R17" s="771"/>
      <c r="S17" s="772"/>
      <c r="T17" s="771"/>
      <c r="U17" s="772"/>
      <c r="V17" s="771"/>
      <c r="W17" s="772"/>
      <c r="X17" s="1813"/>
      <c r="Y17" s="3196"/>
      <c r="Z17" s="1814"/>
      <c r="AA17" s="1811">
        <v>1</v>
      </c>
      <c r="AB17" s="1811">
        <v>1</v>
      </c>
      <c r="AC17" s="1811">
        <v>1</v>
      </c>
    </row>
    <row r="18" spans="1:29" ht="28.5">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96"/>
      <c r="Q18" s="1810" t="str">
        <f>B18</f>
        <v>基础设施水平</v>
      </c>
      <c r="R18" s="771" t="s">
        <v>17</v>
      </c>
      <c r="S18" s="772">
        <f>F18</f>
        <v>100</v>
      </c>
      <c r="T18" s="771" t="s">
        <v>17</v>
      </c>
      <c r="U18" s="772">
        <f>H18</f>
        <v>100</v>
      </c>
      <c r="V18" s="771" t="s">
        <v>17</v>
      </c>
      <c r="W18" s="772">
        <f>J18</f>
        <v>100</v>
      </c>
      <c r="X18" s="1813"/>
      <c r="Y18" s="3196"/>
      <c r="Z18" s="1814" t="str">
        <f>Q18</f>
        <v>基础设施水平</v>
      </c>
      <c r="AA18" s="1811">
        <f t="shared" ref="AA18" si="8">D18/F18</f>
        <v>1</v>
      </c>
      <c r="AB18" s="1811">
        <f t="shared" ref="AB18" si="9">D18/H18</f>
        <v>1</v>
      </c>
      <c r="AC18" s="1811">
        <f t="shared" ref="AC18" si="10">D18/J18</f>
        <v>1</v>
      </c>
    </row>
    <row r="19" spans="1:29" ht="15">
      <c r="A19" s="403"/>
      <c r="B19" s="632"/>
      <c r="C19" s="2607"/>
      <c r="D19" s="449"/>
      <c r="E19" s="2607"/>
      <c r="F19" s="452"/>
      <c r="G19" s="2607"/>
      <c r="H19" s="447"/>
      <c r="I19" s="446"/>
      <c r="J19" s="447"/>
      <c r="K19" s="1383"/>
      <c r="L19" s="1140"/>
      <c r="M19" s="1131"/>
      <c r="N19" s="1131"/>
      <c r="O19" s="1131"/>
      <c r="P19" s="3196"/>
      <c r="Q19" s="1810"/>
      <c r="R19" s="771"/>
      <c r="S19" s="772"/>
      <c r="T19" s="771"/>
      <c r="U19" s="772"/>
      <c r="V19" s="771"/>
      <c r="W19" s="772"/>
      <c r="X19" s="1813"/>
      <c r="Y19" s="3196"/>
      <c r="Z19" s="1814"/>
      <c r="AA19" s="1811">
        <v>1</v>
      </c>
      <c r="AB19" s="1811">
        <v>1</v>
      </c>
      <c r="AC19" s="1811">
        <v>1</v>
      </c>
    </row>
    <row r="20" spans="1:29" ht="57">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96"/>
      <c r="Q20" s="1810" t="str">
        <f>B20</f>
        <v>自然及人文环境</v>
      </c>
      <c r="R20" s="771" t="s">
        <v>17</v>
      </c>
      <c r="S20" s="772">
        <f>F20</f>
        <v>100</v>
      </c>
      <c r="T20" s="771" t="s">
        <v>17</v>
      </c>
      <c r="U20" s="772">
        <f>H20</f>
        <v>100</v>
      </c>
      <c r="V20" s="771" t="s">
        <v>17</v>
      </c>
      <c r="W20" s="772">
        <f>J20</f>
        <v>100</v>
      </c>
      <c r="X20" s="1813"/>
      <c r="Y20" s="3196"/>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196"/>
      <c r="Q21" s="1810"/>
      <c r="R21" s="771"/>
      <c r="S21" s="772"/>
      <c r="T21" s="771"/>
      <c r="U21" s="772"/>
      <c r="V21" s="771"/>
      <c r="W21" s="772"/>
      <c r="X21" s="1813"/>
      <c r="Y21" s="3196"/>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96"/>
      <c r="Q22" s="1810" t="str">
        <f>B22</f>
        <v>楼层</v>
      </c>
      <c r="R22" s="771" t="s">
        <v>17</v>
      </c>
      <c r="S22" s="772">
        <f>F22</f>
        <v>100</v>
      </c>
      <c r="T22" s="771" t="s">
        <v>17</v>
      </c>
      <c r="U22" s="772">
        <f>H22</f>
        <v>100</v>
      </c>
      <c r="V22" s="771" t="s">
        <v>17</v>
      </c>
      <c r="W22" s="772">
        <f>J22</f>
        <v>100</v>
      </c>
      <c r="X22" s="1813"/>
      <c r="Y22" s="3196"/>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96"/>
      <c r="Q23" s="1810">
        <f>B23</f>
        <v>111</v>
      </c>
      <c r="R23" s="771" t="s">
        <v>17</v>
      </c>
      <c r="S23" s="772">
        <f>F23</f>
        <v>100</v>
      </c>
      <c r="T23" s="771" t="s">
        <v>17</v>
      </c>
      <c r="U23" s="772">
        <f>H23</f>
        <v>100</v>
      </c>
      <c r="V23" s="771" t="s">
        <v>17</v>
      </c>
      <c r="W23" s="772">
        <f>J23</f>
        <v>100</v>
      </c>
      <c r="X23" s="1813"/>
      <c r="Y23" s="3196"/>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96"/>
      <c r="Q24" s="1810">
        <f t="shared" ref="Q24:Q36" si="11">B24</f>
        <v>111</v>
      </c>
      <c r="R24" s="771" t="s">
        <v>17</v>
      </c>
      <c r="S24" s="772">
        <f>F24</f>
        <v>100</v>
      </c>
      <c r="T24" s="771" t="s">
        <v>17</v>
      </c>
      <c r="U24" s="772">
        <f>H24</f>
        <v>100</v>
      </c>
      <c r="V24" s="771" t="s">
        <v>17</v>
      </c>
      <c r="W24" s="772">
        <f>J24</f>
        <v>100</v>
      </c>
      <c r="X24" s="1813"/>
      <c r="Y24" s="3196"/>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96"/>
      <c r="Q25" s="1795">
        <f t="shared" si="11"/>
        <v>111</v>
      </c>
      <c r="R25" s="767" t="s">
        <v>17</v>
      </c>
      <c r="S25" s="768">
        <f>F25</f>
        <v>100</v>
      </c>
      <c r="T25" s="767" t="s">
        <v>17</v>
      </c>
      <c r="U25" s="768">
        <f>H25</f>
        <v>100</v>
      </c>
      <c r="V25" s="767" t="s">
        <v>17</v>
      </c>
      <c r="W25" s="768">
        <f>J25</f>
        <v>100</v>
      </c>
      <c r="X25" s="769"/>
      <c r="Y25" s="3196"/>
      <c r="Z25" s="55">
        <f>Q25</f>
        <v>111</v>
      </c>
      <c r="AA25" s="1811">
        <f>D25/F25</f>
        <v>1</v>
      </c>
      <c r="AB25" s="1811">
        <f>D25/H25</f>
        <v>1</v>
      </c>
      <c r="AC25" s="1811">
        <f>D25/J25</f>
        <v>1</v>
      </c>
    </row>
    <row r="26" spans="1:29" ht="28.5">
      <c r="A26" s="651" t="s">
        <v>2557</v>
      </c>
      <c r="B26" s="69"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49" t="s">
        <v>2559</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00"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00"/>
      <c r="Q27" s="773" t="str">
        <f t="shared" si="11"/>
        <v>项目停车位配比</v>
      </c>
      <c r="R27" s="774" t="s">
        <v>17</v>
      </c>
      <c r="S27" s="775">
        <f t="shared" si="12"/>
        <v>100</v>
      </c>
      <c r="T27" s="774" t="s">
        <v>17</v>
      </c>
      <c r="U27" s="775">
        <f t="shared" si="13"/>
        <v>100</v>
      </c>
      <c r="V27" s="774" t="s">
        <v>17</v>
      </c>
      <c r="W27" s="775">
        <f t="shared" si="14"/>
        <v>100</v>
      </c>
      <c r="X27" s="776"/>
      <c r="Y27" s="3200"/>
      <c r="Z27" s="777"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00"/>
      <c r="Q28" s="1810" t="str">
        <f t="shared" si="11"/>
        <v>公共部分装修</v>
      </c>
      <c r="R28" s="771" t="s">
        <v>17</v>
      </c>
      <c r="S28" s="772">
        <f t="shared" si="12"/>
        <v>100</v>
      </c>
      <c r="T28" s="771" t="s">
        <v>17</v>
      </c>
      <c r="U28" s="772">
        <f t="shared" si="13"/>
        <v>100</v>
      </c>
      <c r="V28" s="771" t="s">
        <v>17</v>
      </c>
      <c r="W28" s="772">
        <f t="shared" si="14"/>
        <v>100</v>
      </c>
      <c r="X28" s="1813"/>
      <c r="Y28" s="3200"/>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00"/>
      <c r="Q29" s="1810" t="str">
        <f t="shared" si="11"/>
        <v>成新率</v>
      </c>
      <c r="R29" s="771" t="s">
        <v>17</v>
      </c>
      <c r="S29" s="772" t="e">
        <f t="shared" si="12"/>
        <v>#N/A</v>
      </c>
      <c r="T29" s="771" t="s">
        <v>17</v>
      </c>
      <c r="U29" s="772" t="e">
        <f t="shared" si="13"/>
        <v>#N/A</v>
      </c>
      <c r="V29" s="771" t="s">
        <v>17</v>
      </c>
      <c r="W29" s="772" t="e">
        <f t="shared" si="14"/>
        <v>#N/A</v>
      </c>
      <c r="X29" s="1813"/>
      <c r="Y29" s="3200"/>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00"/>
      <c r="Q30" s="1810" t="str">
        <f t="shared" si="11"/>
        <v>物业等级</v>
      </c>
      <c r="R30" s="771" t="s">
        <v>17</v>
      </c>
      <c r="S30" s="772">
        <f t="shared" si="12"/>
        <v>100</v>
      </c>
      <c r="T30" s="771" t="s">
        <v>17</v>
      </c>
      <c r="U30" s="772">
        <f t="shared" si="13"/>
        <v>100</v>
      </c>
      <c r="V30" s="771" t="s">
        <v>17</v>
      </c>
      <c r="W30" s="772">
        <f t="shared" si="14"/>
        <v>100</v>
      </c>
      <c r="X30" s="1813"/>
      <c r="Y30" s="3200"/>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00"/>
      <c r="Q31" s="1795" t="str">
        <f t="shared" si="11"/>
        <v>停车位面积</v>
      </c>
      <c r="R31" s="767" t="s">
        <v>17</v>
      </c>
      <c r="S31" s="768" t="e">
        <f t="shared" si="12"/>
        <v>#N/A</v>
      </c>
      <c r="T31" s="767" t="s">
        <v>17</v>
      </c>
      <c r="U31" s="768" t="e">
        <f t="shared" si="13"/>
        <v>#N/A</v>
      </c>
      <c r="V31" s="767" t="s">
        <v>17</v>
      </c>
      <c r="W31" s="768" t="e">
        <f t="shared" si="14"/>
        <v>#N/A</v>
      </c>
      <c r="X31" s="769"/>
      <c r="Y31" s="3200"/>
      <c r="Z31" s="55" t="str">
        <f t="shared" si="15"/>
        <v>停车位面积</v>
      </c>
      <c r="AA31" s="770" t="e">
        <f t="shared" si="3"/>
        <v>#N/A</v>
      </c>
      <c r="AB31" s="770" t="e">
        <f t="shared" si="4"/>
        <v>#N/A</v>
      </c>
      <c r="AC31" s="770"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00" t="s">
        <v>2559</v>
      </c>
      <c r="Q32" s="1810" t="str">
        <f t="shared" si="11"/>
        <v>车位类型</v>
      </c>
      <c r="R32" s="771" t="s">
        <v>17</v>
      </c>
      <c r="S32" s="772">
        <f t="shared" si="12"/>
        <v>100</v>
      </c>
      <c r="T32" s="771" t="s">
        <v>17</v>
      </c>
      <c r="U32" s="772">
        <f t="shared" si="13"/>
        <v>100</v>
      </c>
      <c r="V32" s="771" t="s">
        <v>17</v>
      </c>
      <c r="W32" s="772">
        <f t="shared" si="14"/>
        <v>100</v>
      </c>
      <c r="X32" s="1813"/>
      <c r="Y32" s="3200"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00"/>
      <c r="Q33" s="1810" t="str">
        <f t="shared" si="11"/>
        <v>是否直接入户</v>
      </c>
      <c r="R33" s="771" t="s">
        <v>17</v>
      </c>
      <c r="S33" s="772">
        <f t="shared" si="12"/>
        <v>100</v>
      </c>
      <c r="T33" s="771" t="s">
        <v>17</v>
      </c>
      <c r="U33" s="772">
        <f t="shared" si="13"/>
        <v>100</v>
      </c>
      <c r="V33" s="771" t="s">
        <v>17</v>
      </c>
      <c r="W33" s="772">
        <f t="shared" si="14"/>
        <v>100</v>
      </c>
      <c r="X33" s="1813"/>
      <c r="Y33" s="3200"/>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00"/>
      <c r="Q34" s="1810">
        <f t="shared" si="11"/>
        <v>111</v>
      </c>
      <c r="R34" s="771" t="s">
        <v>17</v>
      </c>
      <c r="S34" s="772">
        <f t="shared" si="12"/>
        <v>100</v>
      </c>
      <c r="T34" s="771" t="s">
        <v>17</v>
      </c>
      <c r="U34" s="772">
        <f t="shared" si="13"/>
        <v>100</v>
      </c>
      <c r="V34" s="771" t="s">
        <v>17</v>
      </c>
      <c r="W34" s="772">
        <f t="shared" si="14"/>
        <v>100</v>
      </c>
      <c r="X34" s="1813"/>
      <c r="Y34" s="3200"/>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00"/>
      <c r="Q35" s="773">
        <f t="shared" si="11"/>
        <v>111</v>
      </c>
      <c r="R35" s="774" t="s">
        <v>17</v>
      </c>
      <c r="S35" s="775">
        <f t="shared" si="12"/>
        <v>100</v>
      </c>
      <c r="T35" s="774" t="s">
        <v>17</v>
      </c>
      <c r="U35" s="775">
        <f t="shared" si="13"/>
        <v>100</v>
      </c>
      <c r="V35" s="774" t="s">
        <v>17</v>
      </c>
      <c r="W35" s="775">
        <f t="shared" si="14"/>
        <v>100</v>
      </c>
      <c r="X35" s="776"/>
      <c r="Y35" s="3200"/>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00"/>
      <c r="Q36" s="1810">
        <f t="shared" si="11"/>
        <v>111</v>
      </c>
      <c r="R36" s="771" t="s">
        <v>17</v>
      </c>
      <c r="S36" s="772">
        <f t="shared" si="12"/>
        <v>100</v>
      </c>
      <c r="T36" s="771" t="s">
        <v>17</v>
      </c>
      <c r="U36" s="772">
        <f t="shared" si="13"/>
        <v>100</v>
      </c>
      <c r="V36" s="771" t="s">
        <v>17</v>
      </c>
      <c r="W36" s="772">
        <f t="shared" si="14"/>
        <v>100</v>
      </c>
      <c r="X36" s="1813"/>
      <c r="Y36" s="3200"/>
      <c r="Z36" s="1814">
        <f t="shared" si="15"/>
        <v>111</v>
      </c>
      <c r="AA36" s="1811">
        <f t="shared" si="3"/>
        <v>1</v>
      </c>
      <c r="AB36" s="1811">
        <f t="shared" si="4"/>
        <v>1</v>
      </c>
      <c r="AC36" s="1811">
        <f t="shared" si="5"/>
        <v>1</v>
      </c>
    </row>
    <row r="37" spans="1:29" ht="15">
      <c r="A37" s="478" t="s">
        <v>2714</v>
      </c>
      <c r="B37" s="2694" t="s">
        <v>2715</v>
      </c>
      <c r="C37" s="1407" t="s">
        <v>1</v>
      </c>
      <c r="D37" s="1408"/>
      <c r="E37" s="1409"/>
      <c r="F37" s="1410"/>
      <c r="G37" s="1411"/>
      <c r="H37" s="1412"/>
      <c r="I37" s="1409"/>
      <c r="J37" s="1412"/>
      <c r="K37" s="618"/>
      <c r="L37" s="1143"/>
      <c r="M37" s="1144"/>
      <c r="N37" s="1131"/>
      <c r="O37" s="1144"/>
      <c r="P37" s="3202" t="str">
        <f>A37</f>
        <v>成交单价</v>
      </c>
      <c r="Q37" s="3202"/>
      <c r="R37" s="3203">
        <f>E37</f>
        <v>0</v>
      </c>
      <c r="S37" s="3203"/>
      <c r="T37" s="3203">
        <f>G37</f>
        <v>0</v>
      </c>
      <c r="U37" s="3203"/>
      <c r="V37" s="3203">
        <f>I37</f>
        <v>0</v>
      </c>
      <c r="W37" s="3203"/>
      <c r="X37" s="756"/>
      <c r="Y37" s="778"/>
      <c r="Z37" s="756"/>
      <c r="AA37" s="756"/>
      <c r="AB37" s="756"/>
      <c r="AC37" s="756"/>
    </row>
    <row r="38" spans="1:29" ht="15.75" thickBot="1">
      <c r="A38" s="485" t="s">
        <v>2716</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6"/>
      <c r="Y38" s="756"/>
      <c r="Z38" s="756"/>
      <c r="AA38" s="756"/>
      <c r="AB38" s="756"/>
      <c r="AC38" s="756"/>
    </row>
    <row r="39" spans="1:29" ht="15.75" thickBot="1">
      <c r="A39" s="491" t="s">
        <v>2717</v>
      </c>
      <c r="B39" s="492"/>
      <c r="C39" s="1417" t="e">
        <f>R39</f>
        <v>#DIV/0!</v>
      </c>
      <c r="D39" s="1417"/>
      <c r="E39" s="1417"/>
      <c r="F39" s="1417"/>
      <c r="G39" s="1417"/>
      <c r="H39" s="1417"/>
      <c r="I39" s="1417"/>
      <c r="J39" s="1417"/>
      <c r="K39" s="620"/>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2722</v>
      </c>
      <c r="B48" s="505"/>
      <c r="C48" s="1574" t="str">
        <f>YEAR(C7)&amp;"-"&amp;MONTH(C7)</f>
        <v>2018-11</v>
      </c>
      <c r="D48" s="1575">
        <f>EDATE(C48,-1)</f>
        <v>43374</v>
      </c>
      <c r="E48" s="1575">
        <f t="shared" ref="E48:O48" si="16">EDATE(D48,-1)</f>
        <v>43344</v>
      </c>
      <c r="F48" s="1575">
        <f t="shared" si="16"/>
        <v>43313</v>
      </c>
      <c r="G48" s="1575">
        <f t="shared" si="16"/>
        <v>43282</v>
      </c>
      <c r="H48" s="1575">
        <f t="shared" si="16"/>
        <v>43252</v>
      </c>
      <c r="I48" s="1575">
        <f t="shared" si="16"/>
        <v>43221</v>
      </c>
      <c r="J48" s="1575">
        <f t="shared" si="16"/>
        <v>43191</v>
      </c>
      <c r="K48" s="1575">
        <f t="shared" si="16"/>
        <v>43160</v>
      </c>
      <c r="L48" s="1575">
        <f t="shared" si="16"/>
        <v>43132</v>
      </c>
      <c r="M48" s="1575">
        <f t="shared" si="16"/>
        <v>43101</v>
      </c>
      <c r="N48" s="1575">
        <f t="shared" si="16"/>
        <v>43070</v>
      </c>
      <c r="O48" s="1575">
        <f t="shared" si="16"/>
        <v>43040</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2579</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2544</v>
      </c>
      <c r="B51" s="509"/>
      <c r="C51" s="521" t="s">
        <v>2646</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2582</v>
      </c>
      <c r="B53" s="527" t="s">
        <v>2548</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2597</v>
      </c>
      <c r="C65" s="577" t="s">
        <v>2591</v>
      </c>
      <c r="D65" s="577" t="s">
        <v>2592</v>
      </c>
      <c r="E65" s="577" t="s">
        <v>2593</v>
      </c>
      <c r="F65" s="577" t="s">
        <v>2594</v>
      </c>
      <c r="G65" s="577" t="s">
        <v>2595</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2683</v>
      </c>
      <c r="C67" s="659" t="s">
        <v>2669</v>
      </c>
      <c r="D67" s="659" t="s">
        <v>2670</v>
      </c>
      <c r="E67" s="659" t="s">
        <v>2671</v>
      </c>
      <c r="F67" s="659" t="s">
        <v>2672</v>
      </c>
      <c r="G67" s="659" t="s">
        <v>2673</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2603</v>
      </c>
      <c r="C69" s="577" t="s">
        <v>2591</v>
      </c>
      <c r="D69" s="577" t="s">
        <v>2592</v>
      </c>
      <c r="E69" s="577" t="s">
        <v>2593</v>
      </c>
      <c r="F69" s="577" t="s">
        <v>2594</v>
      </c>
      <c r="G69" s="577" t="s">
        <v>2595</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2723</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2557</v>
      </c>
      <c r="B79" s="527" t="s">
        <v>2724</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2725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2610</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2727</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2729</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2730</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8" t="e">
        <f ca="1">IF(C2="——",ROUND(C37*D3/10000,0),ROUND(C37*D3/10000,0)-D2)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2323</v>
      </c>
      <c r="B3" s="608" t="e">
        <f ca="1">IF(C2="——",C37,ROUND(B2*10000/D3,0))</f>
        <v>#DIV/0!</v>
      </c>
      <c r="C3" s="399" t="s">
        <v>2638</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2" t="s">
        <v>2642</v>
      </c>
      <c r="AC4" s="3161" t="s">
        <v>2643</v>
      </c>
    </row>
    <row r="5" spans="1:29"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2"/>
      <c r="AC5" s="3162"/>
    </row>
    <row r="6" spans="1:29" ht="15.75" thickBot="1">
      <c r="A6" s="405"/>
      <c r="B6" s="406"/>
      <c r="C6" s="3175" t="s">
        <v>2540</v>
      </c>
      <c r="D6" s="3176"/>
      <c r="E6" s="3177" t="s">
        <v>2540</v>
      </c>
      <c r="F6" s="3178"/>
      <c r="G6" s="3175" t="s">
        <v>2540</v>
      </c>
      <c r="H6" s="3176"/>
      <c r="I6" s="3175" t="s">
        <v>2540</v>
      </c>
      <c r="J6" s="3176"/>
      <c r="K6" s="609" t="s">
        <v>2541</v>
      </c>
      <c r="L6" s="1130"/>
      <c r="M6" s="1131"/>
      <c r="N6" s="1131"/>
      <c r="O6" s="1131"/>
      <c r="P6" s="3188"/>
      <c r="Q6" s="3189"/>
      <c r="R6" s="3169"/>
      <c r="S6" s="3170"/>
      <c r="T6" s="3190"/>
      <c r="U6" s="3191"/>
      <c r="V6" s="3164"/>
      <c r="W6" s="3164"/>
      <c r="X6" s="1813"/>
      <c r="Y6" s="3190"/>
      <c r="Z6" s="3191"/>
      <c r="AA6" s="3163"/>
      <c r="AB6" s="3163"/>
      <c r="AC6" s="3163"/>
    </row>
    <row r="7" spans="1:29" s="116" customFormat="1" ht="15.75" thickBot="1">
      <c r="A7" s="407" t="s">
        <v>2542</v>
      </c>
      <c r="B7" s="408"/>
      <c r="C7" s="409">
        <f>'数据-取费表'!B2</f>
        <v>43405</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165" t="s">
        <v>2543</v>
      </c>
      <c r="Q7" s="3192"/>
      <c r="R7" s="767" t="s">
        <v>17</v>
      </c>
      <c r="S7" s="768">
        <f t="shared" ref="S7:S14" si="0">F7</f>
        <v>0</v>
      </c>
      <c r="T7" s="767" t="s">
        <v>17</v>
      </c>
      <c r="U7" s="768">
        <f t="shared" ref="U7:U14" si="1">H7</f>
        <v>0</v>
      </c>
      <c r="V7" s="767" t="s">
        <v>17</v>
      </c>
      <c r="W7" s="768">
        <f t="shared" ref="W7:W14" si="2">J7</f>
        <v>0</v>
      </c>
      <c r="X7" s="769"/>
      <c r="Y7" s="3165" t="s">
        <v>2543</v>
      </c>
      <c r="Z7" s="3166"/>
      <c r="AA7" s="770" t="e">
        <f>D7/F7</f>
        <v>#DIV/0!</v>
      </c>
      <c r="AB7" s="770" t="e">
        <f>D7/H7</f>
        <v>#DIV/0!</v>
      </c>
      <c r="AC7" s="770"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65" t="s">
        <v>2546</v>
      </c>
      <c r="Q8" s="3166"/>
      <c r="R8" s="767" t="s">
        <v>17</v>
      </c>
      <c r="S8" s="768">
        <f t="shared" si="0"/>
        <v>0</v>
      </c>
      <c r="T8" s="767" t="s">
        <v>17</v>
      </c>
      <c r="U8" s="768">
        <f t="shared" si="1"/>
        <v>0</v>
      </c>
      <c r="V8" s="767" t="s">
        <v>17</v>
      </c>
      <c r="W8" s="768">
        <f t="shared" si="2"/>
        <v>0</v>
      </c>
      <c r="X8" s="769"/>
      <c r="Y8" s="3165" t="s">
        <v>2546</v>
      </c>
      <c r="Z8" s="3166"/>
      <c r="AA8" s="770" t="e">
        <f t="shared" ref="AA8:AA34" si="3">D8/F8</f>
        <v>#DIV/0!</v>
      </c>
      <c r="AB8" s="770" t="e">
        <f t="shared" ref="AB8:AB34" si="4">D8/H8</f>
        <v>#DIV/0!</v>
      </c>
      <c r="AC8" s="770"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02" t="s">
        <v>2549</v>
      </c>
      <c r="Q9" s="1795" t="str">
        <f t="shared" ref="Q9:Q14" si="6">B9</f>
        <v>用途</v>
      </c>
      <c r="R9" s="767" t="s">
        <v>17</v>
      </c>
      <c r="S9" s="768">
        <f t="shared" si="0"/>
        <v>100</v>
      </c>
      <c r="T9" s="767" t="s">
        <v>17</v>
      </c>
      <c r="U9" s="768">
        <f t="shared" si="1"/>
        <v>100</v>
      </c>
      <c r="V9" s="767" t="s">
        <v>17</v>
      </c>
      <c r="W9" s="768">
        <f t="shared" si="2"/>
        <v>100</v>
      </c>
      <c r="X9" s="769"/>
      <c r="Y9" s="3038" t="s">
        <v>2550</v>
      </c>
      <c r="Z9" s="55" t="str">
        <f t="shared" ref="Z9:Z14" si="7">Q9</f>
        <v>用途</v>
      </c>
      <c r="AA9" s="770">
        <f t="shared" si="3"/>
        <v>1</v>
      </c>
      <c r="AB9" s="770">
        <f t="shared" si="4"/>
        <v>1</v>
      </c>
      <c r="AC9" s="770">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02"/>
      <c r="Q10" s="1795"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02"/>
      <c r="Q11" s="1795">
        <f t="shared" si="6"/>
        <v>111</v>
      </c>
      <c r="R11" s="767" t="s">
        <v>17</v>
      </c>
      <c r="S11" s="768">
        <f t="shared" si="0"/>
        <v>100</v>
      </c>
      <c r="T11" s="767" t="s">
        <v>17</v>
      </c>
      <c r="U11" s="768">
        <f t="shared" si="1"/>
        <v>100</v>
      </c>
      <c r="V11" s="767" t="s">
        <v>17</v>
      </c>
      <c r="W11" s="768">
        <f t="shared" si="2"/>
        <v>100</v>
      </c>
      <c r="X11" s="769"/>
      <c r="Y11" s="3038"/>
      <c r="Z11" s="55">
        <f t="shared" si="7"/>
        <v>111</v>
      </c>
      <c r="AA11" s="770">
        <f t="shared" si="3"/>
        <v>1</v>
      </c>
      <c r="AB11" s="770">
        <f t="shared" si="4"/>
        <v>1</v>
      </c>
      <c r="AC11" s="770">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02"/>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02"/>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85.5">
      <c r="A14" s="439" t="s">
        <v>2553</v>
      </c>
      <c r="B14" s="68"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95" t="s">
        <v>2554</v>
      </c>
      <c r="Q14" s="1810" t="str">
        <f t="shared" si="6"/>
        <v>交通便捷度</v>
      </c>
      <c r="R14" s="771" t="s">
        <v>17</v>
      </c>
      <c r="S14" s="772">
        <f t="shared" si="0"/>
        <v>100</v>
      </c>
      <c r="T14" s="771" t="s">
        <v>17</v>
      </c>
      <c r="U14" s="772">
        <f t="shared" si="1"/>
        <v>100</v>
      </c>
      <c r="V14" s="771" t="s">
        <v>17</v>
      </c>
      <c r="W14" s="772">
        <f t="shared" si="2"/>
        <v>100</v>
      </c>
      <c r="X14" s="1813"/>
      <c r="Y14" s="3195"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196"/>
      <c r="Q15" s="1810"/>
      <c r="R15" s="771"/>
      <c r="S15" s="772"/>
      <c r="T15" s="771"/>
      <c r="U15" s="772"/>
      <c r="V15" s="771"/>
      <c r="W15" s="772"/>
      <c r="X15" s="1813"/>
      <c r="Y15" s="3196"/>
      <c r="Z15" s="1814"/>
      <c r="AA15" s="1811">
        <v>1</v>
      </c>
      <c r="AB15" s="1811">
        <v>1</v>
      </c>
      <c r="AC15" s="1811">
        <v>1</v>
      </c>
    </row>
    <row r="16" spans="1:29" ht="42.75">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96"/>
      <c r="Q16" s="1810" t="str">
        <f>B16</f>
        <v>公共配套设施</v>
      </c>
      <c r="R16" s="771" t="s">
        <v>17</v>
      </c>
      <c r="S16" s="772">
        <f>F16</f>
        <v>100</v>
      </c>
      <c r="T16" s="771" t="s">
        <v>17</v>
      </c>
      <c r="U16" s="772">
        <f>H16</f>
        <v>100</v>
      </c>
      <c r="V16" s="771" t="s">
        <v>17</v>
      </c>
      <c r="W16" s="772">
        <f>J16</f>
        <v>100</v>
      </c>
      <c r="X16" s="1813"/>
      <c r="Y16" s="3196"/>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0"/>
      <c r="M17" s="1131"/>
      <c r="N17" s="1131"/>
      <c r="O17" s="1139"/>
      <c r="P17" s="3196"/>
      <c r="Q17" s="1810"/>
      <c r="R17" s="771"/>
      <c r="S17" s="772"/>
      <c r="T17" s="771"/>
      <c r="U17" s="772"/>
      <c r="V17" s="771"/>
      <c r="W17" s="772"/>
      <c r="X17" s="1813"/>
      <c r="Y17" s="3196"/>
      <c r="Z17" s="1814"/>
      <c r="AA17" s="1811">
        <v>1</v>
      </c>
      <c r="AB17" s="1811">
        <v>1</v>
      </c>
      <c r="AC17" s="1811">
        <v>1</v>
      </c>
    </row>
    <row r="18" spans="1:29" ht="28.5">
      <c r="A18" s="427"/>
      <c r="B18" s="1384"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96"/>
      <c r="Q18" s="1810" t="str">
        <f>B18</f>
        <v>基础设施水平</v>
      </c>
      <c r="R18" s="771" t="s">
        <v>17</v>
      </c>
      <c r="S18" s="772">
        <f>F18</f>
        <v>100</v>
      </c>
      <c r="T18" s="771" t="s">
        <v>17</v>
      </c>
      <c r="U18" s="772">
        <f>H18</f>
        <v>100</v>
      </c>
      <c r="V18" s="771" t="s">
        <v>17</v>
      </c>
      <c r="W18" s="772">
        <f>J18</f>
        <v>100</v>
      </c>
      <c r="X18" s="1813"/>
      <c r="Y18" s="3196"/>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0"/>
      <c r="M19" s="1131"/>
      <c r="N19" s="1131"/>
      <c r="O19" s="1139"/>
      <c r="P19" s="3196"/>
      <c r="Q19" s="1810"/>
      <c r="R19" s="771"/>
      <c r="S19" s="772"/>
      <c r="T19" s="771"/>
      <c r="U19" s="772"/>
      <c r="V19" s="771"/>
      <c r="W19" s="772"/>
      <c r="X19" s="1813"/>
      <c r="Y19" s="3196"/>
      <c r="Z19" s="1814"/>
      <c r="AA19" s="1811">
        <v>1</v>
      </c>
      <c r="AB19" s="1811">
        <v>1</v>
      </c>
      <c r="AC19" s="1811">
        <v>1</v>
      </c>
    </row>
    <row r="20" spans="1:29" ht="57">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96"/>
      <c r="Q20" s="1810" t="str">
        <f>B20</f>
        <v>自然及人文环境</v>
      </c>
      <c r="R20" s="771" t="s">
        <v>17</v>
      </c>
      <c r="S20" s="772">
        <f>F20</f>
        <v>100</v>
      </c>
      <c r="T20" s="771" t="s">
        <v>17</v>
      </c>
      <c r="U20" s="772">
        <f>H20</f>
        <v>100</v>
      </c>
      <c r="V20" s="771" t="s">
        <v>17</v>
      </c>
      <c r="W20" s="772">
        <f>J20</f>
        <v>100</v>
      </c>
      <c r="X20" s="1813"/>
      <c r="Y20" s="3196"/>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196"/>
      <c r="Q21" s="1810"/>
      <c r="R21" s="771"/>
      <c r="S21" s="772"/>
      <c r="T21" s="771"/>
      <c r="U21" s="772"/>
      <c r="V21" s="771"/>
      <c r="W21" s="772"/>
      <c r="X21" s="1813"/>
      <c r="Y21" s="3196"/>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96"/>
      <c r="Q22" s="1810" t="str">
        <f>B22</f>
        <v>楼层</v>
      </c>
      <c r="R22" s="771" t="s">
        <v>17</v>
      </c>
      <c r="S22" s="772">
        <f>F22</f>
        <v>100</v>
      </c>
      <c r="T22" s="771" t="s">
        <v>17</v>
      </c>
      <c r="U22" s="772">
        <f>H22</f>
        <v>100</v>
      </c>
      <c r="V22" s="771" t="s">
        <v>17</v>
      </c>
      <c r="W22" s="772">
        <f>J22</f>
        <v>100</v>
      </c>
      <c r="X22" s="1813"/>
      <c r="Y22" s="3196"/>
      <c r="Z22" s="1814" t="str">
        <f>Q22</f>
        <v>楼层</v>
      </c>
      <c r="AA22" s="1811">
        <f t="shared" si="3"/>
        <v>1</v>
      </c>
      <c r="AB22" s="1811">
        <f t="shared" si="4"/>
        <v>1</v>
      </c>
      <c r="AC22" s="1811">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96"/>
      <c r="Q23" s="1810">
        <f>B23</f>
        <v>111</v>
      </c>
      <c r="R23" s="771" t="s">
        <v>17</v>
      </c>
      <c r="S23" s="772">
        <f>F23</f>
        <v>100</v>
      </c>
      <c r="T23" s="771" t="s">
        <v>17</v>
      </c>
      <c r="U23" s="772">
        <f>H23</f>
        <v>100</v>
      </c>
      <c r="V23" s="771" t="s">
        <v>17</v>
      </c>
      <c r="W23" s="772">
        <f>J23</f>
        <v>100</v>
      </c>
      <c r="X23" s="1813"/>
      <c r="Y23" s="3196"/>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96"/>
      <c r="Q24" s="1810">
        <f t="shared" ref="Q24:Q34" si="11">B24</f>
        <v>111</v>
      </c>
      <c r="R24" s="771" t="s">
        <v>17</v>
      </c>
      <c r="S24" s="772">
        <f>F24</f>
        <v>100</v>
      </c>
      <c r="T24" s="771" t="s">
        <v>17</v>
      </c>
      <c r="U24" s="772">
        <f>H24</f>
        <v>100</v>
      </c>
      <c r="V24" s="771" t="s">
        <v>17</v>
      </c>
      <c r="W24" s="772">
        <f>J24</f>
        <v>100</v>
      </c>
      <c r="X24" s="1813"/>
      <c r="Y24" s="3196"/>
      <c r="Z24" s="1814">
        <f>Q24</f>
        <v>111</v>
      </c>
      <c r="AA24" s="1811">
        <f t="shared" si="3"/>
        <v>1</v>
      </c>
      <c r="AB24" s="1811">
        <f t="shared" si="4"/>
        <v>1</v>
      </c>
      <c r="AC24" s="1811">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196"/>
      <c r="Q25" s="1795">
        <f t="shared" si="11"/>
        <v>111</v>
      </c>
      <c r="R25" s="767" t="s">
        <v>17</v>
      </c>
      <c r="S25" s="768">
        <f>F25</f>
        <v>100</v>
      </c>
      <c r="T25" s="767" t="s">
        <v>17</v>
      </c>
      <c r="U25" s="768">
        <f>H25</f>
        <v>100</v>
      </c>
      <c r="V25" s="767" t="s">
        <v>17</v>
      </c>
      <c r="W25" s="768">
        <f>J25</f>
        <v>100</v>
      </c>
      <c r="X25" s="769"/>
      <c r="Y25" s="3196"/>
      <c r="Z25" s="55">
        <f>Q25</f>
        <v>111</v>
      </c>
      <c r="AA25" s="1811">
        <f>D25/F25</f>
        <v>1</v>
      </c>
      <c r="AB25" s="1811">
        <f>D25/H25</f>
        <v>1</v>
      </c>
      <c r="AC25" s="1811">
        <f>D25/J25</f>
        <v>1</v>
      </c>
    </row>
    <row r="26" spans="1:29" ht="28.5">
      <c r="A26" s="465" t="s">
        <v>2557</v>
      </c>
      <c r="B26" s="70"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49" t="s">
        <v>2559</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00"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00"/>
      <c r="Q27" s="773" t="str">
        <f t="shared" si="11"/>
        <v>成新率</v>
      </c>
      <c r="R27" s="774" t="s">
        <v>17</v>
      </c>
      <c r="S27" s="775" t="e">
        <f t="shared" si="12"/>
        <v>#N/A</v>
      </c>
      <c r="T27" s="774" t="s">
        <v>17</v>
      </c>
      <c r="U27" s="775" t="e">
        <f t="shared" si="13"/>
        <v>#N/A</v>
      </c>
      <c r="V27" s="774" t="s">
        <v>17</v>
      </c>
      <c r="W27" s="775" t="e">
        <f t="shared" si="14"/>
        <v>#N/A</v>
      </c>
      <c r="X27" s="776"/>
      <c r="Y27" s="3200"/>
      <c r="Z27" s="777"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00"/>
      <c r="Q28" s="1810" t="str">
        <f t="shared" si="11"/>
        <v>物业等级</v>
      </c>
      <c r="R28" s="771" t="s">
        <v>17</v>
      </c>
      <c r="S28" s="772">
        <f t="shared" si="12"/>
        <v>100</v>
      </c>
      <c r="T28" s="771" t="s">
        <v>17</v>
      </c>
      <c r="U28" s="772">
        <f t="shared" si="13"/>
        <v>100</v>
      </c>
      <c r="V28" s="771" t="s">
        <v>17</v>
      </c>
      <c r="W28" s="772">
        <f t="shared" si="14"/>
        <v>100</v>
      </c>
      <c r="X28" s="1813"/>
      <c r="Y28" s="3200"/>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00"/>
      <c r="Q29" s="1810" t="str">
        <f t="shared" si="11"/>
        <v>有无电梯</v>
      </c>
      <c r="R29" s="771" t="s">
        <v>17</v>
      </c>
      <c r="S29" s="772">
        <f t="shared" si="12"/>
        <v>100</v>
      </c>
      <c r="T29" s="771" t="s">
        <v>17</v>
      </c>
      <c r="U29" s="772">
        <f t="shared" si="13"/>
        <v>100</v>
      </c>
      <c r="V29" s="771" t="s">
        <v>17</v>
      </c>
      <c r="W29" s="772">
        <f t="shared" si="14"/>
        <v>100</v>
      </c>
      <c r="X29" s="1813"/>
      <c r="Y29" s="3200"/>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00"/>
      <c r="Q30" s="1810" t="str">
        <f t="shared" si="11"/>
        <v>建筑面积</v>
      </c>
      <c r="R30" s="771" t="s">
        <v>17</v>
      </c>
      <c r="S30" s="772" t="e">
        <f t="shared" si="12"/>
        <v>#N/A</v>
      </c>
      <c r="T30" s="771" t="s">
        <v>17</v>
      </c>
      <c r="U30" s="772" t="e">
        <f t="shared" si="13"/>
        <v>#N/A</v>
      </c>
      <c r="V30" s="771" t="s">
        <v>17</v>
      </c>
      <c r="W30" s="772" t="e">
        <f t="shared" si="14"/>
        <v>#N/A</v>
      </c>
      <c r="X30" s="1813"/>
      <c r="Y30" s="3200"/>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00"/>
      <c r="Q31" s="1795" t="str">
        <f t="shared" si="11"/>
        <v>是否封闭</v>
      </c>
      <c r="R31" s="767" t="s">
        <v>17</v>
      </c>
      <c r="S31" s="768">
        <f t="shared" si="12"/>
        <v>100</v>
      </c>
      <c r="T31" s="767" t="s">
        <v>17</v>
      </c>
      <c r="U31" s="768">
        <f t="shared" si="13"/>
        <v>100</v>
      </c>
      <c r="V31" s="767" t="s">
        <v>17</v>
      </c>
      <c r="W31" s="768">
        <f t="shared" si="14"/>
        <v>100</v>
      </c>
      <c r="X31" s="769"/>
      <c r="Y31" s="3200"/>
      <c r="Z31" s="55"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00" t="s">
        <v>2559</v>
      </c>
      <c r="Q32" s="1810">
        <f t="shared" si="11"/>
        <v>111</v>
      </c>
      <c r="R32" s="771" t="s">
        <v>17</v>
      </c>
      <c r="S32" s="772">
        <f t="shared" si="12"/>
        <v>100</v>
      </c>
      <c r="T32" s="771" t="s">
        <v>17</v>
      </c>
      <c r="U32" s="772">
        <f t="shared" si="13"/>
        <v>100</v>
      </c>
      <c r="V32" s="771" t="s">
        <v>17</v>
      </c>
      <c r="W32" s="772">
        <f t="shared" si="14"/>
        <v>100</v>
      </c>
      <c r="X32" s="1813"/>
      <c r="Y32" s="3200" t="s">
        <v>2559</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00"/>
      <c r="Q33" s="1810">
        <f t="shared" si="11"/>
        <v>111</v>
      </c>
      <c r="R33" s="771" t="s">
        <v>17</v>
      </c>
      <c r="S33" s="772">
        <f t="shared" si="12"/>
        <v>100</v>
      </c>
      <c r="T33" s="771" t="s">
        <v>17</v>
      </c>
      <c r="U33" s="772">
        <f t="shared" si="13"/>
        <v>100</v>
      </c>
      <c r="V33" s="771" t="s">
        <v>17</v>
      </c>
      <c r="W33" s="772">
        <f t="shared" si="14"/>
        <v>100</v>
      </c>
      <c r="X33" s="1813"/>
      <c r="Y33" s="3200"/>
      <c r="Z33" s="1814">
        <f t="shared" si="15"/>
        <v>111</v>
      </c>
      <c r="AA33" s="1811">
        <f t="shared" si="3"/>
        <v>1</v>
      </c>
      <c r="AB33" s="1811">
        <f t="shared" si="4"/>
        <v>1</v>
      </c>
      <c r="AC33" s="1811">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00"/>
      <c r="Q34" s="1810">
        <f t="shared" si="11"/>
        <v>111</v>
      </c>
      <c r="R34" s="771" t="s">
        <v>17</v>
      </c>
      <c r="S34" s="772">
        <f t="shared" si="12"/>
        <v>100</v>
      </c>
      <c r="T34" s="771" t="s">
        <v>17</v>
      </c>
      <c r="U34" s="772">
        <f t="shared" si="13"/>
        <v>100</v>
      </c>
      <c r="V34" s="771" t="s">
        <v>17</v>
      </c>
      <c r="W34" s="772">
        <f t="shared" si="14"/>
        <v>100</v>
      </c>
      <c r="X34" s="1813"/>
      <c r="Y34" s="3200"/>
      <c r="Z34" s="1814">
        <f t="shared" si="15"/>
        <v>111</v>
      </c>
      <c r="AA34" s="1811">
        <f t="shared" si="3"/>
        <v>1</v>
      </c>
      <c r="AB34" s="1811">
        <f t="shared" si="4"/>
        <v>1</v>
      </c>
      <c r="AC34" s="1811">
        <f t="shared" si="5"/>
        <v>1</v>
      </c>
    </row>
    <row r="35" spans="1:29" ht="15">
      <c r="A35" s="478" t="s">
        <v>2571</v>
      </c>
      <c r="B35" s="479"/>
      <c r="C35" s="1407" t="s">
        <v>1</v>
      </c>
      <c r="D35" s="1408"/>
      <c r="E35" s="1409"/>
      <c r="F35" s="1410"/>
      <c r="G35" s="1411"/>
      <c r="H35" s="1412"/>
      <c r="I35" s="1409"/>
      <c r="J35" s="1412"/>
      <c r="K35" s="780"/>
      <c r="L35" s="1143"/>
      <c r="M35" s="1144"/>
      <c r="N35" s="1131"/>
      <c r="O35" s="1144"/>
      <c r="P35" s="3202" t="str">
        <f>A35</f>
        <v>成交单价（元/平方米）</v>
      </c>
      <c r="Q35" s="3202"/>
      <c r="R35" s="3203">
        <f>E35</f>
        <v>0</v>
      </c>
      <c r="S35" s="3203"/>
      <c r="T35" s="3203">
        <f>G35</f>
        <v>0</v>
      </c>
      <c r="U35" s="3203"/>
      <c r="V35" s="3203">
        <f>I35</f>
        <v>0</v>
      </c>
      <c r="W35" s="3203"/>
      <c r="X35" s="756"/>
      <c r="Y35" s="778"/>
      <c r="Z35" s="756"/>
      <c r="AA35" s="756"/>
      <c r="AB35" s="756"/>
      <c r="AC35" s="756"/>
    </row>
    <row r="36" spans="1:29" ht="15.75" thickBot="1">
      <c r="A36" s="485" t="s">
        <v>2663</v>
      </c>
      <c r="B36" s="486"/>
      <c r="C36" s="1413" t="e">
        <f>R37</f>
        <v>#DIV/0!</v>
      </c>
      <c r="D36" s="1414"/>
      <c r="E36" s="1415" t="e">
        <f>R36</f>
        <v>#DIV/0!</v>
      </c>
      <c r="F36" s="1415"/>
      <c r="G36" s="1413" t="e">
        <f>T36</f>
        <v>#DIV/0!</v>
      </c>
      <c r="H36" s="1414"/>
      <c r="I36" s="1415" t="e">
        <f>V36</f>
        <v>#DIV/0!</v>
      </c>
      <c r="J36" s="1414"/>
      <c r="K36" s="781"/>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6"/>
      <c r="Y36" s="756"/>
      <c r="Z36" s="756"/>
      <c r="AA36" s="756"/>
      <c r="AB36" s="756"/>
      <c r="AC36" s="756"/>
    </row>
    <row r="37" spans="1:29" ht="15.75" thickBot="1">
      <c r="A37" s="491" t="s">
        <v>2664</v>
      </c>
      <c r="B37" s="492"/>
      <c r="C37" s="1417" t="e">
        <f>R37</f>
        <v>#DIV/0!</v>
      </c>
      <c r="D37" s="1417"/>
      <c r="E37" s="1417"/>
      <c r="F37" s="1417"/>
      <c r="G37" s="1417"/>
      <c r="H37" s="1417"/>
      <c r="I37" s="1417"/>
      <c r="J37" s="1417"/>
      <c r="K37" s="782"/>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2668</v>
      </c>
      <c r="B45" s="756"/>
      <c r="C45" s="761"/>
      <c r="D45" s="761"/>
      <c r="E45" s="761"/>
      <c r="F45" s="762"/>
      <c r="G45" s="762"/>
      <c r="H45" s="761"/>
      <c r="I45" s="761"/>
      <c r="J45" s="761"/>
      <c r="K45" s="763"/>
      <c r="L45" s="764"/>
      <c r="M45" s="761"/>
      <c r="N45" s="761"/>
      <c r="O45" s="761"/>
      <c r="P45" s="502"/>
      <c r="Q45" s="503"/>
    </row>
    <row r="46" spans="1:29" s="507" customFormat="1" ht="15">
      <c r="A46" s="504" t="s">
        <v>2542</v>
      </c>
      <c r="B46" s="505"/>
      <c r="C46" s="1574" t="str">
        <f>YEAR(C7)&amp;"-"&amp;MONTH(C7)</f>
        <v>2018-11</v>
      </c>
      <c r="D46" s="1575">
        <f>EDATE(C46,-1)</f>
        <v>43374</v>
      </c>
      <c r="E46" s="1575">
        <f t="shared" ref="E46:O46" si="16">EDATE(D46,-1)</f>
        <v>43344</v>
      </c>
      <c r="F46" s="1575">
        <f t="shared" si="16"/>
        <v>43313</v>
      </c>
      <c r="G46" s="1575">
        <f t="shared" si="16"/>
        <v>43282</v>
      </c>
      <c r="H46" s="1575">
        <f t="shared" si="16"/>
        <v>43252</v>
      </c>
      <c r="I46" s="1575">
        <f t="shared" si="16"/>
        <v>43221</v>
      </c>
      <c r="J46" s="1575">
        <f t="shared" si="16"/>
        <v>43191</v>
      </c>
      <c r="K46" s="1575">
        <f t="shared" si="16"/>
        <v>43160</v>
      </c>
      <c r="L46" s="1575">
        <f t="shared" si="16"/>
        <v>43132</v>
      </c>
      <c r="M46" s="1575">
        <f t="shared" si="16"/>
        <v>43101</v>
      </c>
      <c r="N46" s="1575">
        <f t="shared" si="16"/>
        <v>43070</v>
      </c>
      <c r="O46" s="1575">
        <f t="shared" si="16"/>
        <v>43040</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2582</v>
      </c>
      <c r="B51" s="527" t="s">
        <v>2548</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2723</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6" customFormat="1" ht="15.75" thickTop="1">
      <c r="A71" s="578"/>
      <c r="B71" s="537">
        <f>B23</f>
        <v>111</v>
      </c>
      <c r="C71" s="548"/>
      <c r="D71" s="548"/>
      <c r="E71" s="548"/>
      <c r="F71" s="548"/>
      <c r="G71" s="553"/>
      <c r="H71" s="553"/>
      <c r="I71" s="553"/>
      <c r="J71" s="553"/>
      <c r="K71" s="553"/>
      <c r="L71" s="579"/>
      <c r="M71" s="580"/>
      <c r="N71" s="1151"/>
      <c r="O71" s="1151"/>
      <c r="P71" s="45"/>
      <c r="Q71" s="503"/>
    </row>
    <row r="72" spans="1:17" s="116" customFormat="1" ht="15.75" thickBot="1">
      <c r="A72" s="578"/>
      <c r="B72" s="542"/>
      <c r="C72" s="559"/>
      <c r="D72" s="535"/>
      <c r="E72" s="535"/>
      <c r="F72" s="535"/>
      <c r="G72" s="535"/>
      <c r="H72" s="535"/>
      <c r="I72" s="535"/>
      <c r="J72" s="535"/>
      <c r="K72" s="535"/>
      <c r="L72" s="535"/>
      <c r="M72" s="536"/>
      <c r="N72" s="1153"/>
      <c r="O72" s="1153"/>
      <c r="P72" s="45"/>
      <c r="Q72" s="503"/>
    </row>
    <row r="73" spans="1:17" s="116" customFormat="1" ht="15.75" thickTop="1">
      <c r="A73" s="578"/>
      <c r="B73" s="537">
        <f>B24</f>
        <v>111</v>
      </c>
      <c r="C73" s="548"/>
      <c r="D73" s="548"/>
      <c r="E73" s="548"/>
      <c r="F73" s="548"/>
      <c r="G73" s="553"/>
      <c r="H73" s="553"/>
      <c r="I73" s="553"/>
      <c r="J73" s="553"/>
      <c r="K73" s="553"/>
      <c r="L73" s="553"/>
      <c r="M73" s="580"/>
      <c r="N73" s="1151"/>
      <c r="O73" s="1151"/>
      <c r="P73" s="45"/>
      <c r="Q73" s="503"/>
    </row>
    <row r="74" spans="1:17" s="116"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2557</v>
      </c>
      <c r="B77" s="527" t="s">
        <v>2610</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2727</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2735</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2737</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2321</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2323</v>
      </c>
      <c r="B3" s="608" t="e">
        <f>ROUND(IF(D3="",B2*10000/'数据-汇总表'!E3,B2*10000/D3),0)</f>
        <v>#DIV/0!</v>
      </c>
      <c r="C3" s="246"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2" t="s">
        <v>2642</v>
      </c>
      <c r="AC4" s="3161" t="s">
        <v>2643</v>
      </c>
    </row>
    <row r="5" spans="1:30"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2"/>
      <c r="AC5" s="3162"/>
    </row>
    <row r="6" spans="1:30" ht="15.75" thickBot="1">
      <c r="A6" s="405"/>
      <c r="B6" s="406"/>
      <c r="C6" s="3175" t="s">
        <v>2540</v>
      </c>
      <c r="D6" s="3176"/>
      <c r="E6" s="3177" t="s">
        <v>2540</v>
      </c>
      <c r="F6" s="3178"/>
      <c r="G6" s="3175" t="s">
        <v>2540</v>
      </c>
      <c r="H6" s="3176"/>
      <c r="I6" s="3175" t="s">
        <v>2540</v>
      </c>
      <c r="J6" s="3176"/>
      <c r="K6" s="609" t="s">
        <v>2541</v>
      </c>
      <c r="L6" s="1130"/>
      <c r="M6" s="1131"/>
      <c r="N6" s="1131"/>
      <c r="O6" s="1131"/>
      <c r="P6" s="3188"/>
      <c r="Q6" s="3189"/>
      <c r="R6" s="3169"/>
      <c r="S6" s="3170"/>
      <c r="T6" s="3190"/>
      <c r="U6" s="3191"/>
      <c r="V6" s="3164"/>
      <c r="W6" s="3164"/>
      <c r="X6" s="1813"/>
      <c r="Y6" s="3190"/>
      <c r="Z6" s="3191"/>
      <c r="AA6" s="3163"/>
      <c r="AB6" s="3163"/>
      <c r="AC6" s="3163"/>
    </row>
    <row r="7" spans="1:30" s="116" customFormat="1" ht="15.75" thickBot="1">
      <c r="A7" s="407" t="s">
        <v>2542</v>
      </c>
      <c r="B7" s="408"/>
      <c r="C7" s="409">
        <f>'数据-取费表'!B2</f>
        <v>43405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165" t="s">
        <v>2543</v>
      </c>
      <c r="Q7" s="3192"/>
      <c r="R7" s="767" t="s">
        <v>17</v>
      </c>
      <c r="S7" s="768">
        <f t="shared" ref="S7:S15" si="0">F7</f>
        <v>0</v>
      </c>
      <c r="T7" s="767" t="s">
        <v>17</v>
      </c>
      <c r="U7" s="768">
        <f t="shared" ref="U7:U15" si="1">H7</f>
        <v>0</v>
      </c>
      <c r="V7" s="767" t="s">
        <v>17</v>
      </c>
      <c r="W7" s="768">
        <f t="shared" ref="W7:W15" si="2">J7</f>
        <v>0</v>
      </c>
      <c r="X7" s="769"/>
      <c r="Y7" s="3165" t="s">
        <v>2543</v>
      </c>
      <c r="Z7" s="3166"/>
      <c r="AA7" s="770" t="e">
        <f>D7/F7</f>
        <v>#DIV/0!</v>
      </c>
      <c r="AB7" s="770" t="e">
        <f>D7/H7</f>
        <v>#DIV/0!</v>
      </c>
      <c r="AC7" s="770"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165" t="s">
        <v>2546</v>
      </c>
      <c r="Q8" s="3166"/>
      <c r="R8" s="767" t="s">
        <v>17</v>
      </c>
      <c r="S8" s="768">
        <f t="shared" si="0"/>
        <v>0</v>
      </c>
      <c r="T8" s="767" t="s">
        <v>17</v>
      </c>
      <c r="U8" s="768">
        <f t="shared" si="1"/>
        <v>0</v>
      </c>
      <c r="V8" s="767" t="s">
        <v>17</v>
      </c>
      <c r="W8" s="768">
        <f t="shared" si="2"/>
        <v>0</v>
      </c>
      <c r="X8" s="769"/>
      <c r="Y8" s="3165" t="s">
        <v>2546</v>
      </c>
      <c r="Z8" s="3166"/>
      <c r="AA8" s="770" t="e">
        <f t="shared" ref="AA8:AA45" si="3">D8/F8</f>
        <v>#DIV/0!</v>
      </c>
      <c r="AB8" s="770" t="e">
        <f t="shared" ref="AB8:AB45" si="4">D8/H8</f>
        <v>#DIV/0!</v>
      </c>
      <c r="AC8" s="770" t="e">
        <f t="shared" ref="AC8:AC45" si="5">D8/J8</f>
        <v>#DIV/0!</v>
      </c>
    </row>
    <row r="9" spans="1:30" s="116" customFormat="1">
      <c r="A9" s="414" t="s">
        <v>2547</v>
      </c>
      <c r="B9" s="70" t="s">
        <v>2548</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02"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770">
        <f t="shared" si="5"/>
        <v>1</v>
      </c>
    </row>
    <row r="10" spans="1:30" s="426" customFormat="1" ht="27">
      <c r="A10" s="420"/>
      <c r="B10" s="421" t="s">
        <v>2551</v>
      </c>
      <c r="C10" s="431"/>
      <c r="D10" s="135">
        <v>100</v>
      </c>
      <c r="E10" s="464"/>
      <c r="F10" s="135">
        <f>ROUND(100/'数据-取费表'!G16,0)</f>
        <v>105</v>
      </c>
      <c r="G10" s="462"/>
      <c r="H10" s="135">
        <f>ROUND(100/'数据-取费表'!G16,0)</f>
        <v>105</v>
      </c>
      <c r="I10" s="462"/>
      <c r="J10" s="135">
        <f>ROUND(100/'数据-取费表'!G16,0)</f>
        <v>105</v>
      </c>
      <c r="K10" s="671"/>
      <c r="L10" s="1135"/>
      <c r="M10" s="1136"/>
      <c r="N10" s="1136"/>
      <c r="O10" s="1137"/>
      <c r="P10" s="3202"/>
      <c r="Q10" s="1795" t="str">
        <f t="shared" si="6"/>
        <v>土地使用年限（年）</v>
      </c>
      <c r="R10" s="767" t="s">
        <v>17</v>
      </c>
      <c r="S10" s="768">
        <f t="shared" si="0"/>
        <v>105</v>
      </c>
      <c r="T10" s="767" t="s">
        <v>17</v>
      </c>
      <c r="U10" s="768">
        <f t="shared" si="1"/>
        <v>105</v>
      </c>
      <c r="V10" s="767" t="s">
        <v>17</v>
      </c>
      <c r="W10" s="768">
        <f t="shared" si="2"/>
        <v>105</v>
      </c>
      <c r="X10" s="769"/>
      <c r="Y10" s="3038"/>
      <c r="Z10" s="55" t="str">
        <f t="shared" si="7"/>
        <v>土地使用年限（年）</v>
      </c>
      <c r="AA10" s="770">
        <f t="shared" si="3"/>
        <v>0.95238095238095233</v>
      </c>
      <c r="AB10" s="770">
        <f t="shared" si="4"/>
        <v>0.95238095238095233</v>
      </c>
      <c r="AC10" s="770">
        <f t="shared" si="5"/>
        <v>0.95238095238095233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02"/>
      <c r="Q11" s="1795"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30" s="116" customFormat="1" ht="15">
      <c r="A12" s="430"/>
      <c r="B12" s="2599" t="s">
        <v>2741</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02"/>
      <c r="Q12" s="1795" t="str">
        <f t="shared" si="6"/>
        <v>配建</v>
      </c>
      <c r="R12" s="767" t="s">
        <v>17</v>
      </c>
      <c r="S12" s="768">
        <f t="shared" si="0"/>
        <v>100</v>
      </c>
      <c r="T12" s="767" t="s">
        <v>17</v>
      </c>
      <c r="U12" s="768">
        <f t="shared" si="1"/>
        <v>100</v>
      </c>
      <c r="V12" s="767" t="s">
        <v>17</v>
      </c>
      <c r="W12" s="768">
        <f t="shared" si="2"/>
        <v>100</v>
      </c>
      <c r="X12" s="769"/>
      <c r="Y12" s="3038"/>
      <c r="Z12" s="55"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02"/>
      <c r="Q13" s="1795">
        <f t="shared" si="6"/>
        <v>111</v>
      </c>
      <c r="R13" s="767" t="s">
        <v>17</v>
      </c>
      <c r="S13" s="768">
        <f t="shared" si="0"/>
        <v>100</v>
      </c>
      <c r="T13" s="767" t="s">
        <v>17</v>
      </c>
      <c r="U13" s="768">
        <f t="shared" si="1"/>
        <v>100</v>
      </c>
      <c r="V13" s="767" t="s">
        <v>17</v>
      </c>
      <c r="W13" s="768">
        <f t="shared" si="2"/>
        <v>100</v>
      </c>
      <c r="X13" s="769"/>
      <c r="Y13" s="3038"/>
      <c r="Z13" s="55">
        <f t="shared" si="7"/>
        <v>111</v>
      </c>
      <c r="AA13" s="770">
        <f>D13/F13</f>
        <v>1</v>
      </c>
      <c r="AB13" s="770">
        <f>D13/H13</f>
        <v>1</v>
      </c>
      <c r="AC13" s="770">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02"/>
      <c r="Q14" s="1795">
        <f t="shared" si="6"/>
        <v>111</v>
      </c>
      <c r="R14" s="767" t="s">
        <v>17</v>
      </c>
      <c r="S14" s="768">
        <f t="shared" si="0"/>
        <v>100</v>
      </c>
      <c r="T14" s="767" t="s">
        <v>17</v>
      </c>
      <c r="U14" s="768">
        <f t="shared" si="1"/>
        <v>100</v>
      </c>
      <c r="V14" s="767" t="s">
        <v>17</v>
      </c>
      <c r="W14" s="768">
        <f t="shared" si="2"/>
        <v>100</v>
      </c>
      <c r="X14" s="769"/>
      <c r="Y14" s="3038"/>
      <c r="Z14" s="55">
        <f t="shared" si="7"/>
        <v>111</v>
      </c>
      <c r="AA14" s="770">
        <f>D14/F14</f>
        <v>1</v>
      </c>
      <c r="AB14" s="770">
        <f>D14/H14</f>
        <v>1</v>
      </c>
      <c r="AC14" s="770">
        <f>D14/J14</f>
        <v>1</v>
      </c>
    </row>
    <row r="15" spans="1:30" ht="99.75">
      <c r="A15" s="439" t="s">
        <v>2553</v>
      </c>
      <c r="B15" s="68" t="s">
        <v>2077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95" t="s">
        <v>2554</v>
      </c>
      <c r="Q15" s="1810" t="str">
        <f t="shared" si="6"/>
        <v>居住社区成熟度</v>
      </c>
      <c r="R15" s="771" t="s">
        <v>17</v>
      </c>
      <c r="S15" s="772">
        <f t="shared" si="0"/>
        <v>100</v>
      </c>
      <c r="T15" s="771" t="s">
        <v>17</v>
      </c>
      <c r="U15" s="772">
        <f t="shared" si="1"/>
        <v>100</v>
      </c>
      <c r="V15" s="771" t="s">
        <v>17</v>
      </c>
      <c r="W15" s="772">
        <f t="shared" si="2"/>
        <v>100</v>
      </c>
      <c r="X15" s="1813"/>
      <c r="Y15" s="3195" t="s">
        <v>2554</v>
      </c>
      <c r="Z15" s="1814" t="str">
        <f t="shared" si="7"/>
        <v>居住社区成熟度</v>
      </c>
      <c r="AA15" s="1811">
        <f t="shared" si="3"/>
        <v>1</v>
      </c>
      <c r="AB15" s="1811">
        <f t="shared" si="4"/>
        <v>1</v>
      </c>
      <c r="AC15" s="1811">
        <f t="shared" si="5"/>
        <v>1</v>
      </c>
    </row>
    <row r="16" spans="1:30" ht="15">
      <c r="A16" s="427"/>
      <c r="B16" s="445"/>
      <c r="C16" s="446"/>
      <c r="D16" s="447"/>
      <c r="E16" s="2604"/>
      <c r="F16" s="447"/>
      <c r="G16" s="2604"/>
      <c r="H16" s="449"/>
      <c r="I16" s="2603"/>
      <c r="J16" s="447"/>
      <c r="K16" s="671"/>
      <c r="L16" s="1140"/>
      <c r="M16" s="1131"/>
      <c r="N16" s="1131"/>
      <c r="O16" s="1139"/>
      <c r="P16" s="3196"/>
      <c r="Q16" s="1810"/>
      <c r="R16" s="771"/>
      <c r="S16" s="772"/>
      <c r="T16" s="771"/>
      <c r="U16" s="772"/>
      <c r="V16" s="771"/>
      <c r="W16" s="772"/>
      <c r="X16" s="1813"/>
      <c r="Y16" s="3196"/>
      <c r="Z16" s="1814"/>
      <c r="AA16" s="1811">
        <v>1</v>
      </c>
      <c r="AB16" s="1811">
        <v>1</v>
      </c>
      <c r="AC16" s="1811">
        <v>1</v>
      </c>
    </row>
    <row r="17" spans="1:29" ht="71.25">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96"/>
      <c r="Q17" s="1810" t="str">
        <f>B17</f>
        <v>商业繁华度</v>
      </c>
      <c r="R17" s="771" t="s">
        <v>17</v>
      </c>
      <c r="S17" s="772">
        <f>F17</f>
        <v>100</v>
      </c>
      <c r="T17" s="771" t="s">
        <v>17</v>
      </c>
      <c r="U17" s="772">
        <f>H17</f>
        <v>100</v>
      </c>
      <c r="V17" s="771" t="s">
        <v>17</v>
      </c>
      <c r="W17" s="772">
        <f>J17</f>
        <v>100</v>
      </c>
      <c r="X17" s="1813"/>
      <c r="Y17" s="3196"/>
      <c r="Z17" s="1814" t="str">
        <f>Q17</f>
        <v>商业繁华度</v>
      </c>
      <c r="AA17" s="1811">
        <f t="shared" si="3"/>
        <v>1</v>
      </c>
      <c r="AB17" s="1811">
        <f t="shared" si="4"/>
        <v>1</v>
      </c>
      <c r="AC17" s="1811">
        <f t="shared" si="5"/>
        <v>1</v>
      </c>
    </row>
    <row r="18" spans="1:29" ht="15">
      <c r="A18" s="427"/>
      <c r="B18" s="455"/>
      <c r="C18" s="2607"/>
      <c r="D18" s="449"/>
      <c r="E18" s="2609"/>
      <c r="F18" s="449"/>
      <c r="G18" s="2609"/>
      <c r="H18" s="447"/>
      <c r="I18" s="2608"/>
      <c r="J18" s="447"/>
      <c r="K18" s="671"/>
      <c r="L18" s="1140"/>
      <c r="M18" s="1131"/>
      <c r="N18" s="1131"/>
      <c r="O18" s="1139"/>
      <c r="P18" s="3196"/>
      <c r="Q18" s="1810"/>
      <c r="R18" s="771"/>
      <c r="S18" s="772"/>
      <c r="T18" s="771"/>
      <c r="U18" s="772"/>
      <c r="V18" s="771"/>
      <c r="W18" s="772"/>
      <c r="X18" s="1813"/>
      <c r="Y18" s="3196"/>
      <c r="Z18" s="1814"/>
      <c r="AA18" s="1811">
        <v>1</v>
      </c>
      <c r="AB18" s="1811">
        <v>1</v>
      </c>
      <c r="AC18" s="1811">
        <v>1</v>
      </c>
    </row>
    <row r="19" spans="1:29" ht="71.25">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96"/>
      <c r="Q19" s="1810" t="str">
        <f>B19</f>
        <v>办公集聚程度</v>
      </c>
      <c r="R19" s="771" t="s">
        <v>17</v>
      </c>
      <c r="S19" s="772">
        <f>F19</f>
        <v>100</v>
      </c>
      <c r="T19" s="771" t="s">
        <v>17</v>
      </c>
      <c r="U19" s="772">
        <f>H19</f>
        <v>100</v>
      </c>
      <c r="V19" s="771" t="s">
        <v>17</v>
      </c>
      <c r="W19" s="772">
        <f>J19</f>
        <v>100</v>
      </c>
      <c r="X19" s="1813"/>
      <c r="Y19" s="3196"/>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71"/>
      <c r="L20" s="1140"/>
      <c r="M20" s="1131"/>
      <c r="N20" s="1131"/>
      <c r="O20" s="1139"/>
      <c r="P20" s="3196"/>
      <c r="Q20" s="1810"/>
      <c r="R20" s="771"/>
      <c r="S20" s="772"/>
      <c r="T20" s="771"/>
      <c r="U20" s="772"/>
      <c r="V20" s="771"/>
      <c r="W20" s="772"/>
      <c r="X20" s="1813"/>
      <c r="Y20" s="3196"/>
      <c r="Z20" s="1814"/>
      <c r="AA20" s="1811">
        <v>1</v>
      </c>
      <c r="AB20" s="1811">
        <v>1</v>
      </c>
      <c r="AC20" s="1811">
        <v>1</v>
      </c>
    </row>
    <row r="21" spans="1:29" ht="85.5">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96"/>
      <c r="Q21" s="1810" t="str">
        <f>B21</f>
        <v>交通便捷度</v>
      </c>
      <c r="R21" s="771" t="s">
        <v>17</v>
      </c>
      <c r="S21" s="772">
        <f>F21</f>
        <v>100</v>
      </c>
      <c r="T21" s="771" t="s">
        <v>17</v>
      </c>
      <c r="U21" s="772">
        <f>H21</f>
        <v>100</v>
      </c>
      <c r="V21" s="771" t="s">
        <v>17</v>
      </c>
      <c r="W21" s="772">
        <f>J21</f>
        <v>100</v>
      </c>
      <c r="X21" s="1813"/>
      <c r="Y21" s="3196"/>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71"/>
      <c r="L22" s="1140"/>
      <c r="M22" s="1131"/>
      <c r="N22" s="1131"/>
      <c r="O22" s="1139"/>
      <c r="P22" s="3196"/>
      <c r="Q22" s="1810"/>
      <c r="R22" s="771"/>
      <c r="S22" s="772"/>
      <c r="T22" s="771"/>
      <c r="U22" s="772"/>
      <c r="V22" s="771"/>
      <c r="W22" s="772"/>
      <c r="X22" s="1813"/>
      <c r="Y22" s="3196"/>
      <c r="Z22" s="1814"/>
      <c r="AA22" s="1811">
        <v>1</v>
      </c>
      <c r="AB22" s="1811">
        <v>1</v>
      </c>
      <c r="AC22" s="1811">
        <v>1</v>
      </c>
    </row>
    <row r="23" spans="1:29" ht="15">
      <c r="A23" s="403"/>
      <c r="B23" s="450" t="s">
        <v>2742</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96"/>
      <c r="Q23" s="1810" t="str">
        <f t="shared" ref="Q23:Q37" si="8">B23</f>
        <v>区域土地利用方向</v>
      </c>
      <c r="R23" s="771" t="s">
        <v>17</v>
      </c>
      <c r="S23" s="772">
        <f>F23</f>
        <v>100</v>
      </c>
      <c r="T23" s="771" t="s">
        <v>17</v>
      </c>
      <c r="U23" s="772">
        <f>H23</f>
        <v>100</v>
      </c>
      <c r="V23" s="771" t="s">
        <v>17</v>
      </c>
      <c r="W23" s="772">
        <f>J23</f>
        <v>100</v>
      </c>
      <c r="X23" s="1813"/>
      <c r="Y23" s="3196"/>
      <c r="Z23" s="1814" t="str">
        <f>Q23</f>
        <v>区域土地利用方向</v>
      </c>
      <c r="AA23" s="1811">
        <f t="shared" si="3"/>
        <v>1</v>
      </c>
      <c r="AB23" s="1811">
        <f t="shared" si="4"/>
        <v>1</v>
      </c>
      <c r="AC23" s="1811">
        <f t="shared" si="5"/>
        <v>1</v>
      </c>
    </row>
    <row r="24" spans="1:29" ht="15">
      <c r="A24" s="403"/>
      <c r="B24" s="455"/>
      <c r="C24" s="615"/>
      <c r="D24" s="447"/>
      <c r="E24" s="2604"/>
      <c r="F24" s="447"/>
      <c r="G24" s="2603"/>
      <c r="H24" s="447"/>
      <c r="I24" s="2603"/>
      <c r="J24" s="447"/>
      <c r="K24" s="809"/>
      <c r="L24" s="1140"/>
      <c r="M24" s="1131"/>
      <c r="N24" s="1131"/>
      <c r="O24" s="1139"/>
      <c r="P24" s="3196"/>
      <c r="Q24" s="1810"/>
      <c r="R24" s="771"/>
      <c r="S24" s="772"/>
      <c r="T24" s="771"/>
      <c r="U24" s="772"/>
      <c r="V24" s="771"/>
      <c r="W24" s="772"/>
      <c r="X24" s="1813"/>
      <c r="Y24" s="3196"/>
      <c r="Z24" s="1814"/>
      <c r="AA24" s="1811"/>
      <c r="AB24" s="1811"/>
      <c r="AC24" s="1811"/>
    </row>
    <row r="25" spans="1:29" ht="57">
      <c r="A25" s="403"/>
      <c r="B25" s="1384"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96"/>
      <c r="Q25" s="1810" t="str">
        <f t="shared" si="8"/>
        <v>自然及人文环境状况</v>
      </c>
      <c r="R25" s="771" t="s">
        <v>17</v>
      </c>
      <c r="S25" s="772">
        <f>F25</f>
        <v>100</v>
      </c>
      <c r="T25" s="771" t="s">
        <v>17</v>
      </c>
      <c r="U25" s="772">
        <f>H25</f>
        <v>100</v>
      </c>
      <c r="V25" s="771" t="s">
        <v>17</v>
      </c>
      <c r="W25" s="772">
        <f>J25</f>
        <v>100</v>
      </c>
      <c r="X25" s="1813"/>
      <c r="Y25" s="3196"/>
      <c r="Z25" s="1814" t="str">
        <f>Q25</f>
        <v>自然及人文环境状况</v>
      </c>
      <c r="AA25" s="1811">
        <f t="shared" si="3"/>
        <v>1</v>
      </c>
      <c r="AB25" s="1811">
        <f t="shared" si="4"/>
        <v>1</v>
      </c>
      <c r="AC25" s="1811">
        <f t="shared" si="5"/>
        <v>1</v>
      </c>
    </row>
    <row r="26" spans="1:29" ht="15">
      <c r="A26" s="403"/>
      <c r="B26" s="455"/>
      <c r="C26" s="446"/>
      <c r="D26" s="447"/>
      <c r="E26" s="2610"/>
      <c r="F26" s="447"/>
      <c r="G26" s="2610"/>
      <c r="H26" s="447"/>
      <c r="I26" s="446"/>
      <c r="J26" s="447"/>
      <c r="K26" s="671"/>
      <c r="L26" s="1140"/>
      <c r="M26" s="1131"/>
      <c r="N26" s="1131"/>
      <c r="O26" s="1139"/>
      <c r="P26" s="3196"/>
      <c r="Q26" s="1810"/>
      <c r="R26" s="771"/>
      <c r="S26" s="772"/>
      <c r="T26" s="771"/>
      <c r="U26" s="772"/>
      <c r="V26" s="771"/>
      <c r="W26" s="772"/>
      <c r="X26" s="1813"/>
      <c r="Y26" s="3196"/>
      <c r="Z26" s="1814"/>
      <c r="AA26" s="1811">
        <v>1</v>
      </c>
      <c r="AB26" s="1811">
        <v>1</v>
      </c>
      <c r="AC26" s="1811">
        <v>1</v>
      </c>
    </row>
    <row r="27" spans="1:29" s="116" customFormat="1" ht="42.75">
      <c r="A27" s="648"/>
      <c r="B27" s="1384"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96"/>
      <c r="Q27" s="1795" t="str">
        <f t="shared" si="8"/>
        <v>公共配套设施</v>
      </c>
      <c r="R27" s="767" t="s">
        <v>17</v>
      </c>
      <c r="S27" s="768">
        <f>F27</f>
        <v>100</v>
      </c>
      <c r="T27" s="767" t="s">
        <v>17</v>
      </c>
      <c r="U27" s="768">
        <f>H27</f>
        <v>100</v>
      </c>
      <c r="V27" s="767" t="s">
        <v>17</v>
      </c>
      <c r="W27" s="768">
        <f>J27</f>
        <v>100</v>
      </c>
      <c r="X27" s="769"/>
      <c r="Y27" s="3196"/>
      <c r="Z27" s="55" t="str">
        <f>Q27</f>
        <v>公共配套设施</v>
      </c>
      <c r="AA27" s="1811">
        <f>D27/F27</f>
        <v>1</v>
      </c>
      <c r="AB27" s="1811">
        <f>D27/H27</f>
        <v>1</v>
      </c>
      <c r="AC27" s="1811">
        <f>D27/J27</f>
        <v>1</v>
      </c>
    </row>
    <row r="28" spans="1:29" s="116" customFormat="1" ht="15">
      <c r="A28" s="648"/>
      <c r="B28" s="455"/>
      <c r="C28" s="2699"/>
      <c r="D28" s="447"/>
      <c r="E28" s="2610"/>
      <c r="F28" s="447"/>
      <c r="G28" s="2610"/>
      <c r="H28" s="447"/>
      <c r="I28" s="446"/>
      <c r="J28" s="447"/>
      <c r="K28" s="671"/>
      <c r="L28" s="1132"/>
      <c r="M28" s="1133"/>
      <c r="N28" s="1133"/>
      <c r="O28" s="1134"/>
      <c r="P28" s="3196"/>
      <c r="Q28" s="1795"/>
      <c r="R28" s="767"/>
      <c r="S28" s="768"/>
      <c r="T28" s="767"/>
      <c r="U28" s="768"/>
      <c r="V28" s="767"/>
      <c r="W28" s="768"/>
      <c r="X28" s="769"/>
      <c r="Y28" s="3196"/>
      <c r="Z28" s="55"/>
      <c r="AA28" s="1811">
        <v>1</v>
      </c>
      <c r="AB28" s="1811">
        <v>1</v>
      </c>
      <c r="AC28" s="1811">
        <v>1</v>
      </c>
    </row>
    <row r="29" spans="1:29" s="116" customFormat="1" ht="28.5">
      <c r="A29" s="648"/>
      <c r="B29" s="1384"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96"/>
      <c r="Q29" s="1795" t="str">
        <f t="shared" ref="Q29" si="9">B29</f>
        <v>基础设施水平</v>
      </c>
      <c r="R29" s="767" t="s">
        <v>17</v>
      </c>
      <c r="S29" s="768">
        <f>F29</f>
        <v>100</v>
      </c>
      <c r="T29" s="767" t="s">
        <v>17</v>
      </c>
      <c r="U29" s="768">
        <f>H29</f>
        <v>100</v>
      </c>
      <c r="V29" s="767" t="s">
        <v>17</v>
      </c>
      <c r="W29" s="768">
        <f>J29</f>
        <v>100</v>
      </c>
      <c r="X29" s="769"/>
      <c r="Y29" s="3196"/>
      <c r="Z29" s="55" t="str">
        <f>Q29</f>
        <v>基础设施水平</v>
      </c>
      <c r="AA29" s="1811">
        <f>D29/F29</f>
        <v>1</v>
      </c>
      <c r="AB29" s="1811">
        <f>D29/H29</f>
        <v>1</v>
      </c>
      <c r="AC29" s="1811">
        <f>D29/J29</f>
        <v>1</v>
      </c>
    </row>
    <row r="30" spans="1:29" s="116" customFormat="1" ht="15">
      <c r="A30" s="648"/>
      <c r="B30" s="455"/>
      <c r="C30" s="2699"/>
      <c r="D30" s="447"/>
      <c r="E30" s="2700"/>
      <c r="F30" s="447"/>
      <c r="G30" s="2700"/>
      <c r="H30" s="447"/>
      <c r="I30" s="2700"/>
      <c r="J30" s="447"/>
      <c r="K30" s="671"/>
      <c r="L30" s="1132"/>
      <c r="M30" s="1133"/>
      <c r="N30" s="1133"/>
      <c r="O30" s="1134"/>
      <c r="P30" s="3196"/>
      <c r="Q30" s="1795"/>
      <c r="R30" s="767"/>
      <c r="S30" s="768"/>
      <c r="T30" s="767"/>
      <c r="U30" s="768"/>
      <c r="V30" s="767"/>
      <c r="W30" s="768"/>
      <c r="X30" s="769"/>
      <c r="Y30" s="3196"/>
      <c r="Z30" s="55"/>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96"/>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96"/>
      <c r="Z31" s="1814" t="str">
        <f t="shared" ref="Z31:Z45" si="13">Q31</f>
        <v>临街状况</v>
      </c>
      <c r="AA31" s="1811">
        <f t="shared" si="3"/>
        <v>1</v>
      </c>
      <c r="AB31" s="1811">
        <f t="shared" si="4"/>
        <v>1</v>
      </c>
      <c r="AC31" s="1811">
        <f t="shared" si="5"/>
        <v>1</v>
      </c>
    </row>
    <row r="32" spans="1:29" ht="27">
      <c r="A32" s="427"/>
      <c r="B32" s="1384"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96"/>
      <c r="Q32" s="1810" t="str">
        <f t="shared" si="8"/>
        <v>毗邻道路的类型与等级</v>
      </c>
      <c r="R32" s="771" t="s">
        <v>17</v>
      </c>
      <c r="S32" s="772">
        <f t="shared" si="10"/>
        <v>100</v>
      </c>
      <c r="T32" s="771" t="s">
        <v>17</v>
      </c>
      <c r="U32" s="772">
        <f t="shared" si="11"/>
        <v>100</v>
      </c>
      <c r="V32" s="771" t="s">
        <v>17</v>
      </c>
      <c r="W32" s="772">
        <f t="shared" si="12"/>
        <v>100</v>
      </c>
      <c r="X32" s="1813"/>
      <c r="Y32" s="3196"/>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0"/>
      <c r="M33" s="1131"/>
      <c r="N33" s="1131"/>
      <c r="O33" s="1139"/>
      <c r="P33" s="3196"/>
      <c r="Q33" s="1810"/>
      <c r="R33" s="771"/>
      <c r="S33" s="772"/>
      <c r="T33" s="771"/>
      <c r="U33" s="772"/>
      <c r="V33" s="771"/>
      <c r="W33" s="772"/>
      <c r="X33" s="1813"/>
      <c r="Y33" s="3196"/>
      <c r="Z33" s="1814"/>
      <c r="AA33" s="1811">
        <v>1</v>
      </c>
      <c r="AB33" s="1811">
        <v>1</v>
      </c>
      <c r="AC33" s="1811">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96"/>
      <c r="Q34" s="1810" t="str">
        <f t="shared" si="8"/>
        <v>土地级别</v>
      </c>
      <c r="R34" s="771" t="s">
        <v>17</v>
      </c>
      <c r="S34" s="772">
        <f t="shared" si="10"/>
        <v>100</v>
      </c>
      <c r="T34" s="771" t="s">
        <v>17</v>
      </c>
      <c r="U34" s="772">
        <f t="shared" si="11"/>
        <v>100</v>
      </c>
      <c r="V34" s="771" t="s">
        <v>17</v>
      </c>
      <c r="W34" s="772">
        <f t="shared" si="12"/>
        <v>100</v>
      </c>
      <c r="X34" s="1813"/>
      <c r="Y34" s="3196"/>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96"/>
      <c r="Q35" s="1810">
        <f t="shared" si="8"/>
        <v>111</v>
      </c>
      <c r="R35" s="771" t="s">
        <v>17</v>
      </c>
      <c r="S35" s="772">
        <f t="shared" si="10"/>
        <v>100</v>
      </c>
      <c r="T35" s="771" t="s">
        <v>17</v>
      </c>
      <c r="U35" s="772">
        <f t="shared" si="11"/>
        <v>100</v>
      </c>
      <c r="V35" s="771" t="s">
        <v>17</v>
      </c>
      <c r="W35" s="772">
        <f t="shared" si="12"/>
        <v>100</v>
      </c>
      <c r="X35" s="1813"/>
      <c r="Y35" s="3196"/>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49" t="s">
        <v>2559</v>
      </c>
      <c r="Q36" s="1810">
        <f t="shared" si="8"/>
        <v>111</v>
      </c>
      <c r="R36" s="771" t="s">
        <v>17</v>
      </c>
      <c r="S36" s="772">
        <f t="shared" si="10"/>
        <v>100</v>
      </c>
      <c r="T36" s="771" t="s">
        <v>17</v>
      </c>
      <c r="U36" s="772">
        <f t="shared" si="11"/>
        <v>100</v>
      </c>
      <c r="V36" s="771" t="s">
        <v>17</v>
      </c>
      <c r="W36" s="772">
        <f t="shared" si="12"/>
        <v>100</v>
      </c>
      <c r="X36" s="1813"/>
      <c r="Y36" s="3200" t="s">
        <v>2559</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00"/>
      <c r="Q37" s="1810">
        <f t="shared" si="8"/>
        <v>111</v>
      </c>
      <c r="R37" s="774" t="s">
        <v>17</v>
      </c>
      <c r="S37" s="775">
        <f t="shared" si="10"/>
        <v>100</v>
      </c>
      <c r="T37" s="774" t="s">
        <v>17</v>
      </c>
      <c r="U37" s="775">
        <f t="shared" si="11"/>
        <v>100</v>
      </c>
      <c r="V37" s="774" t="s">
        <v>17</v>
      </c>
      <c r="W37" s="775">
        <f t="shared" si="12"/>
        <v>100</v>
      </c>
      <c r="X37" s="776"/>
      <c r="Y37" s="3200"/>
      <c r="Z37" s="777">
        <f t="shared" si="13"/>
        <v>111</v>
      </c>
      <c r="AA37" s="1811">
        <f t="shared" si="3"/>
        <v>1</v>
      </c>
      <c r="AB37" s="1811">
        <f t="shared" si="4"/>
        <v>1</v>
      </c>
      <c r="AC37" s="1811">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00"/>
      <c r="Q38" s="1810" t="str">
        <f>B38</f>
        <v>宗地面积</v>
      </c>
      <c r="R38" s="771" t="s">
        <v>17</v>
      </c>
      <c r="S38" s="772" t="e">
        <f t="shared" si="10"/>
        <v>#N/A</v>
      </c>
      <c r="T38" s="771" t="s">
        <v>17</v>
      </c>
      <c r="U38" s="772" t="e">
        <f t="shared" si="11"/>
        <v>#N/A</v>
      </c>
      <c r="V38" s="771" t="s">
        <v>17</v>
      </c>
      <c r="W38" s="772" t="e">
        <f t="shared" si="12"/>
        <v>#N/A</v>
      </c>
      <c r="X38" s="1813"/>
      <c r="Y38" s="3200"/>
      <c r="Z38" s="1814" t="str">
        <f t="shared" si="13"/>
        <v>宗地面积</v>
      </c>
      <c r="AA38" s="1811" t="e">
        <f t="shared" si="3"/>
        <v>#N/A</v>
      </c>
      <c r="AB38" s="1811" t="e">
        <f t="shared" si="4"/>
        <v>#N/A</v>
      </c>
      <c r="AC38" s="1811"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00"/>
      <c r="Q39" s="1810" t="str">
        <f t="shared" ref="Q39:Q45" si="14">B39</f>
        <v>宗地形状</v>
      </c>
      <c r="R39" s="771" t="s">
        <v>17</v>
      </c>
      <c r="S39" s="772">
        <f t="shared" si="10"/>
        <v>100</v>
      </c>
      <c r="T39" s="771" t="s">
        <v>17</v>
      </c>
      <c r="U39" s="772">
        <f t="shared" si="11"/>
        <v>100</v>
      </c>
      <c r="V39" s="771" t="s">
        <v>17</v>
      </c>
      <c r="W39" s="772">
        <f t="shared" si="12"/>
        <v>100</v>
      </c>
      <c r="X39" s="1813"/>
      <c r="Y39" s="3200"/>
      <c r="Z39" s="1814" t="str">
        <f t="shared" si="13"/>
        <v>宗地形状</v>
      </c>
      <c r="AA39" s="1811">
        <f t="shared" si="3"/>
        <v>1</v>
      </c>
      <c r="AB39" s="1811">
        <f t="shared" si="4"/>
        <v>1</v>
      </c>
      <c r="AC39" s="1811">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00"/>
      <c r="Q40" s="1810" t="str">
        <f t="shared" si="14"/>
        <v>临街宽度及深度</v>
      </c>
      <c r="R40" s="771" t="s">
        <v>17</v>
      </c>
      <c r="S40" s="772">
        <f t="shared" si="10"/>
        <v>100</v>
      </c>
      <c r="T40" s="771" t="s">
        <v>17</v>
      </c>
      <c r="U40" s="772">
        <f t="shared" si="11"/>
        <v>100</v>
      </c>
      <c r="V40" s="771" t="s">
        <v>17</v>
      </c>
      <c r="W40" s="772">
        <f t="shared" si="12"/>
        <v>100</v>
      </c>
      <c r="X40" s="1813"/>
      <c r="Y40" s="3200"/>
      <c r="Z40" s="1814" t="str">
        <f t="shared" si="13"/>
        <v>临街宽度及深度</v>
      </c>
      <c r="AA40" s="1811">
        <f t="shared" si="3"/>
        <v>1</v>
      </c>
      <c r="AB40" s="1811">
        <f t="shared" si="4"/>
        <v>1</v>
      </c>
      <c r="AC40" s="1811">
        <f t="shared" si="5"/>
        <v>1</v>
      </c>
    </row>
    <row r="41" spans="1:29" s="116" customFormat="1" ht="15">
      <c r="A41" s="472"/>
      <c r="B41" s="421" t="s">
        <v>2748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00"/>
      <c r="Q41" s="1810" t="str">
        <f t="shared" si="14"/>
        <v>宗地开发程度</v>
      </c>
      <c r="R41" s="767" t="s">
        <v>17</v>
      </c>
      <c r="S41" s="768">
        <f t="shared" si="10"/>
        <v>100</v>
      </c>
      <c r="T41" s="767" t="s">
        <v>17</v>
      </c>
      <c r="U41" s="768">
        <f t="shared" si="11"/>
        <v>100</v>
      </c>
      <c r="V41" s="767" t="s">
        <v>17</v>
      </c>
      <c r="W41" s="768">
        <f t="shared" si="12"/>
        <v>100</v>
      </c>
      <c r="X41" s="769"/>
      <c r="Y41" s="3200"/>
      <c r="Z41" s="55" t="str">
        <f t="shared" si="13"/>
        <v>宗地开发程度</v>
      </c>
      <c r="AA41" s="770">
        <f t="shared" si="3"/>
        <v>1</v>
      </c>
      <c r="AB41" s="770">
        <f t="shared" si="4"/>
        <v>1</v>
      </c>
      <c r="AC41" s="770">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00" t="s">
        <v>2559</v>
      </c>
      <c r="Q42" s="1810" t="str">
        <f t="shared" si="14"/>
        <v>工程地质条件</v>
      </c>
      <c r="R42" s="771" t="s">
        <v>17</v>
      </c>
      <c r="S42" s="772">
        <f t="shared" si="10"/>
        <v>100</v>
      </c>
      <c r="T42" s="771" t="s">
        <v>17</v>
      </c>
      <c r="U42" s="772">
        <f t="shared" si="11"/>
        <v>100</v>
      </c>
      <c r="V42" s="771" t="s">
        <v>17</v>
      </c>
      <c r="W42" s="772">
        <f t="shared" si="12"/>
        <v>100</v>
      </c>
      <c r="X42" s="1813"/>
      <c r="Y42" s="3200" t="s">
        <v>2559</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00"/>
      <c r="Q43" s="1810">
        <f t="shared" si="14"/>
        <v>111</v>
      </c>
      <c r="R43" s="771" t="s">
        <v>17</v>
      </c>
      <c r="S43" s="772">
        <f t="shared" si="10"/>
        <v>100</v>
      </c>
      <c r="T43" s="771" t="s">
        <v>17</v>
      </c>
      <c r="U43" s="772">
        <f t="shared" si="11"/>
        <v>100</v>
      </c>
      <c r="V43" s="771" t="s">
        <v>17</v>
      </c>
      <c r="W43" s="772">
        <f t="shared" si="12"/>
        <v>100</v>
      </c>
      <c r="X43" s="1813"/>
      <c r="Y43" s="3200"/>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00"/>
      <c r="Q44" s="1810">
        <f t="shared" si="14"/>
        <v>111</v>
      </c>
      <c r="R44" s="771" t="s">
        <v>17</v>
      </c>
      <c r="S44" s="772">
        <f t="shared" si="10"/>
        <v>100</v>
      </c>
      <c r="T44" s="771" t="s">
        <v>17</v>
      </c>
      <c r="U44" s="772">
        <f t="shared" si="11"/>
        <v>100</v>
      </c>
      <c r="V44" s="771" t="s">
        <v>17</v>
      </c>
      <c r="W44" s="772">
        <f t="shared" si="12"/>
        <v>100</v>
      </c>
      <c r="X44" s="1813"/>
      <c r="Y44" s="3200"/>
      <c r="Z44" s="1814">
        <f t="shared" si="13"/>
        <v>111</v>
      </c>
      <c r="AA44" s="1811">
        <f t="shared" si="3"/>
        <v>1</v>
      </c>
      <c r="AB44" s="1811">
        <f t="shared" si="4"/>
        <v>1</v>
      </c>
      <c r="AC44" s="1811">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00"/>
      <c r="Q45" s="1810">
        <f t="shared" si="14"/>
        <v>111</v>
      </c>
      <c r="R45" s="774" t="s">
        <v>17</v>
      </c>
      <c r="S45" s="775">
        <f t="shared" si="10"/>
        <v>100</v>
      </c>
      <c r="T45" s="774" t="s">
        <v>17</v>
      </c>
      <c r="U45" s="775">
        <f t="shared" si="11"/>
        <v>100</v>
      </c>
      <c r="V45" s="774" t="s">
        <v>17</v>
      </c>
      <c r="W45" s="775">
        <f t="shared" si="12"/>
        <v>100</v>
      </c>
      <c r="X45" s="776"/>
      <c r="Y45" s="3200"/>
      <c r="Z45" s="777">
        <f t="shared" si="13"/>
        <v>111</v>
      </c>
      <c r="AA45" s="1811">
        <f t="shared" si="3"/>
        <v>1</v>
      </c>
      <c r="AB45" s="1811">
        <f t="shared" si="4"/>
        <v>1</v>
      </c>
      <c r="AC45" s="1811">
        <f t="shared" si="5"/>
        <v>1</v>
      </c>
    </row>
    <row r="46" spans="1:29" ht="15">
      <c r="A46" s="478" t="s">
        <v>2714</v>
      </c>
      <c r="B46" s="2703" t="s">
        <v>2750</v>
      </c>
      <c r="C46" s="681" t="s">
        <v>1</v>
      </c>
      <c r="D46" s="480"/>
      <c r="E46" s="481"/>
      <c r="F46" s="482"/>
      <c r="G46" s="483"/>
      <c r="H46" s="484"/>
      <c r="I46" s="481"/>
      <c r="J46" s="484"/>
      <c r="K46" s="780"/>
      <c r="L46" s="1143"/>
      <c r="M46" s="1144"/>
      <c r="N46" s="1131"/>
      <c r="O46" s="1144"/>
      <c r="P46" s="3202" t="str">
        <f>A46</f>
        <v>成交单价</v>
      </c>
      <c r="Q46" s="3202"/>
      <c r="R46" s="3164">
        <f>E46</f>
        <v>0</v>
      </c>
      <c r="S46" s="3164"/>
      <c r="T46" s="3164">
        <f>G46</f>
        <v>0</v>
      </c>
      <c r="U46" s="3164"/>
      <c r="V46" s="3164">
        <f>I46</f>
        <v>0</v>
      </c>
      <c r="W46" s="3164"/>
      <c r="X46" s="756"/>
      <c r="Y46" s="778"/>
      <c r="Z46" s="756"/>
      <c r="AA46" s="756"/>
      <c r="AB46" s="756"/>
      <c r="AC46" s="756"/>
    </row>
    <row r="47" spans="1:29" ht="15.75" thickBot="1">
      <c r="A47" s="485" t="s">
        <v>2663</v>
      </c>
      <c r="B47" s="682"/>
      <c r="C47" s="489" t="e">
        <f>R48</f>
        <v>#DIV/0!</v>
      </c>
      <c r="D47" s="488"/>
      <c r="E47" s="489" t="e">
        <f>R47</f>
        <v>#DIV/0!</v>
      </c>
      <c r="F47" s="490"/>
      <c r="G47" s="487" t="e">
        <f>T47</f>
        <v>#DIV/0!</v>
      </c>
      <c r="H47" s="488"/>
      <c r="I47" s="489" t="e">
        <f>V47</f>
        <v>#DIV/0!</v>
      </c>
      <c r="J47" s="488"/>
      <c r="K47" s="781"/>
      <c r="L47" s="1143"/>
      <c r="M47" s="1144"/>
      <c r="N47" s="1144"/>
      <c r="O47" s="1144"/>
      <c r="P47" s="3202" t="str">
        <f>A47</f>
        <v>比较价值（元/平方米）</v>
      </c>
      <c r="Q47" s="3202"/>
      <c r="R47" s="3250" t="e">
        <f>ROUND(PRODUCT(R46,AA7:AA45),0)</f>
        <v>#DIV/0!</v>
      </c>
      <c r="S47" s="3250"/>
      <c r="T47" s="3250" t="e">
        <f>ROUND(PRODUCT(T46,AB7:AB45),0)</f>
        <v>#DIV/0!</v>
      </c>
      <c r="U47" s="3250"/>
      <c r="V47" s="3250" t="e">
        <f>ROUND(PRODUCT(V46,AC7:AC45),0)</f>
        <v>#DIV/0!</v>
      </c>
      <c r="W47" s="3250"/>
      <c r="X47" s="756"/>
      <c r="Y47" s="756"/>
      <c r="Z47" s="756"/>
      <c r="AA47" s="756"/>
      <c r="AB47" s="756"/>
      <c r="AC47" s="756"/>
    </row>
    <row r="48" spans="1:29" ht="15.75" thickBot="1">
      <c r="A48" s="491" t="s">
        <v>2751</v>
      </c>
      <c r="B48" s="492"/>
      <c r="C48" s="493" t="e">
        <f>R48</f>
        <v>#DIV/0!</v>
      </c>
      <c r="D48" s="493"/>
      <c r="E48" s="493"/>
      <c r="F48" s="493"/>
      <c r="G48" s="493"/>
      <c r="H48" s="493"/>
      <c r="I48" s="493"/>
      <c r="J48" s="493"/>
      <c r="K48" s="782"/>
      <c r="L48" s="1143"/>
      <c r="M48" s="1144"/>
      <c r="N48" s="1144"/>
      <c r="O48" s="1144"/>
      <c r="P48" s="3204" t="str">
        <f>A48</f>
        <v>估价对象XX用房的比较价值（楼面单价，元/平方米）</v>
      </c>
      <c r="Q48" s="3205"/>
      <c r="R48" s="3251" t="e">
        <f>ROUND(AVERAGE(R47:V47),0)</f>
        <v>#DIV/0!</v>
      </c>
      <c r="S48" s="3251"/>
      <c r="T48" s="3251"/>
      <c r="U48" s="3251"/>
      <c r="V48" s="3251"/>
      <c r="W48" s="325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2752</v>
      </c>
      <c r="B55" s="684" t="s">
        <v>2753</v>
      </c>
      <c r="C55" s="2704" t="s">
        <v>2754</v>
      </c>
      <c r="D55" s="2705" t="s">
        <v>2755</v>
      </c>
      <c r="E55" s="685" t="s">
        <v>2756</v>
      </c>
      <c r="F55" s="1107" t="s">
        <v>2757</v>
      </c>
      <c r="G55" s="3180" t="s">
        <v>2758</v>
      </c>
      <c r="H55" s="3252"/>
      <c r="I55" s="143" t="s">
        <v>2759</v>
      </c>
      <c r="J55" s="2706" t="str">
        <f>项目基本情况!F35</f>
        <v>上海市浦东新区惠南镇</v>
      </c>
      <c r="K55" s="2707" t="s">
        <v>2760</v>
      </c>
      <c r="L55" s="1106"/>
      <c r="M55" s="1144"/>
      <c r="N55" s="1144"/>
      <c r="O55" s="1144"/>
    </row>
    <row r="56" spans="1:15" s="691" customFormat="1">
      <c r="A56" s="687" t="s">
        <v>2761</v>
      </c>
      <c r="B56" s="688" t="e">
        <f>C48</f>
        <v>#DIV/0!</v>
      </c>
      <c r="C56" s="689">
        <v>1</v>
      </c>
      <c r="D56" s="1163">
        <v>1</v>
      </c>
      <c r="E56" s="689">
        <f>'数据-汇总表'!E8+'数据-汇总表'!E9</f>
        <v>31156.999999999996</v>
      </c>
      <c r="F56" s="1103" t="e">
        <f t="shared" ref="F56:F65" si="15">ROUND(B56*E56/10000,0)</f>
        <v>#DIV/0!</v>
      </c>
      <c r="G56" s="3179"/>
      <c r="H56" s="3202"/>
      <c r="I56" s="1108">
        <v>1</v>
      </c>
      <c r="J56" s="1111">
        <v>1</v>
      </c>
      <c r="K56" s="1145"/>
      <c r="L56" s="941"/>
      <c r="M56" s="941"/>
      <c r="N56" s="941"/>
      <c r="O56" s="941"/>
    </row>
    <row r="57" spans="1:15" s="691" customFormat="1">
      <c r="A57" s="692" t="s">
        <v>2762</v>
      </c>
      <c r="B57" s="261" t="e">
        <f>ROUND($C$48*C57*D57,0)</f>
        <v>#DIV/0!</v>
      </c>
      <c r="C57" s="199">
        <f t="shared" ref="C57:C65" si="16">IF($C$55="北京市系数",I57,J57)</f>
        <v>0</v>
      </c>
      <c r="D57" s="1164">
        <v>0.25</v>
      </c>
      <c r="E57" s="693"/>
      <c r="F57" s="1103" t="e">
        <f t="shared" si="15"/>
        <v>#DIV/0!</v>
      </c>
      <c r="G57" s="3253" t="s">
        <v>2763</v>
      </c>
      <c r="H57" s="1104">
        <f>项目基本情况!B37</f>
        <v>0</v>
      </c>
      <c r="I57" s="1108">
        <f>SUMIF(修正!A45:A56,H57,修正!B45:B56)</f>
        <v>0</v>
      </c>
      <c r="J57" s="1112"/>
      <c r="K57" s="1144"/>
      <c r="L57" s="941"/>
      <c r="M57" s="941"/>
      <c r="N57" s="941"/>
      <c r="O57" s="941"/>
    </row>
    <row r="58" spans="1:15" s="691" customFormat="1">
      <c r="A58" s="692" t="s">
        <v>2764</v>
      </c>
      <c r="B58" s="261" t="e">
        <f t="shared" ref="B58:B65" si="17">ROUND($C$48*C58*D58,0)</f>
        <v>#DIV/0!</v>
      </c>
      <c r="C58" s="199">
        <f t="shared" si="16"/>
        <v>0</v>
      </c>
      <c r="D58" s="1164">
        <v>0.25</v>
      </c>
      <c r="E58" s="693"/>
      <c r="F58" s="1103" t="e">
        <f t="shared" si="15"/>
        <v>#DIV/0!</v>
      </c>
      <c r="G58" s="3253"/>
      <c r="H58" s="1104">
        <f>项目基本情况!B37</f>
        <v>0</v>
      </c>
      <c r="I58" s="1108">
        <f>SUMIF(修正!A45:A56,H58,修正!C45:C56)</f>
        <v>0</v>
      </c>
      <c r="J58" s="1112"/>
      <c r="K58" s="1145"/>
      <c r="L58" s="941"/>
      <c r="M58" s="941"/>
      <c r="N58" s="941"/>
      <c r="O58" s="941"/>
    </row>
    <row r="59" spans="1:15" s="691" customFormat="1">
      <c r="A59" s="692" t="s">
        <v>2765</v>
      </c>
      <c r="B59" s="261" t="e">
        <f t="shared" si="17"/>
        <v>#DIV/0!</v>
      </c>
      <c r="C59" s="199">
        <f t="shared" si="16"/>
        <v>0</v>
      </c>
      <c r="D59" s="1164">
        <v>0.25</v>
      </c>
      <c r="E59" s="693"/>
      <c r="F59" s="1103" t="e">
        <f t="shared" si="15"/>
        <v>#DIV/0!</v>
      </c>
      <c r="G59" s="3253"/>
      <c r="H59" s="1104">
        <f>项目基本情况!B37</f>
        <v>0</v>
      </c>
      <c r="I59" s="1108">
        <f>SUMIF(修正!A45:A56,H59,修正!D45:D56)</f>
        <v>0</v>
      </c>
      <c r="J59" s="1112"/>
      <c r="K59" s="1144"/>
      <c r="L59" s="941"/>
      <c r="M59" s="941"/>
      <c r="N59" s="941"/>
      <c r="O59" s="941"/>
    </row>
    <row r="60" spans="1:15" s="691" customFormat="1">
      <c r="A60" s="692" t="s">
        <v>2766</v>
      </c>
      <c r="B60" s="261" t="e">
        <f t="shared" si="17"/>
        <v>#DIV/0!</v>
      </c>
      <c r="C60" s="199">
        <f t="shared" si="16"/>
        <v>0</v>
      </c>
      <c r="D60" s="1164">
        <v>0.25</v>
      </c>
      <c r="E60" s="693"/>
      <c r="F60" s="1103" t="e">
        <f t="shared" si="15"/>
        <v>#DIV/0!</v>
      </c>
      <c r="G60" s="3253"/>
      <c r="H60" s="1104">
        <f>项目基本情况!B37</f>
        <v>0</v>
      </c>
      <c r="I60" s="1108">
        <f>SUMIF(修正!A45:A56,H60,修正!E45:E56)</f>
        <v>0</v>
      </c>
      <c r="J60" s="1112"/>
      <c r="K60" s="1145"/>
      <c r="L60" s="941"/>
      <c r="M60" s="941"/>
      <c r="N60" s="941"/>
      <c r="O60" s="941"/>
    </row>
    <row r="61" spans="1:15" s="691" customFormat="1">
      <c r="A61" s="692" t="s">
        <v>2767</v>
      </c>
      <c r="B61" s="261" t="e">
        <f t="shared" si="17"/>
        <v>#DIV/0!</v>
      </c>
      <c r="C61" s="199">
        <f t="shared" si="16"/>
        <v>0</v>
      </c>
      <c r="D61" s="1164">
        <v>0.25</v>
      </c>
      <c r="E61" s="260">
        <f>'数据-汇总表'!E11</f>
        <v>0</v>
      </c>
      <c r="F61" s="1103" t="e">
        <f t="shared" si="15"/>
        <v>#DIV/0!</v>
      </c>
      <c r="G61" s="2708" t="s">
        <v>2768</v>
      </c>
      <c r="H61" s="1104">
        <f>项目基本情况!C37</f>
        <v>0</v>
      </c>
      <c r="I61" s="1108">
        <f>SUMIF(修正!A45:A56,H61,修正!F45:F56)</f>
        <v>0</v>
      </c>
      <c r="J61" s="1112"/>
      <c r="K61" s="1144"/>
      <c r="L61" s="941"/>
      <c r="M61" s="941"/>
      <c r="N61" s="941"/>
      <c r="O61" s="941"/>
    </row>
    <row r="62" spans="1:15" s="691" customFormat="1">
      <c r="A62" s="692" t="s">
        <v>2769</v>
      </c>
      <c r="B62" s="261" t="e">
        <f t="shared" si="17"/>
        <v>#DIV/0!</v>
      </c>
      <c r="C62" s="199">
        <f t="shared" si="16"/>
        <v>0</v>
      </c>
      <c r="D62" s="1164">
        <v>0.25</v>
      </c>
      <c r="E62" s="260">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2771</v>
      </c>
      <c r="B63" s="261" t="e">
        <f t="shared" si="17"/>
        <v>#DIV/0!</v>
      </c>
      <c r="C63" s="199">
        <f t="shared" si="16"/>
        <v>0</v>
      </c>
      <c r="D63" s="1164">
        <v>0.25</v>
      </c>
      <c r="E63" s="260">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2773</v>
      </c>
      <c r="B64" s="261" t="e">
        <f t="shared" si="17"/>
        <v>#DIV/0!</v>
      </c>
      <c r="C64" s="199">
        <f t="shared" si="16"/>
        <v>0</v>
      </c>
      <c r="D64" s="1164">
        <v>0.25</v>
      </c>
      <c r="E64" s="260">
        <f>'数据-汇总表'!E14</f>
        <v>0</v>
      </c>
      <c r="F64" s="1103" t="e">
        <f t="shared" si="15"/>
        <v>#DIV/0!</v>
      </c>
      <c r="G64" s="2708" t="s">
        <v>2763</v>
      </c>
      <c r="H64" s="1104">
        <f>项目基本情况!B37</f>
        <v>0</v>
      </c>
      <c r="I64" s="1108">
        <f>SUMIF(修正!A45:A56,H64,修正!H45:H56)</f>
        <v>0</v>
      </c>
      <c r="J64" s="1112"/>
      <c r="K64" s="1145"/>
      <c r="L64" s="941"/>
      <c r="M64" s="941"/>
      <c r="N64" s="941"/>
      <c r="O64" s="941"/>
    </row>
    <row r="65" spans="1:17" s="691" customFormat="1" ht="15" thickBot="1">
      <c r="A65" s="692" t="s">
        <v>2774</v>
      </c>
      <c r="B65" s="261" t="e">
        <f t="shared" si="17"/>
        <v>#DIV/0!</v>
      </c>
      <c r="C65" s="199">
        <f t="shared" si="16"/>
        <v>0</v>
      </c>
      <c r="D65" s="1164">
        <v>0.25</v>
      </c>
      <c r="E65" s="260">
        <f>'数据-汇总表'!E15</f>
        <v>0</v>
      </c>
      <c r="F65" s="1103" t="e">
        <f t="shared" si="15"/>
        <v>#DIV/0!</v>
      </c>
      <c r="G65" s="2709" t="s">
        <v>2768</v>
      </c>
      <c r="H65" s="1114">
        <f>项目基本情况!C37</f>
        <v>0</v>
      </c>
      <c r="I65" s="1110">
        <f>SUMIF(修正!A45:A56,H65,修正!H45:H56)</f>
        <v>0</v>
      </c>
      <c r="J65" s="1113"/>
      <c r="K65" s="1144"/>
      <c r="L65" s="941"/>
      <c r="M65" s="941"/>
      <c r="N65" s="941"/>
      <c r="O65" s="941"/>
    </row>
    <row r="66" spans="1:17" s="691" customFormat="1" ht="13.5" thickBot="1">
      <c r="A66" s="694" t="s">
        <v>2775</v>
      </c>
      <c r="B66" s="695" t="s">
        <v>28</v>
      </c>
      <c r="C66" s="695" t="s">
        <v>29</v>
      </c>
      <c r="D66" s="695" t="s">
        <v>1026</v>
      </c>
      <c r="E66" s="695">
        <f>IF(B46="楼面地价",SUM(E56:E65),'数据-汇总表'!D3)</f>
        <v>31156.999999999996</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2668</v>
      </c>
      <c r="B69" s="756"/>
      <c r="C69" s="761"/>
      <c r="D69" s="761"/>
      <c r="E69" s="761"/>
      <c r="F69" s="762"/>
      <c r="G69" s="762"/>
      <c r="H69" s="761"/>
      <c r="I69" s="761"/>
      <c r="J69" s="1159"/>
      <c r="K69" s="1160"/>
      <c r="L69" s="1161"/>
      <c r="M69" s="1159"/>
      <c r="N69" s="1159"/>
      <c r="O69" s="1159"/>
      <c r="P69" s="502"/>
      <c r="Q69" s="503"/>
    </row>
    <row r="70" spans="1:17" s="507" customFormat="1" ht="15">
      <c r="A70" s="2710" t="s">
        <v>2776</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6"/>
    </row>
    <row r="71" spans="1:17" s="116" customFormat="1" ht="30" customHeight="1">
      <c r="A71" s="2711" t="s">
        <v>2777</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2579</v>
      </c>
      <c r="B72" s="515"/>
      <c r="C72" s="516"/>
      <c r="D72" s="517"/>
      <c r="E72" s="517"/>
      <c r="F72" s="517"/>
      <c r="G72" s="517"/>
      <c r="H72" s="517"/>
      <c r="I72" s="517"/>
      <c r="J72" s="517"/>
      <c r="K72" s="517"/>
      <c r="L72" s="517"/>
      <c r="M72" s="518"/>
      <c r="N72" s="517"/>
      <c r="O72" s="1162"/>
      <c r="P72" s="503"/>
      <c r="Q72" s="503"/>
    </row>
    <row r="73" spans="1:17" s="116" customFormat="1" ht="15">
      <c r="A73" s="520" t="s">
        <v>2544</v>
      </c>
      <c r="B73" s="509"/>
      <c r="C73" s="521" t="s">
        <v>2646</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2582</v>
      </c>
      <c r="B75" s="527" t="s">
        <v>2548</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2551</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1"/>
      <c r="O96" s="1151"/>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1"/>
      <c r="O98" s="1151"/>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2685</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2744</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2786</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2787</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2788</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2789</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2321</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2323</v>
      </c>
      <c r="B3" s="608" t="e">
        <f>ROUND(IF(D3="",B2*10000/'数据-汇总表'!E3,B2*10000/D3),0)</f>
        <v>#DIV/0!</v>
      </c>
      <c r="C3" s="246"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2639</v>
      </c>
      <c r="B4" s="401"/>
      <c r="C4" s="3180" t="s">
        <v>2640</v>
      </c>
      <c r="D4" s="3181"/>
      <c r="E4" s="3182" t="s">
        <v>2641</v>
      </c>
      <c r="F4" s="3183"/>
      <c r="G4" s="3180" t="s">
        <v>2642</v>
      </c>
      <c r="H4" s="3181"/>
      <c r="I4" s="3180" t="s">
        <v>2643</v>
      </c>
      <c r="J4" s="3181"/>
      <c r="K4" s="609" t="s">
        <v>2644</v>
      </c>
      <c r="L4" s="1130"/>
      <c r="M4" s="1131"/>
      <c r="N4" s="1131"/>
      <c r="O4" s="1131"/>
      <c r="P4" s="3184" t="s">
        <v>2645</v>
      </c>
      <c r="Q4" s="3185"/>
      <c r="R4" s="3167" t="s">
        <v>2641</v>
      </c>
      <c r="S4" s="3168"/>
      <c r="T4" s="3167" t="s">
        <v>2642</v>
      </c>
      <c r="U4" s="3168"/>
      <c r="V4" s="3164" t="s">
        <v>2643</v>
      </c>
      <c r="W4" s="3164"/>
      <c r="X4" s="1813"/>
      <c r="Y4" s="3167" t="s">
        <v>2645</v>
      </c>
      <c r="Z4" s="3168"/>
      <c r="AA4" s="3161" t="s">
        <v>2641</v>
      </c>
      <c r="AB4" s="3162" t="s">
        <v>2642</v>
      </c>
      <c r="AC4" s="3161" t="s">
        <v>2643</v>
      </c>
    </row>
    <row r="5" spans="1:29" ht="15">
      <c r="A5" s="403"/>
      <c r="B5" s="404"/>
      <c r="C5" s="3173" t="s">
        <v>2536</v>
      </c>
      <c r="D5" s="3174"/>
      <c r="E5" s="3171" t="s">
        <v>2537</v>
      </c>
      <c r="F5" s="3172"/>
      <c r="G5" s="3173" t="s">
        <v>2538</v>
      </c>
      <c r="H5" s="3174"/>
      <c r="I5" s="3173" t="s">
        <v>2539</v>
      </c>
      <c r="J5" s="3174"/>
      <c r="K5" s="609"/>
      <c r="L5" s="1130"/>
      <c r="M5" s="1131"/>
      <c r="N5" s="1131"/>
      <c r="O5" s="1131"/>
      <c r="P5" s="3186"/>
      <c r="Q5" s="3187"/>
      <c r="R5" s="3169"/>
      <c r="S5" s="3170"/>
      <c r="T5" s="3169"/>
      <c r="U5" s="3170"/>
      <c r="V5" s="3164"/>
      <c r="W5" s="3164"/>
      <c r="X5" s="1813"/>
      <c r="Y5" s="3169"/>
      <c r="Z5" s="3170"/>
      <c r="AA5" s="3162"/>
      <c r="AB5" s="3162"/>
      <c r="AC5" s="3162"/>
    </row>
    <row r="6" spans="1:29" ht="15.75" thickBot="1">
      <c r="A6" s="405"/>
      <c r="B6" s="406"/>
      <c r="C6" s="3254" t="s">
        <v>2791</v>
      </c>
      <c r="D6" s="3255"/>
      <c r="E6" s="3256" t="s">
        <v>2791</v>
      </c>
      <c r="F6" s="3257"/>
      <c r="G6" s="3254" t="s">
        <v>2791</v>
      </c>
      <c r="H6" s="3255"/>
      <c r="I6" s="3254" t="s">
        <v>2791</v>
      </c>
      <c r="J6" s="3255"/>
      <c r="K6" s="609" t="s">
        <v>2541</v>
      </c>
      <c r="L6" s="1130"/>
      <c r="M6" s="1131"/>
      <c r="N6" s="1131"/>
      <c r="O6" s="1131"/>
      <c r="P6" s="3188"/>
      <c r="Q6" s="3189"/>
      <c r="R6" s="3169"/>
      <c r="S6" s="3170"/>
      <c r="T6" s="3190"/>
      <c r="U6" s="3191"/>
      <c r="V6" s="3164"/>
      <c r="W6" s="3164"/>
      <c r="X6" s="1813"/>
      <c r="Y6" s="3190"/>
      <c r="Z6" s="3191"/>
      <c r="AA6" s="3163"/>
      <c r="AB6" s="3163"/>
      <c r="AC6" s="3163"/>
    </row>
    <row r="7" spans="1:29" s="116" customFormat="1" ht="15.75" thickBot="1">
      <c r="A7" s="407" t="s">
        <v>2542</v>
      </c>
      <c r="B7" s="408"/>
      <c r="C7" s="409">
        <f>'数据-取费表'!B2</f>
        <v>43405</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165" t="s">
        <v>2543</v>
      </c>
      <c r="Q7" s="3192"/>
      <c r="R7" s="767" t="s">
        <v>17</v>
      </c>
      <c r="S7" s="768">
        <f t="shared" ref="S7:S15" si="0">F7</f>
        <v>0</v>
      </c>
      <c r="T7" s="767" t="s">
        <v>17</v>
      </c>
      <c r="U7" s="768">
        <f t="shared" ref="U7:U15" si="1">H7</f>
        <v>0</v>
      </c>
      <c r="V7" s="767" t="s">
        <v>17</v>
      </c>
      <c r="W7" s="768">
        <f t="shared" ref="W7:W15" si="2">J7</f>
        <v>0</v>
      </c>
      <c r="X7" s="769"/>
      <c r="Y7" s="3165" t="s">
        <v>2543</v>
      </c>
      <c r="Z7" s="3166"/>
      <c r="AA7" s="770" t="e">
        <f>D7/F7</f>
        <v>#DIV/0!</v>
      </c>
      <c r="AB7" s="770" t="e">
        <f>D7/H7</f>
        <v>#DIV/0!</v>
      </c>
      <c r="AC7" s="770"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165" t="s">
        <v>2546</v>
      </c>
      <c r="Q8" s="3166"/>
      <c r="R8" s="767" t="s">
        <v>17</v>
      </c>
      <c r="S8" s="768">
        <f t="shared" si="0"/>
        <v>0</v>
      </c>
      <c r="T8" s="767" t="s">
        <v>17</v>
      </c>
      <c r="U8" s="768">
        <f t="shared" si="1"/>
        <v>0</v>
      </c>
      <c r="V8" s="767" t="s">
        <v>17</v>
      </c>
      <c r="W8" s="768">
        <f t="shared" si="2"/>
        <v>0</v>
      </c>
      <c r="X8" s="769"/>
      <c r="Y8" s="3165" t="s">
        <v>2546</v>
      </c>
      <c r="Z8" s="3166"/>
      <c r="AA8" s="770" t="e">
        <f t="shared" ref="AA8:AA40" si="3">D8/F8</f>
        <v>#DIV/0!</v>
      </c>
      <c r="AB8" s="770" t="e">
        <f t="shared" ref="AB8:AB40" si="4">D8/H8</f>
        <v>#DIV/0!</v>
      </c>
      <c r="AC8" s="770" t="e">
        <f t="shared" ref="AC8:AC40" si="5">D8/J8</f>
        <v>#DIV/0!</v>
      </c>
    </row>
    <row r="9" spans="1:29" s="116" customFormat="1">
      <c r="A9" s="414" t="s">
        <v>2547</v>
      </c>
      <c r="B9" s="70" t="s">
        <v>2548</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02" t="s">
        <v>2549</v>
      </c>
      <c r="Q9" s="1795" t="str">
        <f t="shared" ref="Q9:Q15" si="6">B9</f>
        <v>用途</v>
      </c>
      <c r="R9" s="767" t="s">
        <v>17</v>
      </c>
      <c r="S9" s="768">
        <f t="shared" si="0"/>
        <v>100</v>
      </c>
      <c r="T9" s="767" t="s">
        <v>17</v>
      </c>
      <c r="U9" s="768">
        <f t="shared" si="1"/>
        <v>100</v>
      </c>
      <c r="V9" s="767" t="s">
        <v>17</v>
      </c>
      <c r="W9" s="768">
        <f t="shared" si="2"/>
        <v>100</v>
      </c>
      <c r="X9" s="769"/>
      <c r="Y9" s="3038" t="s">
        <v>2550</v>
      </c>
      <c r="Z9" s="55" t="str">
        <f t="shared" ref="Z9:Z15" si="7">Q9</f>
        <v>用途</v>
      </c>
      <c r="AA9" s="770">
        <f t="shared" si="3"/>
        <v>1</v>
      </c>
      <c r="AB9" s="770">
        <f t="shared" si="4"/>
        <v>1</v>
      </c>
      <c r="AC9" s="770">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5"/>
      <c r="M10" s="1136"/>
      <c r="N10" s="1136"/>
      <c r="O10" s="1137"/>
      <c r="P10" s="3202"/>
      <c r="Q10" s="1795" t="str">
        <f t="shared" si="6"/>
        <v>土地使用年限（年）</v>
      </c>
      <c r="R10" s="767" t="s">
        <v>17</v>
      </c>
      <c r="S10" s="768">
        <f t="shared" si="0"/>
        <v>105</v>
      </c>
      <c r="T10" s="767" t="s">
        <v>17</v>
      </c>
      <c r="U10" s="768">
        <f t="shared" si="1"/>
        <v>105</v>
      </c>
      <c r="V10" s="767" t="s">
        <v>17</v>
      </c>
      <c r="W10" s="768">
        <f t="shared" si="2"/>
        <v>105</v>
      </c>
      <c r="X10" s="769"/>
      <c r="Y10" s="3038"/>
      <c r="Z10" s="55" t="str">
        <f t="shared" si="7"/>
        <v>土地使用年限（年）</v>
      </c>
      <c r="AA10" s="770">
        <f t="shared" si="3"/>
        <v>0.95238095238095233</v>
      </c>
      <c r="AB10" s="770">
        <f t="shared" si="4"/>
        <v>0.95238095238095233</v>
      </c>
      <c r="AC10" s="770">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02"/>
      <c r="Q11" s="1795"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02"/>
      <c r="Q12" s="1795">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02"/>
      <c r="Q13" s="1795">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02"/>
      <c r="Q14" s="1795">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195" t="s">
        <v>2554</v>
      </c>
      <c r="Q15" s="1810" t="str">
        <f t="shared" si="6"/>
        <v>产业集聚程度</v>
      </c>
      <c r="R15" s="771" t="s">
        <v>17</v>
      </c>
      <c r="S15" s="772">
        <f t="shared" si="0"/>
        <v>100</v>
      </c>
      <c r="T15" s="771" t="s">
        <v>17</v>
      </c>
      <c r="U15" s="772">
        <f t="shared" si="1"/>
        <v>100</v>
      </c>
      <c r="V15" s="771" t="s">
        <v>17</v>
      </c>
      <c r="W15" s="772">
        <f t="shared" si="2"/>
        <v>100</v>
      </c>
      <c r="X15" s="1813"/>
      <c r="Y15" s="3195" t="s">
        <v>2554</v>
      </c>
      <c r="Z15" s="1814" t="str">
        <f t="shared" si="7"/>
        <v>产业集聚程度</v>
      </c>
      <c r="AA15" s="1811">
        <f t="shared" si="3"/>
        <v>1</v>
      </c>
      <c r="AB15" s="1811">
        <f t="shared" si="4"/>
        <v>1</v>
      </c>
      <c r="AC15" s="1811">
        <f t="shared" si="5"/>
        <v>1</v>
      </c>
    </row>
    <row r="16" spans="1:29" ht="15">
      <c r="A16" s="427"/>
      <c r="B16" s="629"/>
      <c r="C16" s="446"/>
      <c r="D16" s="447"/>
      <c r="E16" s="2610"/>
      <c r="F16" s="447"/>
      <c r="G16" s="2610"/>
      <c r="H16" s="449"/>
      <c r="I16" s="2610"/>
      <c r="J16" s="447"/>
      <c r="K16" s="671"/>
      <c r="L16" s="1140"/>
      <c r="M16" s="1131"/>
      <c r="N16" s="1131"/>
      <c r="O16" s="1139"/>
      <c r="P16" s="3196"/>
      <c r="Q16" s="1810"/>
      <c r="R16" s="771"/>
      <c r="S16" s="772"/>
      <c r="T16" s="771"/>
      <c r="U16" s="772"/>
      <c r="V16" s="771"/>
      <c r="W16" s="772"/>
      <c r="X16" s="1813"/>
      <c r="Y16" s="3196"/>
      <c r="Z16" s="1814"/>
      <c r="AA16" s="1811">
        <v>1</v>
      </c>
      <c r="AB16" s="1811">
        <v>1</v>
      </c>
      <c r="AC16" s="1811">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196"/>
      <c r="Q17" s="1810" t="str">
        <f>B17</f>
        <v>交通便捷度</v>
      </c>
      <c r="R17" s="771" t="s">
        <v>17</v>
      </c>
      <c r="S17" s="772">
        <f>F17</f>
        <v>100</v>
      </c>
      <c r="T17" s="771" t="s">
        <v>17</v>
      </c>
      <c r="U17" s="772">
        <f>H17</f>
        <v>100</v>
      </c>
      <c r="V17" s="771" t="s">
        <v>17</v>
      </c>
      <c r="W17" s="772">
        <f>J17</f>
        <v>100</v>
      </c>
      <c r="X17" s="1813"/>
      <c r="Y17" s="3196"/>
      <c r="Z17" s="1814" t="str">
        <f>Q17</f>
        <v>交通便捷度</v>
      </c>
      <c r="AA17" s="1811">
        <f t="shared" si="3"/>
        <v>1</v>
      </c>
      <c r="AB17" s="1811">
        <f t="shared" si="4"/>
        <v>1</v>
      </c>
      <c r="AC17" s="1811">
        <f t="shared" si="5"/>
        <v>1</v>
      </c>
    </row>
    <row r="18" spans="1:29" ht="15">
      <c r="A18" s="427"/>
      <c r="B18" s="631"/>
      <c r="C18" s="446"/>
      <c r="D18" s="447"/>
      <c r="E18" s="2604"/>
      <c r="F18" s="447"/>
      <c r="G18" s="2604"/>
      <c r="H18" s="447"/>
      <c r="I18" s="2603"/>
      <c r="J18" s="447"/>
      <c r="K18" s="671"/>
      <c r="L18" s="1140"/>
      <c r="M18" s="1131"/>
      <c r="N18" s="1131"/>
      <c r="O18" s="1139"/>
      <c r="P18" s="3196"/>
      <c r="Q18" s="1810"/>
      <c r="R18" s="771"/>
      <c r="S18" s="772"/>
      <c r="T18" s="771"/>
      <c r="U18" s="772"/>
      <c r="V18" s="771"/>
      <c r="W18" s="772"/>
      <c r="X18" s="1813"/>
      <c r="Y18" s="3196"/>
      <c r="Z18" s="1814"/>
      <c r="AA18" s="1811">
        <v>1</v>
      </c>
      <c r="AB18" s="1811">
        <v>1</v>
      </c>
      <c r="AC18" s="1811">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196"/>
      <c r="Q19" s="1810" t="str">
        <f t="shared" ref="Q19:Q33" si="8">B19</f>
        <v>区域土地利用方向</v>
      </c>
      <c r="R19" s="771" t="s">
        <v>17</v>
      </c>
      <c r="S19" s="772">
        <f>F19</f>
        <v>100</v>
      </c>
      <c r="T19" s="771" t="s">
        <v>17</v>
      </c>
      <c r="U19" s="772">
        <f>H19</f>
        <v>100</v>
      </c>
      <c r="V19" s="771" t="s">
        <v>17</v>
      </c>
      <c r="W19" s="772">
        <f>J19</f>
        <v>100</v>
      </c>
      <c r="X19" s="1813"/>
      <c r="Y19" s="3196"/>
      <c r="Z19" s="1814" t="str">
        <f>Q19</f>
        <v>区域土地利用方向</v>
      </c>
      <c r="AA19" s="1811">
        <f t="shared" si="3"/>
        <v>1</v>
      </c>
      <c r="AB19" s="1811">
        <f t="shared" si="4"/>
        <v>1</v>
      </c>
      <c r="AC19" s="1811">
        <f t="shared" si="5"/>
        <v>1</v>
      </c>
    </row>
    <row r="20" spans="1:29" ht="15">
      <c r="A20" s="403"/>
      <c r="B20" s="631"/>
      <c r="C20" s="446"/>
      <c r="D20" s="447"/>
      <c r="E20" s="2604"/>
      <c r="F20" s="447"/>
      <c r="G20" s="2604"/>
      <c r="H20" s="447"/>
      <c r="I20" s="2604"/>
      <c r="J20" s="447"/>
      <c r="K20" s="809"/>
      <c r="L20" s="1140"/>
      <c r="M20" s="1131"/>
      <c r="N20" s="1131"/>
      <c r="O20" s="1139"/>
      <c r="P20" s="3196"/>
      <c r="Q20" s="1810"/>
      <c r="R20" s="771"/>
      <c r="S20" s="772"/>
      <c r="T20" s="771"/>
      <c r="U20" s="772"/>
      <c r="V20" s="771"/>
      <c r="W20" s="772"/>
      <c r="X20" s="1813"/>
      <c r="Y20" s="3196"/>
      <c r="Z20" s="1814"/>
      <c r="AA20" s="1811"/>
      <c r="AB20" s="1811"/>
      <c r="AC20" s="1811"/>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196"/>
      <c r="Q21" s="1810" t="str">
        <f t="shared" si="8"/>
        <v>环境状况</v>
      </c>
      <c r="R21" s="771" t="s">
        <v>17</v>
      </c>
      <c r="S21" s="772">
        <f>F21</f>
        <v>100</v>
      </c>
      <c r="T21" s="771" t="s">
        <v>17</v>
      </c>
      <c r="U21" s="772">
        <f>H21</f>
        <v>100</v>
      </c>
      <c r="V21" s="771" t="s">
        <v>17</v>
      </c>
      <c r="W21" s="772">
        <f>J21</f>
        <v>100</v>
      </c>
      <c r="X21" s="1813"/>
      <c r="Y21" s="3196"/>
      <c r="Z21" s="1814" t="str">
        <f>Q21</f>
        <v>环境状况</v>
      </c>
      <c r="AA21" s="1811">
        <f t="shared" si="3"/>
        <v>1</v>
      </c>
      <c r="AB21" s="1811">
        <f t="shared" si="4"/>
        <v>1</v>
      </c>
      <c r="AC21" s="1811">
        <f t="shared" si="5"/>
        <v>1</v>
      </c>
    </row>
    <row r="22" spans="1:29" ht="15">
      <c r="A22" s="403"/>
      <c r="B22" s="631"/>
      <c r="C22" s="446"/>
      <c r="D22" s="447"/>
      <c r="E22" s="2610"/>
      <c r="F22" s="447"/>
      <c r="G22" s="2610"/>
      <c r="H22" s="447"/>
      <c r="I22" s="446"/>
      <c r="J22" s="447"/>
      <c r="K22" s="671"/>
      <c r="L22" s="1140"/>
      <c r="M22" s="1131"/>
      <c r="N22" s="1131"/>
      <c r="O22" s="1139"/>
      <c r="P22" s="3196"/>
      <c r="Q22" s="1810"/>
      <c r="R22" s="771"/>
      <c r="S22" s="772"/>
      <c r="T22" s="771"/>
      <c r="U22" s="772"/>
      <c r="V22" s="771"/>
      <c r="W22" s="772"/>
      <c r="X22" s="1813"/>
      <c r="Y22" s="3196"/>
      <c r="Z22" s="1814"/>
      <c r="AA22" s="1811">
        <v>1</v>
      </c>
      <c r="AB22" s="1811">
        <v>1</v>
      </c>
      <c r="AC22" s="1811">
        <v>1</v>
      </c>
    </row>
    <row r="23" spans="1:29" s="116"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196"/>
      <c r="Q23" s="1795" t="str">
        <f t="shared" si="8"/>
        <v>公共配套设施</v>
      </c>
      <c r="R23" s="767" t="s">
        <v>17</v>
      </c>
      <c r="S23" s="768">
        <f>F23</f>
        <v>100</v>
      </c>
      <c r="T23" s="767" t="s">
        <v>17</v>
      </c>
      <c r="U23" s="768">
        <f>H23</f>
        <v>100</v>
      </c>
      <c r="V23" s="767" t="s">
        <v>17</v>
      </c>
      <c r="W23" s="768">
        <f>J23</f>
        <v>100</v>
      </c>
      <c r="X23" s="769"/>
      <c r="Y23" s="3196"/>
      <c r="Z23" s="55" t="str">
        <f>Q23</f>
        <v>公共配套设施</v>
      </c>
      <c r="AA23" s="1811">
        <f>D23/F23</f>
        <v>1</v>
      </c>
      <c r="AB23" s="1811">
        <f>D23/H23</f>
        <v>1</v>
      </c>
      <c r="AC23" s="1811">
        <f>D23/J23</f>
        <v>1</v>
      </c>
    </row>
    <row r="24" spans="1:29" s="116" customFormat="1" ht="15">
      <c r="A24" s="648"/>
      <c r="B24" s="631"/>
      <c r="C24" s="2699"/>
      <c r="D24" s="447"/>
      <c r="E24" s="2610"/>
      <c r="F24" s="447"/>
      <c r="G24" s="2610"/>
      <c r="H24" s="447"/>
      <c r="I24" s="446"/>
      <c r="J24" s="447"/>
      <c r="K24" s="671"/>
      <c r="L24" s="1132"/>
      <c r="M24" s="1133"/>
      <c r="N24" s="1133"/>
      <c r="O24" s="1134"/>
      <c r="P24" s="3196"/>
      <c r="Q24" s="1795"/>
      <c r="R24" s="767"/>
      <c r="S24" s="768"/>
      <c r="T24" s="767"/>
      <c r="U24" s="768"/>
      <c r="V24" s="767"/>
      <c r="W24" s="768"/>
      <c r="X24" s="769"/>
      <c r="Y24" s="3196"/>
      <c r="Z24" s="55"/>
      <c r="AA24" s="770">
        <v>1</v>
      </c>
      <c r="AB24" s="770">
        <v>1</v>
      </c>
      <c r="AC24" s="770">
        <v>1</v>
      </c>
    </row>
    <row r="25" spans="1:29" s="116"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196"/>
      <c r="Q25" s="1795" t="str">
        <f t="shared" ref="Q25" si="9">B25</f>
        <v>基础设施水平</v>
      </c>
      <c r="R25" s="767" t="s">
        <v>17</v>
      </c>
      <c r="S25" s="768">
        <f>F25</f>
        <v>100</v>
      </c>
      <c r="T25" s="767" t="s">
        <v>17</v>
      </c>
      <c r="U25" s="768">
        <f>H25</f>
        <v>100</v>
      </c>
      <c r="V25" s="767" t="s">
        <v>17</v>
      </c>
      <c r="W25" s="768">
        <f>J25</f>
        <v>100</v>
      </c>
      <c r="X25" s="769"/>
      <c r="Y25" s="3196"/>
      <c r="Z25" s="55" t="str">
        <f>Q25</f>
        <v>基础设施水平</v>
      </c>
      <c r="AA25" s="1811">
        <f>D25/F25</f>
        <v>1</v>
      </c>
      <c r="AB25" s="1811">
        <f>D25/H25</f>
        <v>1</v>
      </c>
      <c r="AC25" s="1811">
        <f>D25/J25</f>
        <v>1</v>
      </c>
    </row>
    <row r="26" spans="1:29" s="116" customFormat="1" ht="15">
      <c r="A26" s="648"/>
      <c r="B26" s="631"/>
      <c r="C26" s="2699"/>
      <c r="D26" s="447"/>
      <c r="E26" s="2700"/>
      <c r="F26" s="447"/>
      <c r="G26" s="2700"/>
      <c r="H26" s="447"/>
      <c r="I26" s="2700"/>
      <c r="J26" s="447"/>
      <c r="K26" s="671"/>
      <c r="L26" s="1132"/>
      <c r="M26" s="1133"/>
      <c r="N26" s="1133"/>
      <c r="O26" s="1134"/>
      <c r="P26" s="3196"/>
      <c r="Q26" s="1795"/>
      <c r="R26" s="767"/>
      <c r="S26" s="768"/>
      <c r="T26" s="767"/>
      <c r="U26" s="768"/>
      <c r="V26" s="767"/>
      <c r="W26" s="768"/>
      <c r="X26" s="769"/>
      <c r="Y26" s="3196"/>
      <c r="Z26" s="55"/>
      <c r="AA26" s="770">
        <v>1</v>
      </c>
      <c r="AB26" s="770">
        <v>1</v>
      </c>
      <c r="AC26" s="770">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196"/>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96"/>
      <c r="Z27" s="1814" t="str">
        <f t="shared" ref="Z27:Z40" si="13">Q27</f>
        <v>临街状况</v>
      </c>
      <c r="AA27" s="1811">
        <f t="shared" si="3"/>
        <v>1</v>
      </c>
      <c r="AB27" s="1811">
        <f t="shared" si="4"/>
        <v>1</v>
      </c>
      <c r="AC27" s="1811">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196"/>
      <c r="Q28" s="1810" t="str">
        <f t="shared" si="8"/>
        <v>毗邻道路的类型与等级</v>
      </c>
      <c r="R28" s="771" t="s">
        <v>17</v>
      </c>
      <c r="S28" s="772">
        <f t="shared" si="10"/>
        <v>100</v>
      </c>
      <c r="T28" s="771" t="s">
        <v>17</v>
      </c>
      <c r="U28" s="772">
        <f t="shared" si="11"/>
        <v>100</v>
      </c>
      <c r="V28" s="771" t="s">
        <v>17</v>
      </c>
      <c r="W28" s="772">
        <f t="shared" si="12"/>
        <v>100</v>
      </c>
      <c r="X28" s="1813"/>
      <c r="Y28" s="3196"/>
      <c r="Z28" s="1814" t="str">
        <f t="shared" si="13"/>
        <v>毗邻道路的类型与等级</v>
      </c>
      <c r="AA28" s="1811">
        <f t="shared" si="3"/>
        <v>1</v>
      </c>
      <c r="AB28" s="1811">
        <f t="shared" si="4"/>
        <v>1</v>
      </c>
      <c r="AC28" s="1811">
        <f t="shared" si="5"/>
        <v>1</v>
      </c>
    </row>
    <row r="29" spans="1:29" ht="15">
      <c r="A29" s="427"/>
      <c r="B29" s="631"/>
      <c r="C29" s="446"/>
      <c r="D29" s="447"/>
      <c r="E29" s="2610"/>
      <c r="F29" s="447"/>
      <c r="G29" s="2610"/>
      <c r="H29" s="447"/>
      <c r="I29" s="2610"/>
      <c r="J29" s="447"/>
      <c r="K29" s="612"/>
      <c r="L29" s="1140"/>
      <c r="M29" s="1131"/>
      <c r="N29" s="1131"/>
      <c r="O29" s="1139"/>
      <c r="P29" s="3196"/>
      <c r="Q29" s="1810"/>
      <c r="R29" s="771"/>
      <c r="S29" s="772"/>
      <c r="T29" s="771"/>
      <c r="U29" s="772"/>
      <c r="V29" s="771"/>
      <c r="W29" s="772"/>
      <c r="X29" s="1813"/>
      <c r="Y29" s="3196"/>
      <c r="Z29" s="1814"/>
      <c r="AA29" s="1811">
        <v>1</v>
      </c>
      <c r="AB29" s="1811">
        <v>1</v>
      </c>
      <c r="AC29" s="1811">
        <v>1</v>
      </c>
    </row>
    <row r="30" spans="1:29" ht="15">
      <c r="A30" s="427"/>
      <c r="B30" s="653" t="s">
        <v>2744</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196"/>
      <c r="Q30" s="1810" t="str">
        <f t="shared" si="8"/>
        <v>土地级别</v>
      </c>
      <c r="R30" s="771" t="s">
        <v>17</v>
      </c>
      <c r="S30" s="772">
        <f t="shared" si="10"/>
        <v>100</v>
      </c>
      <c r="T30" s="771" t="s">
        <v>17</v>
      </c>
      <c r="U30" s="772">
        <f t="shared" si="11"/>
        <v>100</v>
      </c>
      <c r="V30" s="771" t="s">
        <v>17</v>
      </c>
      <c r="W30" s="772">
        <f t="shared" si="12"/>
        <v>100</v>
      </c>
      <c r="X30" s="1813"/>
      <c r="Y30" s="3196"/>
      <c r="Z30" s="1814" t="str">
        <f t="shared" si="13"/>
        <v>土地级别</v>
      </c>
      <c r="AA30" s="1811">
        <f t="shared" si="3"/>
        <v>1</v>
      </c>
      <c r="AB30" s="1811">
        <f t="shared" si="4"/>
        <v>1</v>
      </c>
      <c r="AC30" s="1811">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96"/>
      <c r="Q31" s="1810">
        <f t="shared" si="8"/>
        <v>111</v>
      </c>
      <c r="R31" s="771" t="s">
        <v>17</v>
      </c>
      <c r="S31" s="772">
        <f t="shared" si="10"/>
        <v>100</v>
      </c>
      <c r="T31" s="771" t="s">
        <v>17</v>
      </c>
      <c r="U31" s="772">
        <f t="shared" si="11"/>
        <v>100</v>
      </c>
      <c r="V31" s="771" t="s">
        <v>17</v>
      </c>
      <c r="W31" s="772">
        <f t="shared" si="12"/>
        <v>100</v>
      </c>
      <c r="X31" s="1813"/>
      <c r="Y31" s="3196"/>
      <c r="Z31" s="1814">
        <f t="shared" si="13"/>
        <v>111</v>
      </c>
      <c r="AA31" s="1811">
        <f t="shared" si="3"/>
        <v>1</v>
      </c>
      <c r="AB31" s="1811">
        <f t="shared" si="4"/>
        <v>1</v>
      </c>
      <c r="AC31" s="1811">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49" t="s">
        <v>2559</v>
      </c>
      <c r="Q32" s="1810">
        <f t="shared" si="8"/>
        <v>111</v>
      </c>
      <c r="R32" s="771" t="s">
        <v>17</v>
      </c>
      <c r="S32" s="772">
        <f t="shared" si="10"/>
        <v>100</v>
      </c>
      <c r="T32" s="771" t="s">
        <v>17</v>
      </c>
      <c r="U32" s="772">
        <f t="shared" si="11"/>
        <v>100</v>
      </c>
      <c r="V32" s="771" t="s">
        <v>17</v>
      </c>
      <c r="W32" s="772">
        <f t="shared" si="12"/>
        <v>100</v>
      </c>
      <c r="X32" s="1813"/>
      <c r="Y32" s="3200" t="s">
        <v>2559</v>
      </c>
      <c r="Z32" s="1814">
        <f t="shared" si="13"/>
        <v>111</v>
      </c>
      <c r="AA32" s="1811">
        <f t="shared" si="3"/>
        <v>1</v>
      </c>
      <c r="AB32" s="1811">
        <f t="shared" si="4"/>
        <v>1</v>
      </c>
      <c r="AC32" s="1811">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00"/>
      <c r="Q33" s="1810">
        <f t="shared" si="8"/>
        <v>111</v>
      </c>
      <c r="R33" s="774" t="s">
        <v>17</v>
      </c>
      <c r="S33" s="775">
        <f t="shared" si="10"/>
        <v>100</v>
      </c>
      <c r="T33" s="774" t="s">
        <v>17</v>
      </c>
      <c r="U33" s="775">
        <f t="shared" si="11"/>
        <v>100</v>
      </c>
      <c r="V33" s="774" t="s">
        <v>17</v>
      </c>
      <c r="W33" s="775">
        <f t="shared" si="12"/>
        <v>100</v>
      </c>
      <c r="X33" s="776"/>
      <c r="Y33" s="3200"/>
      <c r="Z33" s="777">
        <f t="shared" si="13"/>
        <v>111</v>
      </c>
      <c r="AA33" s="1811">
        <f t="shared" si="3"/>
        <v>1</v>
      </c>
      <c r="AB33" s="1811">
        <f t="shared" si="4"/>
        <v>1</v>
      </c>
      <c r="AC33" s="1811">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00"/>
      <c r="Q34" s="1810" t="str">
        <f>B34</f>
        <v>宗地面积</v>
      </c>
      <c r="R34" s="771" t="s">
        <v>17</v>
      </c>
      <c r="S34" s="772" t="e">
        <f t="shared" si="10"/>
        <v>#N/A</v>
      </c>
      <c r="T34" s="771" t="s">
        <v>17</v>
      </c>
      <c r="U34" s="772" t="e">
        <f t="shared" si="11"/>
        <v>#N/A</v>
      </c>
      <c r="V34" s="771" t="s">
        <v>17</v>
      </c>
      <c r="W34" s="772" t="e">
        <f t="shared" si="12"/>
        <v>#N/A</v>
      </c>
      <c r="X34" s="1813"/>
      <c r="Y34" s="3200"/>
      <c r="Z34" s="1814" t="str">
        <f t="shared" si="13"/>
        <v>宗地面积</v>
      </c>
      <c r="AA34" s="1811" t="e">
        <f t="shared" si="3"/>
        <v>#N/A</v>
      </c>
      <c r="AB34" s="1811" t="e">
        <f t="shared" si="4"/>
        <v>#N/A</v>
      </c>
      <c r="AC34" s="1811"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00"/>
      <c r="Q35" s="1810" t="str">
        <f t="shared" ref="Q35:Q40" si="14">B35</f>
        <v>宗地形状</v>
      </c>
      <c r="R35" s="771" t="s">
        <v>17</v>
      </c>
      <c r="S35" s="772">
        <f t="shared" si="10"/>
        <v>100</v>
      </c>
      <c r="T35" s="771" t="s">
        <v>17</v>
      </c>
      <c r="U35" s="772">
        <f t="shared" si="11"/>
        <v>100</v>
      </c>
      <c r="V35" s="771" t="s">
        <v>17</v>
      </c>
      <c r="W35" s="772">
        <f t="shared" si="12"/>
        <v>100</v>
      </c>
      <c r="X35" s="1813"/>
      <c r="Y35" s="3200"/>
      <c r="Z35" s="1814" t="str">
        <f t="shared" si="13"/>
        <v>宗地形状</v>
      </c>
      <c r="AA35" s="1811">
        <f t="shared" si="3"/>
        <v>1</v>
      </c>
      <c r="AB35" s="1811">
        <f t="shared" si="4"/>
        <v>1</v>
      </c>
      <c r="AC35" s="1811">
        <f t="shared" si="5"/>
        <v>1</v>
      </c>
    </row>
    <row r="36" spans="1:29" s="116" customFormat="1" ht="15">
      <c r="A36" s="472"/>
      <c r="B36" s="421" t="s">
        <v>2748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00"/>
      <c r="Q36" s="1810" t="str">
        <f t="shared" si="14"/>
        <v>宗地开发程度</v>
      </c>
      <c r="R36" s="767" t="s">
        <v>17</v>
      </c>
      <c r="S36" s="768">
        <f t="shared" si="10"/>
        <v>100</v>
      </c>
      <c r="T36" s="767" t="s">
        <v>17</v>
      </c>
      <c r="U36" s="768">
        <f t="shared" si="11"/>
        <v>100</v>
      </c>
      <c r="V36" s="767" t="s">
        <v>17</v>
      </c>
      <c r="W36" s="768">
        <f t="shared" si="12"/>
        <v>100</v>
      </c>
      <c r="X36" s="769"/>
      <c r="Y36" s="3200"/>
      <c r="Z36" s="55" t="str">
        <f t="shared" si="13"/>
        <v>宗地开发程度</v>
      </c>
      <c r="AA36" s="770">
        <f t="shared" si="3"/>
        <v>1</v>
      </c>
      <c r="AB36" s="770">
        <f t="shared" si="4"/>
        <v>1</v>
      </c>
      <c r="AC36" s="770">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00" t="s">
        <v>2559</v>
      </c>
      <c r="Q37" s="1810" t="str">
        <f t="shared" si="14"/>
        <v>工程地质条件</v>
      </c>
      <c r="R37" s="771" t="s">
        <v>17</v>
      </c>
      <c r="S37" s="772">
        <f t="shared" si="10"/>
        <v>100</v>
      </c>
      <c r="T37" s="771" t="s">
        <v>17</v>
      </c>
      <c r="U37" s="772">
        <f t="shared" si="11"/>
        <v>100</v>
      </c>
      <c r="V37" s="771" t="s">
        <v>17</v>
      </c>
      <c r="W37" s="772">
        <f t="shared" si="12"/>
        <v>100</v>
      </c>
      <c r="X37" s="1813"/>
      <c r="Y37" s="3200" t="s">
        <v>2559</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00"/>
      <c r="Q38" s="1810">
        <f t="shared" si="14"/>
        <v>111</v>
      </c>
      <c r="R38" s="771" t="s">
        <v>17</v>
      </c>
      <c r="S38" s="772">
        <f t="shared" si="10"/>
        <v>100</v>
      </c>
      <c r="T38" s="771" t="s">
        <v>17</v>
      </c>
      <c r="U38" s="772">
        <f t="shared" si="11"/>
        <v>100</v>
      </c>
      <c r="V38" s="771" t="s">
        <v>17</v>
      </c>
      <c r="W38" s="772">
        <f t="shared" si="12"/>
        <v>100</v>
      </c>
      <c r="X38" s="1813"/>
      <c r="Y38" s="3200"/>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00"/>
      <c r="Q39" s="1810">
        <f t="shared" si="14"/>
        <v>111</v>
      </c>
      <c r="R39" s="771" t="s">
        <v>17</v>
      </c>
      <c r="S39" s="772">
        <f t="shared" si="10"/>
        <v>100</v>
      </c>
      <c r="T39" s="771" t="s">
        <v>17</v>
      </c>
      <c r="U39" s="772">
        <f t="shared" si="11"/>
        <v>100</v>
      </c>
      <c r="V39" s="771" t="s">
        <v>17</v>
      </c>
      <c r="W39" s="772">
        <f t="shared" si="12"/>
        <v>100</v>
      </c>
      <c r="X39" s="1813"/>
      <c r="Y39" s="3200"/>
      <c r="Z39" s="1814">
        <f t="shared" si="13"/>
        <v>111</v>
      </c>
      <c r="AA39" s="1811">
        <f t="shared" si="3"/>
        <v>1</v>
      </c>
      <c r="AB39" s="1811">
        <f t="shared" si="4"/>
        <v>1</v>
      </c>
      <c r="AC39" s="1811">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00"/>
      <c r="Q40" s="1810">
        <f t="shared" si="14"/>
        <v>111</v>
      </c>
      <c r="R40" s="774" t="s">
        <v>17</v>
      </c>
      <c r="S40" s="775">
        <f t="shared" si="10"/>
        <v>100</v>
      </c>
      <c r="T40" s="774" t="s">
        <v>17</v>
      </c>
      <c r="U40" s="775">
        <f t="shared" si="11"/>
        <v>100</v>
      </c>
      <c r="V40" s="774" t="s">
        <v>17</v>
      </c>
      <c r="W40" s="775">
        <f t="shared" si="12"/>
        <v>100</v>
      </c>
      <c r="X40" s="776"/>
      <c r="Y40" s="3200"/>
      <c r="Z40" s="777">
        <f t="shared" si="13"/>
        <v>111</v>
      </c>
      <c r="AA40" s="1811">
        <f t="shared" si="3"/>
        <v>1</v>
      </c>
      <c r="AB40" s="1811">
        <f t="shared" si="4"/>
        <v>1</v>
      </c>
      <c r="AC40" s="1811">
        <f t="shared" si="5"/>
        <v>1</v>
      </c>
    </row>
    <row r="41" spans="1:29" ht="15">
      <c r="A41" s="478" t="s">
        <v>2714</v>
      </c>
      <c r="B41" s="2703" t="s">
        <v>2794</v>
      </c>
      <c r="C41" s="681" t="s">
        <v>1</v>
      </c>
      <c r="D41" s="480"/>
      <c r="E41" s="481"/>
      <c r="F41" s="482"/>
      <c r="G41" s="483"/>
      <c r="H41" s="484"/>
      <c r="I41" s="481"/>
      <c r="J41" s="484"/>
      <c r="K41" s="780"/>
      <c r="L41" s="1143"/>
      <c r="M41" s="1131"/>
      <c r="N41" s="1131"/>
      <c r="O41" s="1144"/>
      <c r="P41" s="3202" t="str">
        <f>A41</f>
        <v>成交单价</v>
      </c>
      <c r="Q41" s="3202"/>
      <c r="R41" s="3164">
        <f>E41</f>
        <v>0</v>
      </c>
      <c r="S41" s="3164"/>
      <c r="T41" s="3164">
        <f>G41</f>
        <v>0</v>
      </c>
      <c r="U41" s="3164"/>
      <c r="V41" s="3164">
        <f>I41</f>
        <v>0</v>
      </c>
      <c r="W41" s="3164"/>
      <c r="X41" s="756"/>
      <c r="Y41" s="778"/>
      <c r="Z41" s="756"/>
      <c r="AA41" s="756"/>
      <c r="AB41" s="756"/>
      <c r="AC41" s="756"/>
    </row>
    <row r="42" spans="1:29" ht="15.75" thickBot="1">
      <c r="A42" s="485" t="s">
        <v>2663</v>
      </c>
      <c r="B42" s="682"/>
      <c r="C42" s="489" t="e">
        <f>R43</f>
        <v>#DIV/0!</v>
      </c>
      <c r="D42" s="488"/>
      <c r="E42" s="489" t="e">
        <f>R42</f>
        <v>#DIV/0!</v>
      </c>
      <c r="F42" s="490"/>
      <c r="G42" s="487" t="e">
        <f>T42</f>
        <v>#DIV/0!</v>
      </c>
      <c r="H42" s="488"/>
      <c r="I42" s="489" t="e">
        <f>V42</f>
        <v>#DIV/0!</v>
      </c>
      <c r="J42" s="488"/>
      <c r="K42" s="781"/>
      <c r="L42" s="1143"/>
      <c r="M42" s="1131"/>
      <c r="N42" s="1131"/>
      <c r="O42" s="1144"/>
      <c r="P42" s="3202" t="str">
        <f>A42</f>
        <v>比较价值（元/平方米）</v>
      </c>
      <c r="Q42" s="3202"/>
      <c r="R42" s="3250" t="e">
        <f>ROUND(PRODUCT(R41,AA7:AA40),0)</f>
        <v>#DIV/0!</v>
      </c>
      <c r="S42" s="3250"/>
      <c r="T42" s="3250" t="e">
        <f>ROUND(PRODUCT(T41,AB7:AB40),0)</f>
        <v>#DIV/0!</v>
      </c>
      <c r="U42" s="3250"/>
      <c r="V42" s="3250" t="e">
        <f>ROUND(PRODUCT(V41,AC7:AC40),0)</f>
        <v>#DIV/0!</v>
      </c>
      <c r="W42" s="3250"/>
      <c r="X42" s="756"/>
      <c r="Y42" s="756"/>
      <c r="Z42" s="756"/>
      <c r="AA42" s="756"/>
      <c r="AB42" s="756"/>
      <c r="AC42" s="756"/>
    </row>
    <row r="43" spans="1:29" ht="15.75" thickBot="1">
      <c r="A43" s="491" t="s">
        <v>2664</v>
      </c>
      <c r="B43" s="492"/>
      <c r="C43" s="493" t="e">
        <f>R43</f>
        <v>#DIV/0!</v>
      </c>
      <c r="D43" s="493"/>
      <c r="E43" s="493"/>
      <c r="F43" s="493"/>
      <c r="G43" s="493"/>
      <c r="H43" s="493"/>
      <c r="I43" s="493"/>
      <c r="J43" s="493"/>
      <c r="K43" s="782"/>
      <c r="L43" s="1143"/>
      <c r="M43" s="1131"/>
      <c r="N43" s="1131"/>
      <c r="O43" s="1144"/>
      <c r="P43" s="3204" t="str">
        <f>A43</f>
        <v>估价对象XX用房的比较价值（楼面单价，元/平方米）</v>
      </c>
      <c r="Q43" s="3205"/>
      <c r="R43" s="3251" t="e">
        <f>ROUND(AVERAGE(R42:V42),0)</f>
        <v>#DIV/0!</v>
      </c>
      <c r="S43" s="3251"/>
      <c r="T43" s="3251"/>
      <c r="U43" s="3251"/>
      <c r="V43" s="3251"/>
      <c r="W43" s="325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2752</v>
      </c>
      <c r="B50" s="684" t="s">
        <v>2753</v>
      </c>
      <c r="C50" s="2704" t="s">
        <v>2754</v>
      </c>
      <c r="D50" s="2705" t="s">
        <v>2755</v>
      </c>
      <c r="E50" s="685" t="s">
        <v>2756</v>
      </c>
      <c r="F50" s="686" t="s">
        <v>2757</v>
      </c>
      <c r="G50" s="3180" t="s">
        <v>2758</v>
      </c>
      <c r="H50" s="3252"/>
      <c r="I50" s="1814" t="s">
        <v>2795</v>
      </c>
      <c r="J50" s="1814" t="str">
        <f>项目基本情况!F35</f>
        <v>上海市浦东新区惠南镇</v>
      </c>
      <c r="K50" s="2707" t="s">
        <v>2760</v>
      </c>
      <c r="L50" s="1106"/>
      <c r="M50" s="1144"/>
      <c r="N50" s="1144"/>
      <c r="O50" s="1144"/>
    </row>
    <row r="51" spans="1:17" s="691" customFormat="1">
      <c r="A51" s="687" t="s">
        <v>2761</v>
      </c>
      <c r="B51" s="688" t="e">
        <f>C43</f>
        <v>#DIV/0!</v>
      </c>
      <c r="C51" s="689">
        <v>1</v>
      </c>
      <c r="D51" s="1163">
        <v>1</v>
      </c>
      <c r="E51" s="689">
        <f>'数据-汇总表'!E8+'数据-汇总表'!E9</f>
        <v>31156.999999999996</v>
      </c>
      <c r="F51" s="690" t="e">
        <f t="shared" ref="F51:F60" si="15">ROUND(B51*E51/10000,0)</f>
        <v>#DIV/0!</v>
      </c>
      <c r="G51" s="3179"/>
      <c r="H51" s="3202"/>
      <c r="I51" s="942">
        <v>1</v>
      </c>
      <c r="J51" s="942">
        <v>1</v>
      </c>
      <c r="K51" s="1145"/>
      <c r="L51" s="941"/>
      <c r="M51" s="941"/>
      <c r="N51" s="941"/>
      <c r="O51" s="941"/>
    </row>
    <row r="52" spans="1:17" s="691" customFormat="1">
      <c r="A52" s="692" t="s">
        <v>2762</v>
      </c>
      <c r="B52" s="261" t="e">
        <f>ROUND($C$43*C52*D52,0)</f>
        <v>#DIV/0!</v>
      </c>
      <c r="C52" s="199">
        <f t="shared" ref="C52:C60" si="16">IF($C$50="北京市系数",I52,J52)</f>
        <v>0</v>
      </c>
      <c r="D52" s="1164">
        <v>0.25</v>
      </c>
      <c r="E52" s="693"/>
      <c r="F52" s="690" t="e">
        <f t="shared" si="15"/>
        <v>#DIV/0!</v>
      </c>
      <c r="G52" s="3253" t="s">
        <v>2763</v>
      </c>
      <c r="H52" s="1104">
        <f>项目基本情况!B37</f>
        <v>0</v>
      </c>
      <c r="I52" s="942">
        <f>SUMIF(修正!A45:A56,H52,修正!B45:B56)</f>
        <v>0</v>
      </c>
      <c r="J52" s="943"/>
      <c r="K52" s="1144"/>
      <c r="L52" s="941"/>
      <c r="M52" s="941"/>
      <c r="N52" s="941"/>
      <c r="O52" s="941"/>
    </row>
    <row r="53" spans="1:17" s="691" customFormat="1">
      <c r="A53" s="692" t="s">
        <v>2764</v>
      </c>
      <c r="B53" s="261" t="e">
        <f t="shared" ref="B53:B60" si="17">ROUND($C$43*C53*D53,0)</f>
        <v>#DIV/0!</v>
      </c>
      <c r="C53" s="199">
        <f t="shared" si="16"/>
        <v>0</v>
      </c>
      <c r="D53" s="1164">
        <v>0.25</v>
      </c>
      <c r="E53" s="693"/>
      <c r="F53" s="690" t="e">
        <f t="shared" si="15"/>
        <v>#DIV/0!</v>
      </c>
      <c r="G53" s="3253"/>
      <c r="H53" s="1104">
        <f>项目基本情况!B37</f>
        <v>0</v>
      </c>
      <c r="I53" s="942">
        <f>SUMIF(修正!A45:A56,H53,修正!C45:C56)</f>
        <v>0</v>
      </c>
      <c r="J53" s="943"/>
      <c r="K53" s="1145"/>
      <c r="L53" s="941"/>
      <c r="M53" s="941"/>
      <c r="N53" s="941"/>
      <c r="O53" s="941"/>
    </row>
    <row r="54" spans="1:17" s="691" customFormat="1">
      <c r="A54" s="692" t="s">
        <v>2765</v>
      </c>
      <c r="B54" s="261" t="e">
        <f t="shared" si="17"/>
        <v>#DIV/0!</v>
      </c>
      <c r="C54" s="199">
        <f t="shared" si="16"/>
        <v>0</v>
      </c>
      <c r="D54" s="1164">
        <v>0.25</v>
      </c>
      <c r="E54" s="693"/>
      <c r="F54" s="690" t="e">
        <f t="shared" si="15"/>
        <v>#DIV/0!</v>
      </c>
      <c r="G54" s="3253"/>
      <c r="H54" s="1104">
        <f>项目基本情况!B37</f>
        <v>0</v>
      </c>
      <c r="I54" s="942">
        <f>SUMIF(修正!A45:A56,H54,修正!D45:D56)</f>
        <v>0</v>
      </c>
      <c r="J54" s="943"/>
      <c r="K54" s="1144"/>
      <c r="L54" s="941"/>
      <c r="M54" s="941"/>
      <c r="N54" s="941"/>
      <c r="O54" s="941"/>
    </row>
    <row r="55" spans="1:17" s="691" customFormat="1">
      <c r="A55" s="692" t="s">
        <v>2766</v>
      </c>
      <c r="B55" s="261" t="e">
        <f t="shared" si="17"/>
        <v>#DIV/0!</v>
      </c>
      <c r="C55" s="199">
        <f t="shared" si="16"/>
        <v>0</v>
      </c>
      <c r="D55" s="1164">
        <v>0.25</v>
      </c>
      <c r="E55" s="693"/>
      <c r="F55" s="690" t="e">
        <f t="shared" si="15"/>
        <v>#DIV/0!</v>
      </c>
      <c r="G55" s="3253"/>
      <c r="H55" s="1104">
        <f>项目基本情况!B37</f>
        <v>0</v>
      </c>
      <c r="I55" s="942">
        <f>SUMIF(修正!A45:A56,H55,修正!E45:E56)</f>
        <v>0</v>
      </c>
      <c r="J55" s="943"/>
      <c r="K55" s="1145"/>
      <c r="L55" s="941"/>
      <c r="M55" s="941"/>
      <c r="N55" s="941"/>
      <c r="O55" s="941"/>
    </row>
    <row r="56" spans="1:17" s="691" customFormat="1">
      <c r="A56" s="692" t="s">
        <v>2767</v>
      </c>
      <c r="B56" s="261" t="e">
        <f t="shared" si="17"/>
        <v>#DIV/0!</v>
      </c>
      <c r="C56" s="199">
        <f t="shared" si="16"/>
        <v>0</v>
      </c>
      <c r="D56" s="1164">
        <v>0.25</v>
      </c>
      <c r="E56" s="260">
        <f>'数据-汇总表'!E11</f>
        <v>0</v>
      </c>
      <c r="F56" s="690" t="e">
        <f t="shared" si="15"/>
        <v>#DIV/0!</v>
      </c>
      <c r="G56" s="2708" t="s">
        <v>2768</v>
      </c>
      <c r="H56" s="1104">
        <f>项目基本情况!C37</f>
        <v>0</v>
      </c>
      <c r="I56" s="942">
        <f>SUMIF(修正!A45:A56,H56,修正!F45:F56)</f>
        <v>0</v>
      </c>
      <c r="J56" s="943"/>
      <c r="K56" s="1144"/>
      <c r="L56" s="941"/>
      <c r="M56" s="941"/>
      <c r="N56" s="941"/>
      <c r="O56" s="941"/>
    </row>
    <row r="57" spans="1:17" s="691" customFormat="1">
      <c r="A57" s="692" t="s">
        <v>2769</v>
      </c>
      <c r="B57" s="261" t="e">
        <f t="shared" si="17"/>
        <v>#DIV/0!</v>
      </c>
      <c r="C57" s="199">
        <f t="shared" si="16"/>
        <v>0</v>
      </c>
      <c r="D57" s="1164">
        <v>0.25</v>
      </c>
      <c r="E57" s="260">
        <f>'数据-汇总表'!E12</f>
        <v>0</v>
      </c>
      <c r="F57" s="690"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2771</v>
      </c>
      <c r="B58" s="261" t="e">
        <f t="shared" si="17"/>
        <v>#DIV/0!</v>
      </c>
      <c r="C58" s="199">
        <f t="shared" si="16"/>
        <v>0</v>
      </c>
      <c r="D58" s="1164">
        <v>0.25</v>
      </c>
      <c r="E58" s="260">
        <f>'数据-汇总表'!E13</f>
        <v>0</v>
      </c>
      <c r="F58" s="690"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2773</v>
      </c>
      <c r="B59" s="261" t="e">
        <f t="shared" si="17"/>
        <v>#DIV/0!</v>
      </c>
      <c r="C59" s="199">
        <f t="shared" si="16"/>
        <v>0</v>
      </c>
      <c r="D59" s="1164">
        <v>0.25</v>
      </c>
      <c r="E59" s="260">
        <f>'数据-汇总表'!E14</f>
        <v>0</v>
      </c>
      <c r="F59" s="690" t="e">
        <f t="shared" si="15"/>
        <v>#DIV/0!</v>
      </c>
      <c r="G59" s="2708" t="s">
        <v>2763</v>
      </c>
      <c r="H59" s="1104">
        <f>项目基本情况!B37</f>
        <v>0</v>
      </c>
      <c r="I59" s="942">
        <f>SUMIF(修正!A45:A56,H59,修正!H45:H56)</f>
        <v>0</v>
      </c>
      <c r="J59" s="943"/>
      <c r="K59" s="1145"/>
      <c r="L59" s="941"/>
      <c r="M59" s="941"/>
      <c r="N59" s="941"/>
      <c r="O59" s="941"/>
    </row>
    <row r="60" spans="1:17" s="691" customFormat="1" ht="15" thickBot="1">
      <c r="A60" s="692" t="s">
        <v>2774</v>
      </c>
      <c r="B60" s="261" t="e">
        <f t="shared" si="17"/>
        <v>#DIV/0!</v>
      </c>
      <c r="C60" s="199">
        <f t="shared" si="16"/>
        <v>0</v>
      </c>
      <c r="D60" s="1164">
        <v>0.25</v>
      </c>
      <c r="E60" s="260">
        <f>'数据-汇总表'!E15</f>
        <v>0</v>
      </c>
      <c r="F60" s="690" t="e">
        <f t="shared" si="15"/>
        <v>#DIV/0!</v>
      </c>
      <c r="G60" s="2709" t="s">
        <v>2768</v>
      </c>
      <c r="H60" s="1114">
        <f>项目基本情况!C37</f>
        <v>0</v>
      </c>
      <c r="I60" s="942">
        <f>SUMIF(修正!A45:A56,H60,修正!H45:H56)</f>
        <v>0</v>
      </c>
      <c r="J60" s="943"/>
      <c r="K60" s="1144"/>
      <c r="L60" s="941"/>
      <c r="M60" s="941"/>
      <c r="N60" s="941"/>
      <c r="O60" s="941"/>
    </row>
    <row r="61" spans="1:17" s="691" customFormat="1" ht="15" thickBot="1">
      <c r="A61" s="694" t="s">
        <v>2775</v>
      </c>
      <c r="B61" s="695" t="s">
        <v>28</v>
      </c>
      <c r="C61" s="695" t="s">
        <v>29</v>
      </c>
      <c r="D61" s="695" t="s">
        <v>1026</v>
      </c>
      <c r="E61" s="695">
        <f>IF(B41="楼面地价",SUM(E51:E60),'数据-汇总表'!D3)</f>
        <v>12119</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2668</v>
      </c>
      <c r="B64" s="756"/>
      <c r="C64" s="761"/>
      <c r="D64" s="761"/>
      <c r="E64" s="761"/>
      <c r="F64" s="762"/>
      <c r="G64" s="762"/>
      <c r="H64" s="761"/>
      <c r="I64" s="761"/>
      <c r="J64" s="761"/>
      <c r="K64" s="763"/>
      <c r="L64" s="764"/>
      <c r="M64" s="761"/>
      <c r="N64" s="761"/>
      <c r="O64" s="1159"/>
      <c r="P64" s="502"/>
      <c r="Q64" s="503"/>
    </row>
    <row r="65" spans="1:17" s="507" customFormat="1" ht="15">
      <c r="A65" s="2710" t="s">
        <v>2776</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6"/>
    </row>
    <row r="66" spans="1:17" s="116" customFormat="1" ht="30.75" customHeight="1">
      <c r="A66" s="2715" t="s">
        <v>2796</v>
      </c>
      <c r="B66" s="331" t="str">
        <f>"北京市平均增长率"&amp;TEXT(基准地价修正!P24,"0.00%")</f>
        <v>北京市平均增长率1.42%</v>
      </c>
      <c r="C66" s="602">
        <v>100</v>
      </c>
      <c r="D66" s="594"/>
      <c r="E66" s="594"/>
      <c r="F66" s="594"/>
      <c r="G66" s="594"/>
      <c r="H66" s="594"/>
      <c r="I66" s="594"/>
      <c r="J66" s="594"/>
      <c r="K66" s="594"/>
      <c r="L66" s="594"/>
      <c r="M66" s="1567"/>
      <c r="N66" s="1567"/>
      <c r="O66" s="1569"/>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2582</v>
      </c>
      <c r="B70" s="527" t="s">
        <v>2548</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2551</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1"/>
      <c r="O87" s="1151"/>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1"/>
      <c r="O89" s="1151"/>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2685</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2744</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2786</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2788</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2789</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2798</v>
      </c>
      <c r="B1" s="240"/>
      <c r="C1" s="244" t="s">
        <v>2799</v>
      </c>
      <c r="D1" s="387">
        <f>SUM(D29:D30,D33:D39)</f>
        <v>0</v>
      </c>
      <c r="E1" s="2716"/>
      <c r="F1" s="2716"/>
      <c r="G1" s="2716"/>
      <c r="H1" s="2716"/>
      <c r="I1" s="2716"/>
      <c r="J1" s="2716"/>
      <c r="K1" s="1370"/>
      <c r="L1" s="2717" t="s">
        <v>2800</v>
      </c>
      <c r="M1" s="1080">
        <f>SUMPRODUCT((区片价!B5:B9=I2)*(区片价!C3:F3=E2)*(区片价!C5:F9))</f>
        <v>0</v>
      </c>
      <c r="N1" s="1083">
        <f>SUMPRODUCT((因素修正幅度!B5:B9=I2)*(因素修正幅度!C3:F3=E2)*(因素修正幅度!C5:F9))</f>
        <v>0</v>
      </c>
      <c r="O1" s="2718"/>
      <c r="P1" s="2718"/>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4" t="s">
        <v>2806</v>
      </c>
      <c r="B2" s="247" t="e">
        <f>C26</f>
        <v>#DIV/0!</v>
      </c>
      <c r="C2" s="2720" t="s">
        <v>2807</v>
      </c>
      <c r="D2" s="2721" t="s">
        <v>2808</v>
      </c>
      <c r="E2" s="2722"/>
      <c r="F2" s="2721" t="s">
        <v>2809</v>
      </c>
      <c r="G2" s="2723">
        <f>IF(E2="商业",项目基本情况!B37,IF(E2="办公",项目基本情况!C37,IF(E2="住宅",项目基本情况!D37,项目基本情况!E37)))</f>
        <v>0</v>
      </c>
      <c r="H2" s="2721" t="s">
        <v>2810</v>
      </c>
      <c r="I2" s="2723">
        <f>IF(E2="商业",项目基本情况!B38,IF(E2="办公",项目基本情况!C38,IF(E2="住宅",项目基本情况!D38,项目基本情况!E38)))</f>
        <v>0</v>
      </c>
      <c r="J2" s="2724"/>
      <c r="K2" s="1370"/>
      <c r="L2" s="2725"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2812</v>
      </c>
      <c r="B3" s="247" t="e">
        <f>ROUND(B2*10000/D1,0)</f>
        <v>#DIV/0!</v>
      </c>
      <c r="C3" s="2720" t="s">
        <v>2813</v>
      </c>
      <c r="D3" s="2721" t="s">
        <v>2814</v>
      </c>
      <c r="E3" s="2726"/>
      <c r="F3" s="2727" t="s">
        <v>2815</v>
      </c>
      <c r="G3" s="913">
        <f>IF(F3="宗地容积率",'数据-汇总表'!I4,IF(F3="估价对象容积率",'数据-汇总表'!I6,'数据-汇总表'!I7))</f>
        <v>2.57</v>
      </c>
      <c r="H3" s="197" t="s">
        <v>2816</v>
      </c>
      <c r="I3" s="944"/>
      <c r="J3" s="2724" t="s">
        <v>2817</v>
      </c>
      <c r="K3" s="1370"/>
      <c r="L3" s="2725"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2"/>
      <c r="B4" s="3273"/>
      <c r="C4" s="3273"/>
      <c r="D4" s="3274"/>
      <c r="E4" s="3274"/>
      <c r="F4" s="3274"/>
      <c r="G4" s="3274"/>
      <c r="H4" s="3274"/>
      <c r="I4" s="3274"/>
      <c r="J4" s="3275"/>
      <c r="K4" s="1370"/>
      <c r="L4" s="2725"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2820</v>
      </c>
      <c r="C5" s="914" t="e">
        <f>ROUND(IF(E2="商业",IF(F16="增加",C6*C7+C16,C6*C7-C16),IF(E2="住宅",IF(F16="增加",C6*C12+C16,C6*C12-C16),IF(F16="增加",C6+C16,C6-C16))),0)</f>
        <v>#DIV/0!</v>
      </c>
      <c r="D5" s="1787">
        <f>ROUND(IF(E2="商业",IF(F16="增加",C6+C16,C6-C16)),0)</f>
        <v>0</v>
      </c>
      <c r="E5" s="1787">
        <f>ROUND(IF(E2="住宅",IF(F16="增加",C6+C16,C6-C16)),0)</f>
        <v>0</v>
      </c>
      <c r="F5" s="2730"/>
      <c r="G5" s="2731"/>
      <c r="H5" s="2731"/>
      <c r="I5" s="2731"/>
      <c r="J5" s="2732"/>
      <c r="K5" s="2733"/>
      <c r="L5" s="2725"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2822</v>
      </c>
      <c r="B6" s="2739" t="s">
        <v>2823</v>
      </c>
      <c r="C6" s="915">
        <f>SUMIF(L1:L12,G2,M1:M12)</f>
        <v>0</v>
      </c>
      <c r="D6" s="2740" t="s">
        <v>2824</v>
      </c>
      <c r="E6" s="2741"/>
      <c r="F6" s="2741"/>
      <c r="G6" s="2742"/>
      <c r="H6" s="2742"/>
      <c r="I6" s="2742"/>
      <c r="J6" s="2743"/>
      <c r="K6" s="1842"/>
      <c r="L6" s="2725"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8" t="str">
        <f>IF(E2="商业",IF(C8="不临58条商业街","",2),"")</f>
        <v/>
      </c>
      <c r="B7" s="2744" t="s">
        <v>2826</v>
      </c>
      <c r="C7" s="916" t="e">
        <f>IF(C8="不临58条商业街",1,ROUND(1+(1.6*E8+1.2*E9+0.8*E10+0.4*E11)*C9,4))</f>
        <v>#DIV/0!</v>
      </c>
      <c r="D7" s="2745" t="s">
        <v>2827</v>
      </c>
      <c r="E7" s="945"/>
      <c r="F7" s="2746"/>
      <c r="G7" s="2747"/>
      <c r="H7" s="2747"/>
      <c r="I7" s="2747"/>
      <c r="J7" s="2748"/>
      <c r="K7" s="1842"/>
      <c r="L7" s="2725"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2829</v>
      </c>
      <c r="X7" s="1604">
        <f>G2</f>
        <v>0</v>
      </c>
      <c r="Y7" s="1604" t="s">
        <v>2830</v>
      </c>
      <c r="Z7" s="1605">
        <f>G3</f>
        <v>2.57</v>
      </c>
      <c r="AA7" s="1606"/>
      <c r="AB7" s="1606"/>
      <c r="AC7" s="1607"/>
      <c r="AD7" s="1608"/>
      <c r="AE7" s="1608"/>
      <c r="AF7" s="1608"/>
      <c r="AG7" s="1608"/>
      <c r="AH7" s="1608"/>
      <c r="AI7" s="1608"/>
      <c r="AJ7" s="1609"/>
    </row>
    <row r="8" spans="1:36" ht="15">
      <c r="A8" s="3259"/>
      <c r="B8" s="197" t="s">
        <v>2831</v>
      </c>
      <c r="C8" s="2749"/>
      <c r="D8" s="917" t="s">
        <v>139</v>
      </c>
      <c r="E8" s="918" t="e">
        <f>ROUND(C11/E7,4)</f>
        <v>#DIV/0!</v>
      </c>
      <c r="F8" s="2750" t="s">
        <v>2832</v>
      </c>
      <c r="G8" s="2751"/>
      <c r="H8" s="2751"/>
      <c r="I8" s="2751"/>
      <c r="J8" s="2752"/>
      <c r="K8" s="1370"/>
      <c r="L8" s="2725"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9" t="s">
        <v>2834</v>
      </c>
      <c r="X8" s="3270"/>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59"/>
      <c r="B9" s="197" t="s">
        <v>2847</v>
      </c>
      <c r="C9" s="919">
        <f>SUMIF(修正!C59:C119,C8,修正!E59:E119)</f>
        <v>0</v>
      </c>
      <c r="D9" s="199" t="s">
        <v>140</v>
      </c>
      <c r="E9" s="199" t="e">
        <f>ROUND(C11/E7,4)</f>
        <v>#DIV/0!</v>
      </c>
      <c r="F9" s="2750" t="s">
        <v>2848</v>
      </c>
      <c r="G9" s="2751"/>
      <c r="H9" s="2751"/>
      <c r="I9" s="2751"/>
      <c r="J9" s="2752"/>
      <c r="K9" s="1370"/>
      <c r="L9" s="2725"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1"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9"/>
      <c r="B10" s="197" t="s">
        <v>2852</v>
      </c>
      <c r="C10" s="199">
        <f>SUMIF(修正!C59:C119,C8,修正!F59:F119)</f>
        <v>0</v>
      </c>
      <c r="D10" s="199" t="s">
        <v>141</v>
      </c>
      <c r="E10" s="199" t="e">
        <f>ROUND(C11/E7,4)</f>
        <v>#DIV/0!</v>
      </c>
      <c r="F10" s="2750" t="s">
        <v>2853</v>
      </c>
      <c r="G10" s="2751"/>
      <c r="H10" s="2751"/>
      <c r="I10" s="2751"/>
      <c r="J10" s="2752"/>
      <c r="K10" s="1370"/>
      <c r="L10" s="2725"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9"/>
      <c r="B11" s="2753" t="s">
        <v>2855</v>
      </c>
      <c r="C11" s="920">
        <f>C10/4</f>
        <v>0</v>
      </c>
      <c r="D11" s="920" t="s">
        <v>142</v>
      </c>
      <c r="E11" s="920" t="e">
        <f>ROUND(C11/E7,4)</f>
        <v>#DIV/0!</v>
      </c>
      <c r="F11" s="2754" t="s">
        <v>2856</v>
      </c>
      <c r="G11" s="2755"/>
      <c r="H11" s="2755"/>
      <c r="I11" s="2755"/>
      <c r="J11" s="2756"/>
      <c r="K11" s="1370"/>
      <c r="L11" s="2725"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1" t="s">
        <v>2858</v>
      </c>
      <c r="X11" s="1614" t="s">
        <v>2859</v>
      </c>
      <c r="Y11" s="1615">
        <f>$G$3</f>
        <v>2.57</v>
      </c>
      <c r="Z11" s="1615">
        <f t="shared" ref="Z11:AJ11" si="3">$G$3</f>
        <v>2.57</v>
      </c>
      <c r="AA11" s="1615">
        <f t="shared" si="3"/>
        <v>2.57</v>
      </c>
      <c r="AB11" s="1615">
        <f t="shared" si="3"/>
        <v>2.57</v>
      </c>
      <c r="AC11" s="1615">
        <f t="shared" si="3"/>
        <v>2.57</v>
      </c>
      <c r="AD11" s="1615">
        <f t="shared" si="3"/>
        <v>2.57</v>
      </c>
      <c r="AE11" s="1615">
        <f t="shared" si="3"/>
        <v>2.57</v>
      </c>
      <c r="AF11" s="1615">
        <f t="shared" si="3"/>
        <v>2.57</v>
      </c>
      <c r="AG11" s="1615">
        <f t="shared" si="3"/>
        <v>2.57</v>
      </c>
      <c r="AH11" s="1615">
        <f t="shared" si="3"/>
        <v>2.57</v>
      </c>
      <c r="AI11" s="1615">
        <f t="shared" si="3"/>
        <v>2.57</v>
      </c>
      <c r="AJ11" s="1615">
        <f t="shared" si="3"/>
        <v>2.57</v>
      </c>
    </row>
    <row r="12" spans="1:36" ht="25.5" thickBot="1">
      <c r="A12" s="3258" t="s">
        <v>2860</v>
      </c>
      <c r="B12" s="2757" t="s">
        <v>2861</v>
      </c>
      <c r="C12" s="916">
        <f>ROUND(C15*D15*E15*F15*G15*H15*I15*J15,4)</f>
        <v>1</v>
      </c>
      <c r="D12" s="2758" t="s">
        <v>2862</v>
      </c>
      <c r="E12" s="2759"/>
      <c r="F12" s="2759"/>
      <c r="G12" s="2760"/>
      <c r="H12" s="2760"/>
      <c r="I12" s="2760"/>
      <c r="J12" s="2761"/>
      <c r="K12" s="1370"/>
      <c r="L12" s="2762"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1"/>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6"/>
      <c r="B13" s="2763" t="s">
        <v>2865</v>
      </c>
      <c r="C13" s="2764" t="s">
        <v>2866</v>
      </c>
      <c r="D13" s="1808" t="s">
        <v>2867</v>
      </c>
      <c r="E13" s="1808" t="s">
        <v>2868</v>
      </c>
      <c r="F13" s="30" t="s">
        <v>2869</v>
      </c>
      <c r="G13" s="2765" t="s">
        <v>2870</v>
      </c>
      <c r="H13" s="2765" t="s">
        <v>2870</v>
      </c>
      <c r="I13" s="2765" t="s">
        <v>2870</v>
      </c>
      <c r="J13" s="2766" t="s">
        <v>2870</v>
      </c>
      <c r="K13" s="1370"/>
      <c r="L13" s="1370"/>
      <c r="M13" s="1370"/>
      <c r="N13" s="1370"/>
      <c r="O13" s="1370"/>
      <c r="P13" s="1370"/>
      <c r="Q13" s="1370"/>
      <c r="R13" s="1602">
        <v>12</v>
      </c>
      <c r="S13" s="1603"/>
      <c r="T13" s="1602" t="e">
        <f t="shared" si="0"/>
        <v>#DIV/0!</v>
      </c>
      <c r="U13" s="1603"/>
      <c r="V13" s="1602" t="e">
        <f t="shared" si="1"/>
        <v>#DIV/0!</v>
      </c>
      <c r="W13" s="3271"/>
      <c r="X13" s="1616"/>
      <c r="Y13" s="1613">
        <f>(-0.163*(Y12^2)-0.59*Y12+7617)*(10^(-4))/Y11</f>
        <v>0.29638132295719849</v>
      </c>
      <c r="Z13" s="1613">
        <f t="shared" ref="Z13:AJ13" si="5">(-0.163*(Z12^2)-0.59*Z12+7617)*(10^(-4))/Z11</f>
        <v>0.29638132295719849</v>
      </c>
      <c r="AA13" s="1613">
        <f t="shared" si="5"/>
        <v>0.29638132295719849</v>
      </c>
      <c r="AB13" s="1613">
        <f t="shared" si="5"/>
        <v>0.29638132295719849</v>
      </c>
      <c r="AC13" s="1613">
        <f t="shared" si="5"/>
        <v>0.29638132295719849</v>
      </c>
      <c r="AD13" s="1613">
        <f t="shared" si="5"/>
        <v>0.29638132295719849</v>
      </c>
      <c r="AE13" s="1613">
        <f t="shared" si="5"/>
        <v>0.29638132295719849</v>
      </c>
      <c r="AF13" s="1613">
        <f t="shared" si="5"/>
        <v>0.29638132295719849</v>
      </c>
      <c r="AG13" s="1613">
        <f t="shared" si="5"/>
        <v>0.29638132295719849</v>
      </c>
      <c r="AH13" s="1613">
        <f t="shared" si="5"/>
        <v>0.29638132295719849</v>
      </c>
      <c r="AI13" s="1613">
        <f t="shared" si="5"/>
        <v>0.29638132295719849</v>
      </c>
      <c r="AJ13" s="1613">
        <f t="shared" si="5"/>
        <v>0.29638132295719849</v>
      </c>
    </row>
    <row r="14" spans="1:36" ht="15">
      <c r="A14" s="3276"/>
      <c r="B14" s="2767"/>
      <c r="C14" s="2768"/>
      <c r="D14" s="2769"/>
      <c r="E14" s="2769"/>
      <c r="F14" s="2770"/>
      <c r="G14" s="2771" t="s">
        <v>2871</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7"/>
      <c r="B15" s="2775" t="s">
        <v>2872</v>
      </c>
      <c r="C15" s="228">
        <f>IF(C14="有",1.1,1)</f>
        <v>1</v>
      </c>
      <c r="D15" s="228">
        <f>IF(D14="有",1.1,1)</f>
        <v>1</v>
      </c>
      <c r="E15" s="228">
        <f>IF(E14="有",1.1,1)</f>
        <v>1</v>
      </c>
      <c r="F15" s="228">
        <f>IF(F14="500米范围内",1.2,IF(F14="500-1000米",1.1,1))</f>
        <v>1</v>
      </c>
      <c r="G15" s="946">
        <v>1</v>
      </c>
      <c r="H15" s="946">
        <v>1</v>
      </c>
      <c r="I15" s="946">
        <v>1</v>
      </c>
      <c r="J15" s="947">
        <v>1</v>
      </c>
      <c r="K15" s="1370"/>
      <c r="L15" s="2776" t="s">
        <v>2808</v>
      </c>
      <c r="M15" s="917" t="s">
        <v>2873</v>
      </c>
      <c r="N15" s="917" t="s">
        <v>2874</v>
      </c>
      <c r="O15" s="917" t="s">
        <v>2875</v>
      </c>
      <c r="P15" s="2777" t="s">
        <v>2876</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8" t="s">
        <v>2877</v>
      </c>
      <c r="B16" s="2744" t="s">
        <v>2878</v>
      </c>
      <c r="C16" s="1801" t="e">
        <f>ROUND(SUM(G17:J17)/C17,0)</f>
        <v>#DIV/0!</v>
      </c>
      <c r="D16" s="2778" t="s">
        <v>2879</v>
      </c>
      <c r="E16" s="2779"/>
      <c r="F16" s="2780"/>
      <c r="G16" s="2781"/>
      <c r="H16" s="2781"/>
      <c r="I16" s="2781"/>
      <c r="J16" s="2782"/>
      <c r="K16" s="1370"/>
      <c r="L16" s="2783" t="s">
        <v>2880</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9"/>
      <c r="B17" s="2784" t="s">
        <v>2881</v>
      </c>
      <c r="C17" s="921">
        <f>SUMPRODUCT((修正!A2:A5=E2)*(修正!B1:M1=G2)*(修正!B2:M5))</f>
        <v>0</v>
      </c>
      <c r="D17" s="2785"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2884</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2885</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2886</v>
      </c>
      <c r="C19" s="924" t="e">
        <f>ROUND(IF(H19="按公示增长率计算",SUMPRODUCT((地价!A3:A24=YEAR(G19)&amp;"-"&amp;ROUNDUP(MONTH(G19)/3,0))*(地价!X2:AB2=E2)*(地价!X3:AB24)),IF(H19="地价指数",M20/M19,(1+I19)^O19)),4)</f>
        <v>#DIV/0!</v>
      </c>
      <c r="D19" s="2796" t="s">
        <v>2887</v>
      </c>
      <c r="E19" s="925">
        <v>41640</v>
      </c>
      <c r="F19" s="2796" t="s">
        <v>2888</v>
      </c>
      <c r="G19" s="926">
        <f>'数据-取费表'!B2</f>
        <v>43405</v>
      </c>
      <c r="H19" s="2797" t="s">
        <v>2889</v>
      </c>
      <c r="I19" s="927" t="str">
        <f>IF(H19="季度增幅（自定义）",SUMIF(N21:N24,E2,O21:O24),"")</f>
        <v/>
      </c>
      <c r="J19" s="2794"/>
      <c r="K19" s="1377"/>
      <c r="L19" s="2798" t="s">
        <v>2890</v>
      </c>
      <c r="M19" s="1734">
        <f>ROUND(SUMIF(地价!B2:F2,E2,地价!B24:F24),0)</f>
        <v>0</v>
      </c>
      <c r="N19" s="2799" t="s">
        <v>2891</v>
      </c>
      <c r="O19" s="928">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2892</v>
      </c>
      <c r="C20" s="929" t="e">
        <f>ROUND(POWER(1+G20,J20-I20)*(POWER(1+G20,I20)-1)/(POWER(1+G20,J20)-1),4)</f>
        <v>#DIV/0!</v>
      </c>
      <c r="D20" s="2805" t="s">
        <v>2893</v>
      </c>
      <c r="E20" s="1768">
        <f ca="1">存贷款利率!D4/100</f>
        <v>4.3499999999999997E-2</v>
      </c>
      <c r="F20" s="2805" t="s">
        <v>2884</v>
      </c>
      <c r="G20" s="934">
        <f>SUMIF(M15:P15,E2,M17:P17)</f>
        <v>0</v>
      </c>
      <c r="H20" s="2805" t="s">
        <v>2894</v>
      </c>
      <c r="I20" s="935" t="e">
        <f>SUMIF('数据-取费表'!C6:C15,E2,'数据-取费表'!F6:F15)/COUNTIF('数据-取费表'!C6:C15,E2)</f>
        <v>#DIV/0!</v>
      </c>
      <c r="J20" s="936">
        <f>IF(E2="住宅",70,IF(E2="商业",40,50))</f>
        <v>50</v>
      </c>
      <c r="K20" s="1377"/>
      <c r="L20" s="2806" t="s">
        <v>2895</v>
      </c>
      <c r="M20" s="1735">
        <f>ROUND(SUMPRODUCT((地价!A4:A24=YEAR(G19)&amp;"-"&amp;ROUNDUP(MONTH(G19)/3,0))*(地价!B2:F2=E2)*(地价!B4:F24)),0)</f>
        <v>0</v>
      </c>
      <c r="N20" s="2807" t="s">
        <v>2896</v>
      </c>
      <c r="O20" s="2808" t="s">
        <v>2897</v>
      </c>
      <c r="P20" s="2809" t="s">
        <v>2898</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2899</v>
      </c>
      <c r="C21" s="937">
        <f>IF(B21="容积率修正",IF(G3&lt;=10,D22,J22),C23)</f>
        <v>0</v>
      </c>
      <c r="D21" s="2812"/>
      <c r="E21" s="2812"/>
      <c r="F21" s="2812"/>
      <c r="G21" s="2812"/>
      <c r="H21" s="2812"/>
      <c r="I21" s="2812"/>
      <c r="J21" s="2813"/>
      <c r="K21" s="1377"/>
      <c r="N21" s="2814" t="s">
        <v>2900</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15" t="s">
        <v>2902</v>
      </c>
      <c r="C22" s="1810" t="s">
        <v>2903</v>
      </c>
      <c r="D22" s="1810">
        <f>IF(E22=G22,F22,IF(G3&lt;=10,ROUND(F22+(H22-F22)*(G3-E22)/(G22-E22),4),"——"))</f>
        <v>0</v>
      </c>
      <c r="E22" s="913">
        <f>ROUNDDOWN(G3,1)</f>
        <v>2.5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4" t="s">
        <v>2904</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16" t="s">
        <v>2906</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2907</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2908</v>
      </c>
      <c r="C24" s="924">
        <f>SUMIF(A45:A88,E2,B45:B88)</f>
        <v>0</v>
      </c>
      <c r="D24" s="2792"/>
      <c r="E24" s="2822"/>
      <c r="F24" s="2822"/>
      <c r="G24" s="2822"/>
      <c r="H24" s="2822"/>
      <c r="I24" s="2822"/>
      <c r="J24" s="2823"/>
      <c r="K24" s="1377"/>
      <c r="N24" s="2824" t="s">
        <v>2909</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2910</v>
      </c>
      <c r="C25" s="930"/>
      <c r="D25" s="2747"/>
      <c r="E25" s="2747"/>
      <c r="F25" s="2826"/>
      <c r="G25" s="2747"/>
      <c r="H25" s="2747"/>
      <c r="I25" s="2747"/>
      <c r="J25" s="2748"/>
      <c r="K25" s="1370"/>
      <c r="N25" s="2827" t="s">
        <v>2911</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2912</v>
      </c>
      <c r="C26" s="205"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2913</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2914</v>
      </c>
      <c r="C28" s="2839" t="s">
        <v>2915</v>
      </c>
      <c r="D28" s="2839" t="s">
        <v>2916</v>
      </c>
      <c r="E28" s="2840" t="s">
        <v>2917</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2918</v>
      </c>
      <c r="C29" s="205" t="e">
        <f>ROUND(C5*C18*C19*C20*C21*C24,0)</f>
        <v>#DIV/0!</v>
      </c>
      <c r="D29" s="2844"/>
      <c r="E29" s="942" t="e">
        <f>ROUND(C29*D29/10000,0)</f>
        <v>#DIV/0!</v>
      </c>
      <c r="F29" s="2845" t="s">
        <v>2919</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2920</v>
      </c>
      <c r="C30" s="228" t="e">
        <f>ROUND(IF(E2="工业",C29*M39,C29*M38),0)</f>
        <v>#DIV/0!</v>
      </c>
      <c r="D30" s="2850"/>
      <c r="E30" s="942" t="e">
        <f>ROUND(C30*D30/10000,0)</f>
        <v>#DIV/0!</v>
      </c>
      <c r="F30" s="2851" t="s">
        <v>2921</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2915</v>
      </c>
      <c r="D32" s="497" t="s">
        <v>2916</v>
      </c>
      <c r="E32" s="497" t="s">
        <v>2917</v>
      </c>
      <c r="F32" s="387" t="s">
        <v>2925</v>
      </c>
      <c r="G32" s="2859" t="s">
        <v>2915</v>
      </c>
      <c r="H32" s="2859" t="s">
        <v>2916</v>
      </c>
      <c r="I32" s="2859" t="s">
        <v>2917</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66" t="s">
        <v>2926</v>
      </c>
      <c r="B33" s="2860" t="s">
        <v>2927</v>
      </c>
      <c r="C33" s="205" t="e">
        <f>ROUND(D5*C19*C20*C24*F33,0)</f>
        <v>#DIV/0!</v>
      </c>
      <c r="D33" s="2844"/>
      <c r="E33" s="199" t="e">
        <f>ROUND(C33*D33/10000,0)</f>
        <v>#DIV/0!</v>
      </c>
      <c r="F33" s="199">
        <f>SUMIF(修正!A45:A56,G2,修正!B45:B56)</f>
        <v>0</v>
      </c>
      <c r="G33" s="199" t="e">
        <f t="shared" ref="G33" si="6">ROUND(IF(E2="工业",C33*$M$39,C33*$M$38),0)</f>
        <v>#DIV/0!</v>
      </c>
      <c r="H33" s="199">
        <f>D33</f>
        <v>0</v>
      </c>
      <c r="I33" s="199"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64" t="s">
        <v>2928</v>
      </c>
      <c r="C34" s="205" t="e">
        <f>ROUND(D5*C19*C20*C24*F34,0)</f>
        <v>#DIV/0!</v>
      </c>
      <c r="D34" s="284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64" t="s">
        <v>2929</v>
      </c>
      <c r="C35" s="205" t="e">
        <f>ROUND(D5*C19*C20*C24*F35,0)</f>
        <v>#DIV/0!</v>
      </c>
      <c r="D35" s="2844"/>
      <c r="E35" s="199" t="e">
        <f t="shared" si="7"/>
        <v>#DIV/0!</v>
      </c>
      <c r="F35" s="199">
        <f>SUMIF(修正!A45:A56,G2,修正!D45:D56)</f>
        <v>0</v>
      </c>
      <c r="G35" s="199" t="e">
        <f>ROUND(IF(E2="工业",C35*$M$39,C35*$M$38),0)</f>
        <v>#DIV/0!</v>
      </c>
      <c r="H35" s="199">
        <f t="shared" si="8"/>
        <v>0</v>
      </c>
      <c r="I35" s="199"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68"/>
      <c r="B36" s="2764" t="s">
        <v>2930</v>
      </c>
      <c r="C36" s="205" t="e">
        <f>ROUND(D5*C19*C20*C24*F36,0)</f>
        <v>#DIV/0!</v>
      </c>
      <c r="D36" s="2844"/>
      <c r="E36" s="199" t="e">
        <f t="shared" si="7"/>
        <v>#DIV/0!</v>
      </c>
      <c r="F36" s="199">
        <f>SUMIF(修正!A45:A56,G2,修正!E45:E56)</f>
        <v>0</v>
      </c>
      <c r="G36" s="199" t="e">
        <f>ROUND(IF(E2="工业",C36*$M$39,C36*$M$38),0)</f>
        <v>#DIV/0!</v>
      </c>
      <c r="H36" s="199">
        <f t="shared" si="8"/>
        <v>0</v>
      </c>
      <c r="I36" s="199"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2931</v>
      </c>
      <c r="C37" s="199" t="e">
        <f>ROUND(E5*C19*C41*C24*F37,0)</f>
        <v>#DIV/0!</v>
      </c>
      <c r="D37" s="2844"/>
      <c r="E37" s="199" t="e">
        <f t="shared" si="7"/>
        <v>#DIV/0!</v>
      </c>
      <c r="F37" s="205">
        <f>SUMIF(修正!A45:A56,G2,修正!F45:F56)</f>
        <v>0</v>
      </c>
      <c r="G37" s="199" t="e">
        <f>ROUND(IF(E2="工业",C37*$M$39,C37*$M$38),0)</f>
        <v>#DIV/0!</v>
      </c>
      <c r="H37" s="199">
        <f t="shared" si="8"/>
        <v>0</v>
      </c>
      <c r="I37" s="199" t="e">
        <f t="shared" si="9"/>
        <v>#DIV/0!</v>
      </c>
      <c r="J37" s="2861"/>
      <c r="K37" s="1370"/>
      <c r="L37" s="2863" t="s">
        <v>2932</v>
      </c>
      <c r="M37" s="2864"/>
      <c r="N37" s="1370"/>
      <c r="O37" s="1370"/>
      <c r="P37" s="1370"/>
      <c r="Q37" s="1370"/>
      <c r="R37" s="1370"/>
      <c r="S37" s="1370"/>
      <c r="T37" s="1370"/>
      <c r="U37" s="1370"/>
      <c r="V37" s="1370"/>
      <c r="W37" s="1370"/>
      <c r="X37" s="1370"/>
      <c r="Y37" s="1370"/>
      <c r="Z37" s="1371"/>
    </row>
    <row r="38" spans="1:37">
      <c r="A38" s="2862"/>
      <c r="B38" s="2764" t="s">
        <v>2933</v>
      </c>
      <c r="C38" s="199" t="e">
        <f>ROUND(E5*C19*C41*C24*F38,0)</f>
        <v>#DIV/0!</v>
      </c>
      <c r="D38" s="2844"/>
      <c r="E38" s="199" t="e">
        <f t="shared" si="7"/>
        <v>#DIV/0!</v>
      </c>
      <c r="F38" s="205">
        <f>SUMIF(修正!A45:A56,G2,修正!G45:G56)</f>
        <v>0</v>
      </c>
      <c r="G38" s="199" t="e">
        <f>ROUND(IF(E2="工业",C38*$M$39,C38*$M$38),0)</f>
        <v>#DIV/0!</v>
      </c>
      <c r="H38" s="199">
        <f t="shared" si="8"/>
        <v>0</v>
      </c>
      <c r="I38" s="199" t="e">
        <f t="shared" si="9"/>
        <v>#DIV/0!</v>
      </c>
      <c r="J38" s="2861"/>
      <c r="K38" s="1370"/>
      <c r="L38" s="1887" t="s">
        <v>2934</v>
      </c>
      <c r="M38" s="2865">
        <v>0.25</v>
      </c>
      <c r="N38" s="1370"/>
      <c r="O38" s="1370"/>
      <c r="P38" s="1370"/>
      <c r="Q38" s="1370"/>
      <c r="R38" s="1370"/>
      <c r="S38" s="1370"/>
      <c r="T38" s="1370"/>
      <c r="U38" s="1370"/>
      <c r="V38" s="1370"/>
      <c r="W38" s="1370"/>
      <c r="X38" s="1370"/>
      <c r="Y38" s="1370"/>
      <c r="Z38" s="1371"/>
    </row>
    <row r="39" spans="1:37" ht="13.5" thickBot="1">
      <c r="A39" s="2848"/>
      <c r="B39" s="2866" t="s">
        <v>2935</v>
      </c>
      <c r="C39" s="228" t="e">
        <f>ROUND(E5*C19*C41*C24*F39,0)</f>
        <v>#DIV/0!</v>
      </c>
      <c r="D39" s="2850"/>
      <c r="E39" s="228" t="e">
        <f t="shared" si="7"/>
        <v>#DIV/0!</v>
      </c>
      <c r="F39" s="932">
        <f>SUMIF(修正!A45:A56,G2,修正!H45:H56)</f>
        <v>0</v>
      </c>
      <c r="G39" s="228" t="e">
        <f>ROUND(IF(E2="工业",C39*$M$39,C39*$M$38),0)</f>
        <v>#DIV/0!</v>
      </c>
      <c r="H39" s="228">
        <f t="shared" si="8"/>
        <v>0</v>
      </c>
      <c r="I39" s="228" t="e">
        <f t="shared" si="9"/>
        <v>#DIV/0!</v>
      </c>
      <c r="J39" s="2867"/>
      <c r="K39" s="1370"/>
      <c r="L39" s="2868" t="s">
        <v>2876</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42" t="s">
        <v>3044</v>
      </c>
      <c r="C41" s="387" t="e">
        <f>ROUND(POWER(1+E41,H41-G41)*(POWER(1+E41,G41)-1)/(POWER(1+E41,H41)-1),4)</f>
        <v>#DIV/0!</v>
      </c>
      <c r="D41" s="199" t="s">
        <v>2884</v>
      </c>
      <c r="E41" s="2941">
        <f>G20</f>
        <v>0</v>
      </c>
      <c r="F41" s="199" t="s">
        <v>2894</v>
      </c>
      <c r="G41" s="217"/>
      <c r="H41" s="199">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2936</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2937</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2938</v>
      </c>
      <c r="B47" s="1809" t="s">
        <v>2939</v>
      </c>
      <c r="C47" s="1809" t="s">
        <v>2940</v>
      </c>
      <c r="D47" s="1809" t="s">
        <v>2941</v>
      </c>
      <c r="E47" s="816" t="s">
        <v>2942</v>
      </c>
      <c r="F47" s="2878" t="s">
        <v>2943</v>
      </c>
      <c r="G47" s="1809" t="s">
        <v>754</v>
      </c>
      <c r="H47" s="2879" t="s">
        <v>2944</v>
      </c>
      <c r="I47" s="1809" t="s">
        <v>2945</v>
      </c>
      <c r="J47" s="602" t="s">
        <v>2591</v>
      </c>
      <c r="K47" s="602" t="s">
        <v>2592</v>
      </c>
      <c r="L47" s="602" t="s">
        <v>2593</v>
      </c>
      <c r="M47" s="602" t="s">
        <v>2594</v>
      </c>
      <c r="N47" s="602" t="s">
        <v>2595</v>
      </c>
      <c r="AA47" s="1371"/>
      <c r="AB47" s="1371"/>
      <c r="AC47" s="1371"/>
      <c r="AD47" s="1371"/>
      <c r="AE47" s="1371"/>
      <c r="AF47" s="1371"/>
      <c r="AG47" s="1371"/>
      <c r="AH47" s="1371"/>
      <c r="AI47" s="1371"/>
      <c r="AJ47" s="1371"/>
      <c r="AK47" s="1371"/>
    </row>
    <row r="48" spans="1:37" s="1370" customFormat="1" ht="38.25">
      <c r="A48" s="2877" t="s">
        <v>2946</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2947</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2948</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2949</v>
      </c>
      <c r="B51" s="2882" t="s">
        <v>2950</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2951</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2952</v>
      </c>
      <c r="B53" s="2883" t="s">
        <v>2953</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2954</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2955</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2956</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2957</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2938</v>
      </c>
      <c r="B58" s="1809"/>
      <c r="C58" s="1809" t="s">
        <v>2940</v>
      </c>
      <c r="D58" s="1809" t="s">
        <v>2941</v>
      </c>
      <c r="E58" s="816" t="s">
        <v>2942</v>
      </c>
      <c r="F58" s="2878" t="s">
        <v>2958</v>
      </c>
      <c r="G58" s="1809" t="s">
        <v>754</v>
      </c>
      <c r="H58" s="2879" t="s">
        <v>2944</v>
      </c>
      <c r="I58" s="1809" t="s">
        <v>2945</v>
      </c>
      <c r="J58" s="602" t="s">
        <v>2591</v>
      </c>
      <c r="K58" s="602" t="s">
        <v>2592</v>
      </c>
      <c r="L58" s="602" t="s">
        <v>2593</v>
      </c>
      <c r="M58" s="602" t="s">
        <v>2594</v>
      </c>
      <c r="N58" s="602" t="s">
        <v>2595</v>
      </c>
      <c r="AA58" s="1371"/>
      <c r="AB58" s="1371"/>
      <c r="AC58" s="1371"/>
      <c r="AD58" s="1371"/>
      <c r="AE58" s="1371"/>
      <c r="AF58" s="1371"/>
      <c r="AG58" s="1371"/>
      <c r="AH58" s="1371"/>
      <c r="AI58" s="1371"/>
      <c r="AJ58" s="1371"/>
      <c r="AK58" s="1371"/>
    </row>
    <row r="59" spans="1:37" s="1370" customFormat="1" ht="38.25">
      <c r="A59" s="2877" t="s">
        <v>2959</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2947</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2948</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2949</v>
      </c>
      <c r="B62" s="2882" t="s">
        <v>2950</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2951</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2952</v>
      </c>
      <c r="B64" s="2883" t="s">
        <v>2953</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2954</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2955</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2956</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2960</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2938</v>
      </c>
      <c r="B69" s="1809"/>
      <c r="C69" s="1809" t="s">
        <v>2940</v>
      </c>
      <c r="D69" s="1809" t="s">
        <v>2941</v>
      </c>
      <c r="E69" s="816" t="s">
        <v>2942</v>
      </c>
      <c r="F69" s="2878" t="s">
        <v>2958</v>
      </c>
      <c r="G69" s="1809" t="s">
        <v>754</v>
      </c>
      <c r="H69" s="2879" t="s">
        <v>2944</v>
      </c>
      <c r="I69" s="1809" t="s">
        <v>2945</v>
      </c>
      <c r="J69" s="602" t="s">
        <v>2591</v>
      </c>
      <c r="K69" s="602" t="s">
        <v>2592</v>
      </c>
      <c r="L69" s="602" t="s">
        <v>2593</v>
      </c>
      <c r="M69" s="602" t="s">
        <v>2594</v>
      </c>
      <c r="N69" s="602" t="s">
        <v>2595</v>
      </c>
      <c r="AA69" s="1371"/>
      <c r="AB69" s="1371"/>
      <c r="AC69" s="1371"/>
      <c r="AD69" s="1371"/>
      <c r="AE69" s="1371"/>
      <c r="AF69" s="1371"/>
      <c r="AG69" s="1371"/>
      <c r="AH69" s="1371"/>
      <c r="AI69" s="1371"/>
      <c r="AJ69" s="1371"/>
      <c r="AK69" s="1371"/>
    </row>
    <row r="70" spans="1:37" s="1370" customFormat="1" ht="51">
      <c r="A70" s="2877" t="s">
        <v>2961</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2947</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2948</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2962</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2954</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2955</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2952</v>
      </c>
      <c r="B76" s="2883" t="s">
        <v>2953</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2956</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2963</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2964</v>
      </c>
      <c r="B79" s="2874">
        <f>1+E81</f>
        <v>1</v>
      </c>
      <c r="C79" s="811"/>
      <c r="D79" s="811"/>
      <c r="E79" s="812"/>
      <c r="F79" s="2876"/>
      <c r="G79" s="6"/>
      <c r="H79" s="6"/>
      <c r="I79" s="6"/>
      <c r="J79" s="7"/>
      <c r="K79" s="7"/>
      <c r="L79" s="7"/>
      <c r="M79" s="7"/>
      <c r="N79" s="7"/>
      <c r="Z79" s="2719"/>
      <c r="AA79" s="2795"/>
      <c r="AG79" s="1372"/>
      <c r="AK79" s="2795"/>
    </row>
    <row r="80" spans="1:37" ht="24.75">
      <c r="A80" s="2877" t="s">
        <v>2938</v>
      </c>
      <c r="B80" s="1809"/>
      <c r="C80" s="1809" t="s">
        <v>2940</v>
      </c>
      <c r="D80" s="1809" t="s">
        <v>2941</v>
      </c>
      <c r="E80" s="816" t="s">
        <v>2942</v>
      </c>
      <c r="F80" s="2878" t="s">
        <v>2958</v>
      </c>
      <c r="G80" s="1809" t="s">
        <v>754</v>
      </c>
      <c r="H80" s="2879" t="s">
        <v>2944</v>
      </c>
      <c r="I80" s="1809" t="s">
        <v>2945</v>
      </c>
      <c r="J80" s="602" t="s">
        <v>2591</v>
      </c>
      <c r="K80" s="602" t="s">
        <v>2592</v>
      </c>
      <c r="L80" s="602" t="s">
        <v>2593</v>
      </c>
      <c r="M80" s="602" t="s">
        <v>2594</v>
      </c>
      <c r="N80" s="602" t="s">
        <v>2595</v>
      </c>
      <c r="Z80" s="2719"/>
      <c r="AA80" s="2795"/>
      <c r="AG80" s="1372"/>
      <c r="AK80" s="2795"/>
    </row>
    <row r="81" spans="1:37" ht="38.25">
      <c r="A81" s="2877" t="s">
        <v>2965</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2947</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2948</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2962</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2954</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2955</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2952</v>
      </c>
      <c r="B87" s="2883" t="s">
        <v>2966</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2967</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60" t="s">
        <v>2968</v>
      </c>
      <c r="B90" s="3260"/>
      <c r="C90" s="3260"/>
      <c r="D90" s="3260"/>
      <c r="E90" s="3260"/>
      <c r="F90" s="3260"/>
      <c r="G90" s="3260"/>
      <c r="H90" s="3260"/>
      <c r="I90" s="3260"/>
      <c r="J90" s="3260"/>
      <c r="K90" s="2891"/>
      <c r="L90" s="2891"/>
      <c r="M90" s="2891"/>
      <c r="N90" s="2891"/>
    </row>
    <row r="91" spans="1:37">
      <c r="A91" s="3262" t="s">
        <v>2969</v>
      </c>
      <c r="B91" s="3262" t="s">
        <v>2970</v>
      </c>
      <c r="C91" s="2845" t="s">
        <v>2971</v>
      </c>
      <c r="D91" s="2846"/>
      <c r="E91" s="2846"/>
      <c r="F91" s="2846"/>
      <c r="G91" s="2846"/>
      <c r="H91" s="2846"/>
      <c r="I91" s="2846"/>
      <c r="J91" s="2892"/>
      <c r="K91" s="2893"/>
      <c r="L91" s="2893"/>
      <c r="M91" s="2893"/>
      <c r="N91" s="2893"/>
    </row>
    <row r="92" spans="1:37">
      <c r="A92" s="3262"/>
      <c r="B92" s="3262"/>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63"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4"/>
      <c r="B99" s="2894" t="s">
        <v>2851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3" t="s">
        <v>2973</v>
      </c>
      <c r="B101" s="2898" t="s">
        <v>2974</v>
      </c>
      <c r="C101" s="2899">
        <f>$G$3</f>
        <v>2.57</v>
      </c>
      <c r="D101" s="2899">
        <f t="shared" ref="D101:N101" si="31">$G$3</f>
        <v>2.57</v>
      </c>
      <c r="E101" s="2899">
        <f t="shared" si="31"/>
        <v>2.57</v>
      </c>
      <c r="F101" s="2899">
        <f t="shared" si="31"/>
        <v>2.57</v>
      </c>
      <c r="G101" s="2899">
        <f t="shared" si="31"/>
        <v>2.57</v>
      </c>
      <c r="H101" s="2899">
        <f t="shared" si="31"/>
        <v>2.57</v>
      </c>
      <c r="I101" s="2899">
        <f t="shared" si="31"/>
        <v>2.57</v>
      </c>
      <c r="J101" s="2899">
        <f t="shared" si="31"/>
        <v>2.57</v>
      </c>
      <c r="K101" s="2899">
        <f t="shared" si="31"/>
        <v>2.57</v>
      </c>
      <c r="L101" s="2899">
        <f t="shared" si="31"/>
        <v>2.57</v>
      </c>
      <c r="M101" s="2899">
        <f t="shared" si="31"/>
        <v>2.57</v>
      </c>
      <c r="N101" s="2899">
        <f t="shared" si="31"/>
        <v>2.57</v>
      </c>
    </row>
    <row r="102" spans="1:14">
      <c r="A102" s="3264"/>
      <c r="B102" s="2894">
        <v>1</v>
      </c>
      <c r="C102" s="2895">
        <f>1.9362/C101</f>
        <v>0.75338521400778213</v>
      </c>
      <c r="D102" s="2895">
        <f>1.9362/D101</f>
        <v>0.75338521400778213</v>
      </c>
      <c r="E102" s="2895">
        <f>1.8629/E101</f>
        <v>0.72486381322957205</v>
      </c>
      <c r="F102" s="2895">
        <f>1.8629/F101</f>
        <v>0.72486381322957205</v>
      </c>
      <c r="G102" s="2895">
        <f>1.8629/G101</f>
        <v>0.72486381322957205</v>
      </c>
      <c r="H102" s="2895">
        <f>1.8629/H101</f>
        <v>0.72486381322957205</v>
      </c>
      <c r="I102" s="2895">
        <f>1.8629/I101</f>
        <v>0.72486381322957205</v>
      </c>
      <c r="J102" s="2895">
        <f>1.942/J101</f>
        <v>0.75564202334630348</v>
      </c>
      <c r="K102" s="2895">
        <f>1.942/K101</f>
        <v>0.75564202334630348</v>
      </c>
      <c r="L102" s="2895">
        <f>1.942/L101</f>
        <v>0.75564202334630348</v>
      </c>
      <c r="M102" s="2895">
        <f>1.942/M101</f>
        <v>0.75564202334630348</v>
      </c>
      <c r="N102" s="2895">
        <f>1.942/N101</f>
        <v>0.75564202334630348</v>
      </c>
    </row>
    <row r="103" spans="1:14">
      <c r="A103" s="3264"/>
      <c r="B103" s="2894">
        <v>2</v>
      </c>
      <c r="C103" s="2895">
        <f>1.4198/C101</f>
        <v>0.55245136186770427</v>
      </c>
      <c r="D103" s="2895">
        <f>1.4198/D101</f>
        <v>0.55245136186770427</v>
      </c>
      <c r="E103" s="2895">
        <f>1.3372/E101</f>
        <v>0.52031128404669258</v>
      </c>
      <c r="F103" s="2895">
        <f>1.3372/F101</f>
        <v>0.52031128404669258</v>
      </c>
      <c r="G103" s="2895">
        <f>1.3372/G101</f>
        <v>0.52031128404669258</v>
      </c>
      <c r="H103" s="2895">
        <f>1.3372/H101</f>
        <v>0.52031128404669258</v>
      </c>
      <c r="I103" s="2895">
        <f>1.3372/I101</f>
        <v>0.52031128404669258</v>
      </c>
      <c r="J103" s="2895">
        <f>1.2799/J101</f>
        <v>0.49801556420233467</v>
      </c>
      <c r="K103" s="2895">
        <f>1.2799/K101</f>
        <v>0.49801556420233467</v>
      </c>
      <c r="L103" s="2895">
        <f>1.2799/L101</f>
        <v>0.49801556420233467</v>
      </c>
      <c r="M103" s="2895">
        <f>1.2799/M101</f>
        <v>0.49801556420233467</v>
      </c>
      <c r="N103" s="2895">
        <f>1.2799/N101</f>
        <v>0.49801556420233467</v>
      </c>
    </row>
    <row r="104" spans="1:14">
      <c r="A104" s="3264"/>
      <c r="B104" s="2894">
        <v>3</v>
      </c>
      <c r="C104" s="2895">
        <f>1.1594/C101</f>
        <v>0.45112840466926074</v>
      </c>
      <c r="D104" s="2895">
        <f>1.1594/D101</f>
        <v>0.45112840466926074</v>
      </c>
      <c r="E104" s="2895">
        <f>1.0788/E101</f>
        <v>0.41976653696498056</v>
      </c>
      <c r="F104" s="2895">
        <f>1.0788/F101</f>
        <v>0.41976653696498056</v>
      </c>
      <c r="G104" s="2895">
        <f>1.0788/G101</f>
        <v>0.41976653696498056</v>
      </c>
      <c r="H104" s="2895">
        <f>1.0788/H101</f>
        <v>0.41976653696498056</v>
      </c>
      <c r="I104" s="2895">
        <f>1.0788/I101</f>
        <v>0.41976653696498056</v>
      </c>
      <c r="J104" s="2895">
        <f>1.0072/J101</f>
        <v>0.39190661478599226</v>
      </c>
      <c r="K104" s="2895">
        <f>1.0072/K101</f>
        <v>0.39190661478599226</v>
      </c>
      <c r="L104" s="2895">
        <f>1.0072/L101</f>
        <v>0.39190661478599226</v>
      </c>
      <c r="M104" s="2895">
        <f>1.0072/M101</f>
        <v>0.39190661478599226</v>
      </c>
      <c r="N104" s="2895">
        <f>1.0072/N101</f>
        <v>0.39190661478599226</v>
      </c>
    </row>
    <row r="105" spans="1:14">
      <c r="A105" s="3264"/>
      <c r="B105" s="2894">
        <v>4</v>
      </c>
      <c r="C105" s="2895">
        <f>0.9622/C101</f>
        <v>0.37439688715953312</v>
      </c>
      <c r="D105" s="2895">
        <f>0.9622/D101</f>
        <v>0.37439688715953312</v>
      </c>
      <c r="E105" s="2895">
        <f>0.8656/E101</f>
        <v>0.33680933852140083</v>
      </c>
      <c r="F105" s="2895">
        <f>0.8656/F101</f>
        <v>0.33680933852140083</v>
      </c>
      <c r="G105" s="2895">
        <f>0.8656/G101</f>
        <v>0.33680933852140083</v>
      </c>
      <c r="H105" s="2895">
        <f>0.8656/H101</f>
        <v>0.33680933852140083</v>
      </c>
      <c r="I105" s="2895">
        <f>0.8656/I101</f>
        <v>0.33680933852140083</v>
      </c>
      <c r="J105" s="2895">
        <f>0.7525/J101</f>
        <v>0.29280155642023348</v>
      </c>
      <c r="K105" s="2895">
        <f>0.7525/K101</f>
        <v>0.29280155642023348</v>
      </c>
      <c r="L105" s="2895">
        <f>0.7525/L101</f>
        <v>0.29280155642023348</v>
      </c>
      <c r="M105" s="2895">
        <f>0.7525/M101</f>
        <v>0.29280155642023348</v>
      </c>
      <c r="N105" s="2895">
        <f>0.7525/N101</f>
        <v>0.29280155642023348</v>
      </c>
    </row>
    <row r="106" spans="1:14">
      <c r="A106" s="3264"/>
      <c r="B106" s="2894">
        <v>5</v>
      </c>
      <c r="C106" s="2895">
        <f>0.8417/C101</f>
        <v>0.32750972762645919</v>
      </c>
      <c r="D106" s="2895">
        <f>0.8417/D101</f>
        <v>0.32750972762645919</v>
      </c>
      <c r="E106" s="2895">
        <f>0.7371/E101</f>
        <v>0.28680933852140078</v>
      </c>
      <c r="F106" s="2895">
        <f>0.7371/F101</f>
        <v>0.28680933852140078</v>
      </c>
      <c r="G106" s="2895">
        <f>0.7371/G101</f>
        <v>0.28680933852140078</v>
      </c>
      <c r="H106" s="2895">
        <f>0.7371/H101</f>
        <v>0.28680933852140078</v>
      </c>
      <c r="I106" s="2895">
        <f>0.7371/I101</f>
        <v>0.28680933852140078</v>
      </c>
      <c r="J106" s="2895">
        <f>0.5659/J101</f>
        <v>0.22019455252918288</v>
      </c>
      <c r="K106" s="2895">
        <f>0.5659/K101</f>
        <v>0.22019455252918288</v>
      </c>
      <c r="L106" s="2895">
        <f>0.5659/L101</f>
        <v>0.22019455252918288</v>
      </c>
      <c r="M106" s="2895">
        <f>0.5659/M101</f>
        <v>0.22019455252918288</v>
      </c>
      <c r="N106" s="2895">
        <f>0.5659/N101</f>
        <v>0.22019455252918288</v>
      </c>
    </row>
    <row r="107" spans="1:14">
      <c r="A107" s="3264"/>
      <c r="B107" s="2894">
        <v>6</v>
      </c>
      <c r="C107" s="2895">
        <f>0.7608/C101</f>
        <v>0.29603112840466927</v>
      </c>
      <c r="D107" s="2895">
        <f>0.7608/D101</f>
        <v>0.29603112840466927</v>
      </c>
      <c r="E107" s="2895">
        <f>0.6482/E101</f>
        <v>0.25221789883268486</v>
      </c>
      <c r="F107" s="2895">
        <f>0.6482/F101</f>
        <v>0.25221789883268486</v>
      </c>
      <c r="G107" s="2895">
        <f>0.6482/G101</f>
        <v>0.25221789883268486</v>
      </c>
      <c r="H107" s="2895">
        <f>0.6482/H101</f>
        <v>0.25221789883268486</v>
      </c>
      <c r="I107" s="2895">
        <f>0.6482/I101</f>
        <v>0.25221789883268486</v>
      </c>
      <c r="J107" s="2895">
        <f>0.4525/J101</f>
        <v>0.17607003891050585</v>
      </c>
      <c r="K107" s="2895">
        <f>0.4525/K101</f>
        <v>0.17607003891050585</v>
      </c>
      <c r="L107" s="2895">
        <f>0.4525/L101</f>
        <v>0.17607003891050585</v>
      </c>
      <c r="M107" s="2895">
        <f>0.4525/M101</f>
        <v>0.17607003891050585</v>
      </c>
      <c r="N107" s="2895">
        <f>0.4525/N101</f>
        <v>0.17607003891050585</v>
      </c>
    </row>
    <row r="108" spans="1:14">
      <c r="A108" s="3264"/>
      <c r="B108" s="3092" t="s">
        <v>2975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5"/>
      <c r="B109" s="3093"/>
      <c r="C109" s="2897">
        <f>(-0.163*(C108^2)-0.59*C108+7617)*(10^(-4))/C101</f>
        <v>0.29638132295719849</v>
      </c>
      <c r="D109" s="2897">
        <f>(-0.163*(D108^2)-0.59*D108+7617)*(10^(-4))/D101</f>
        <v>0.29638132295719849</v>
      </c>
      <c r="E109" s="2897">
        <f>(-0.161*(E108^2)-7.509*E108+6533)*(10^(-4))/E101</f>
        <v>0.25420233463035019</v>
      </c>
      <c r="F109" s="2897">
        <f>(-0.161*(F108^2)-7.509*F108+6533)*(10^(-4))/F101</f>
        <v>0.25420233463035019</v>
      </c>
      <c r="G109" s="2897">
        <f>(-0.161*(G108^2)-7.509*G108+6533)*(10^(-4))/G101</f>
        <v>0.25420233463035019</v>
      </c>
      <c r="H109" s="2897">
        <f>(-0.161*(H108^2)-7.509*H108+6533)*(10^(-4))/H101</f>
        <v>0.25420233463035019</v>
      </c>
      <c r="I109" s="2897">
        <f>(-0.161*(I108^2)-7.509*I108+6533)*(10^(-4))/I101</f>
        <v>0.25420233463035019</v>
      </c>
      <c r="J109" s="2897">
        <f>(-0.214*(J108^2)-21.991*J108+4665)*(10^(-4))/J101</f>
        <v>0.18151750972762648</v>
      </c>
      <c r="K109" s="2897">
        <f>(-0.214*(K108^2)-21.991*K108+4665)*(10^(-4))/K101</f>
        <v>0.18151750972762648</v>
      </c>
      <c r="L109" s="2897">
        <f>(-0.214*(L108^2)-21.991*L108+4665)*(10^(-4))/L101</f>
        <v>0.18151750972762648</v>
      </c>
      <c r="M109" s="2897">
        <f>(-0.214*(M108^2)-21.991*M108+4665)*(10^(-4))/M101</f>
        <v>0.18151750972762648</v>
      </c>
      <c r="N109" s="2897">
        <f>(-0.214*(N108^2)-21.991*N108+4665)*(10^(-4))/N101</f>
        <v>0.18151750972762648</v>
      </c>
    </row>
    <row r="110" spans="1:14">
      <c r="A110" s="3261" t="s">
        <v>2976</v>
      </c>
      <c r="B110" s="3261"/>
      <c r="C110" s="3261"/>
      <c r="D110" s="3261"/>
      <c r="E110" s="3261"/>
      <c r="F110" s="3261"/>
      <c r="G110" s="3261"/>
      <c r="H110" s="3261"/>
      <c r="I110" s="3261"/>
      <c r="J110" s="3261"/>
      <c r="K110" s="2900"/>
      <c r="L110" s="2900"/>
      <c r="M110" s="2900"/>
      <c r="N110" s="2900"/>
    </row>
    <row r="112" spans="1:14" ht="13.5" thickBot="1"/>
    <row r="113" spans="1:13" ht="25.5" thickBot="1">
      <c r="A113" s="900" t="s">
        <v>2977</v>
      </c>
      <c r="B113" s="1287">
        <f>G3</f>
        <v>2.57</v>
      </c>
      <c r="C113" s="901" t="s">
        <v>2978</v>
      </c>
      <c r="D113" s="902">
        <f>SUMPRODUCT((A115:A118=F113)*(B114:M114=H113)*B115:M118)</f>
        <v>0</v>
      </c>
      <c r="E113" s="2723" t="s">
        <v>2808</v>
      </c>
      <c r="F113" s="2902">
        <f>E2</f>
        <v>0</v>
      </c>
      <c r="G113" s="2723" t="s">
        <v>2809</v>
      </c>
      <c r="H113" s="2902">
        <f>G2</f>
        <v>0</v>
      </c>
      <c r="I113" s="2723"/>
      <c r="J113" s="2903"/>
      <c r="K113" s="2903"/>
      <c r="L113" s="2903"/>
      <c r="M113" s="2903"/>
    </row>
    <row r="114" spans="1:13">
      <c r="A114" s="905"/>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6" t="s">
        <v>2873</v>
      </c>
      <c r="B115" s="907">
        <f>ROUND(0.9335-0.0094*B113,4)</f>
        <v>0.9093</v>
      </c>
      <c r="C115" s="907">
        <f>B115</f>
        <v>0.9093</v>
      </c>
      <c r="D115" s="907">
        <f>ROUND(0.8331-0.0109*B113,4)</f>
        <v>0.80510000000000004</v>
      </c>
      <c r="E115" s="907">
        <f>D115</f>
        <v>0.80510000000000004</v>
      </c>
      <c r="F115" s="907">
        <f>E115</f>
        <v>0.80510000000000004</v>
      </c>
      <c r="G115" s="907">
        <f>F115</f>
        <v>0.80510000000000004</v>
      </c>
      <c r="H115" s="907">
        <f>G115</f>
        <v>0.80510000000000004</v>
      </c>
      <c r="I115" s="907">
        <f>ROUND(0.689-0.0155*B113,4)</f>
        <v>0.6492</v>
      </c>
      <c r="J115" s="907">
        <f t="shared" ref="J115:M118" si="33">I115</f>
        <v>0.6492</v>
      </c>
      <c r="K115" s="907">
        <f t="shared" si="33"/>
        <v>0.6492</v>
      </c>
      <c r="L115" s="907">
        <f t="shared" si="33"/>
        <v>0.6492</v>
      </c>
      <c r="M115" s="908">
        <f t="shared" si="33"/>
        <v>0.6492</v>
      </c>
    </row>
    <row r="116" spans="1:13">
      <c r="A116" s="906" t="s">
        <v>2874</v>
      </c>
      <c r="B116" s="907">
        <f>ROUND(0.949-0.012*B113,4)</f>
        <v>0.91820000000000002</v>
      </c>
      <c r="C116" s="907">
        <f>B116</f>
        <v>0.91820000000000002</v>
      </c>
      <c r="D116" s="907">
        <f>ROUND(0.8567-0.013*B113,4)</f>
        <v>0.82330000000000003</v>
      </c>
      <c r="E116" s="907">
        <f t="shared" ref="E116:H117" si="34">D116</f>
        <v>0.82330000000000003</v>
      </c>
      <c r="F116" s="907">
        <f t="shared" si="34"/>
        <v>0.82330000000000003</v>
      </c>
      <c r="G116" s="907">
        <f t="shared" si="34"/>
        <v>0.82330000000000003</v>
      </c>
      <c r="H116" s="907">
        <f t="shared" si="34"/>
        <v>0.82330000000000003</v>
      </c>
      <c r="I116" s="907">
        <f>ROUND(0.7694-0.014*B113,4)</f>
        <v>0.73340000000000005</v>
      </c>
      <c r="J116" s="907">
        <f t="shared" si="33"/>
        <v>0.73340000000000005</v>
      </c>
      <c r="K116" s="907">
        <f t="shared" si="33"/>
        <v>0.73340000000000005</v>
      </c>
      <c r="L116" s="907">
        <f t="shared" si="33"/>
        <v>0.73340000000000005</v>
      </c>
      <c r="M116" s="908">
        <f t="shared" si="33"/>
        <v>0.73340000000000005</v>
      </c>
    </row>
    <row r="117" spans="1:13">
      <c r="A117" s="906" t="s">
        <v>2875</v>
      </c>
      <c r="B117" s="907">
        <f>ROUND(0.8808-0.006*B113,4)</f>
        <v>0.86539999999999995</v>
      </c>
      <c r="C117" s="907">
        <f>B117</f>
        <v>0.86539999999999995</v>
      </c>
      <c r="D117" s="907">
        <f>ROUND(0.8748-0.008*B113,4)</f>
        <v>0.85419999999999996</v>
      </c>
      <c r="E117" s="907">
        <f t="shared" si="34"/>
        <v>0.85419999999999996</v>
      </c>
      <c r="F117" s="907">
        <f t="shared" si="34"/>
        <v>0.85419999999999996</v>
      </c>
      <c r="G117" s="907">
        <f t="shared" si="34"/>
        <v>0.85419999999999996</v>
      </c>
      <c r="H117" s="907">
        <f t="shared" si="34"/>
        <v>0.85419999999999996</v>
      </c>
      <c r="I117" s="907">
        <f>ROUND(0.7412-0.0095*B113,4)</f>
        <v>0.71679999999999999</v>
      </c>
      <c r="J117" s="907">
        <f t="shared" si="33"/>
        <v>0.71679999999999999</v>
      </c>
      <c r="K117" s="907">
        <f t="shared" si="33"/>
        <v>0.71679999999999999</v>
      </c>
      <c r="L117" s="907">
        <f t="shared" si="33"/>
        <v>0.71679999999999999</v>
      </c>
      <c r="M117" s="908">
        <f t="shared" si="33"/>
        <v>0.71679999999999999</v>
      </c>
    </row>
    <row r="118" spans="1:13" ht="13.5" thickBot="1">
      <c r="A118" s="711" t="s">
        <v>2876</v>
      </c>
      <c r="B118" s="909">
        <f>ROUND(0.7275-0.01*B113,4)</f>
        <v>0.70179999999999998</v>
      </c>
      <c r="C118" s="909">
        <f>B118</f>
        <v>0.70179999999999998</v>
      </c>
      <c r="D118" s="909">
        <f>ROUND(0.7043-0.012*B113,4)</f>
        <v>0.67349999999999999</v>
      </c>
      <c r="E118" s="909">
        <f>D118</f>
        <v>0.67349999999999999</v>
      </c>
      <c r="F118" s="909">
        <f>E118</f>
        <v>0.67349999999999999</v>
      </c>
      <c r="G118" s="909">
        <f>ROUND(0.6299-0.0122*B113,4)</f>
        <v>0.59850000000000003</v>
      </c>
      <c r="H118" s="909">
        <f>G118</f>
        <v>0.59850000000000003</v>
      </c>
      <c r="I118" s="909">
        <f>ROUND(0.5667-0.0136*B113,4)</f>
        <v>0.53169999999999995</v>
      </c>
      <c r="J118" s="909">
        <f t="shared" si="33"/>
        <v>0.53169999999999995</v>
      </c>
      <c r="K118" s="909">
        <f t="shared" si="33"/>
        <v>0.53169999999999995</v>
      </c>
      <c r="L118" s="909">
        <f t="shared" si="33"/>
        <v>0.53169999999999995</v>
      </c>
      <c r="M118" s="910">
        <f t="shared" si="33"/>
        <v>0.53169999999999995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8" t="s">
        <v>183</v>
      </c>
      <c r="B18" s="879" t="s">
        <v>560</v>
      </c>
      <c r="C18" s="880" t="s">
        <v>561</v>
      </c>
      <c r="D18" s="881"/>
      <c r="E18" s="879">
        <v>1</v>
      </c>
      <c r="F18" s="882" t="s">
        <v>562</v>
      </c>
      <c r="G18" s="883"/>
      <c r="H18" s="875"/>
      <c r="I18" s="875"/>
    </row>
    <row r="19" spans="1:9" s="884" customFormat="1" ht="19.5" customHeight="1">
      <c r="A19" s="3278"/>
      <c r="B19" s="3278" t="s">
        <v>563</v>
      </c>
      <c r="C19" s="880" t="s">
        <v>564</v>
      </c>
      <c r="D19" s="881"/>
      <c r="E19" s="879">
        <v>0.9</v>
      </c>
      <c r="F19" s="882" t="s">
        <v>565</v>
      </c>
      <c r="G19" s="883"/>
      <c r="H19" s="875"/>
      <c r="I19" s="875"/>
    </row>
    <row r="20" spans="1:9" s="884" customFormat="1" ht="19.5" customHeight="1">
      <c r="A20" s="3278"/>
      <c r="B20" s="3278"/>
      <c r="C20" s="880" t="s">
        <v>566</v>
      </c>
      <c r="D20" s="881"/>
      <c r="E20" s="879">
        <v>1.1000000000000001</v>
      </c>
      <c r="F20" s="882" t="s">
        <v>567</v>
      </c>
      <c r="G20" s="883"/>
      <c r="H20" s="875"/>
      <c r="I20" s="875"/>
    </row>
    <row r="21" spans="1:9" s="884" customFormat="1" ht="19.5" customHeight="1">
      <c r="A21" s="3278"/>
      <c r="B21" s="3278"/>
      <c r="C21" s="880" t="s">
        <v>568</v>
      </c>
      <c r="D21" s="881"/>
      <c r="E21" s="879">
        <v>0.8</v>
      </c>
      <c r="F21" s="882" t="s">
        <v>569</v>
      </c>
      <c r="G21" s="883"/>
      <c r="H21" s="875"/>
      <c r="I21" s="875"/>
    </row>
    <row r="22" spans="1:9" s="884" customFormat="1" ht="19.5" customHeight="1">
      <c r="A22" s="3278"/>
      <c r="B22" s="3278"/>
      <c r="C22" s="880" t="s">
        <v>570</v>
      </c>
      <c r="D22" s="881"/>
      <c r="E22" s="879">
        <v>0.5</v>
      </c>
      <c r="F22" s="882"/>
      <c r="G22" s="883"/>
      <c r="H22" s="875"/>
      <c r="I22" s="875"/>
    </row>
    <row r="23" spans="1:9" s="884" customFormat="1" ht="19.5" customHeight="1">
      <c r="A23" s="3278" t="s">
        <v>184</v>
      </c>
      <c r="B23" s="879" t="s">
        <v>560</v>
      </c>
      <c r="C23" s="880" t="s">
        <v>571</v>
      </c>
      <c r="D23" s="881"/>
      <c r="E23" s="879">
        <v>1</v>
      </c>
      <c r="F23" s="882" t="s">
        <v>572</v>
      </c>
      <c r="G23" s="883"/>
      <c r="H23" s="875"/>
      <c r="I23" s="875"/>
    </row>
    <row r="24" spans="1:9" s="884" customFormat="1" ht="19.5" customHeight="1">
      <c r="A24" s="3278"/>
      <c r="B24" s="3278" t="s">
        <v>563</v>
      </c>
      <c r="C24" s="880" t="s">
        <v>573</v>
      </c>
      <c r="D24" s="881"/>
      <c r="E24" s="879">
        <v>0.5</v>
      </c>
      <c r="F24" s="882"/>
      <c r="G24" s="883"/>
      <c r="H24" s="875"/>
      <c r="I24" s="875"/>
    </row>
    <row r="25" spans="1:9" s="884" customFormat="1" ht="19.5" customHeight="1">
      <c r="A25" s="3278"/>
      <c r="B25" s="3278"/>
      <c r="C25" s="880" t="s">
        <v>574</v>
      </c>
      <c r="D25" s="881"/>
      <c r="E25" s="879">
        <v>1.1000000000000001</v>
      </c>
      <c r="F25" s="882"/>
      <c r="G25" s="883"/>
      <c r="H25" s="875"/>
      <c r="I25" s="875"/>
    </row>
    <row r="26" spans="1:9" s="884" customFormat="1" ht="19.5" customHeight="1">
      <c r="A26" s="3278"/>
      <c r="B26" s="3278"/>
      <c r="C26" s="880" t="s">
        <v>575</v>
      </c>
      <c r="D26" s="881"/>
      <c r="E26" s="879">
        <v>1.1000000000000001</v>
      </c>
      <c r="F26" s="882"/>
      <c r="G26" s="883"/>
      <c r="H26" s="875"/>
      <c r="I26" s="875"/>
    </row>
    <row r="27" spans="1:9" s="884" customFormat="1" ht="19.5" customHeight="1">
      <c r="A27" s="3278"/>
      <c r="B27" s="3278"/>
      <c r="C27" s="880" t="s">
        <v>576</v>
      </c>
      <c r="D27" s="881"/>
      <c r="E27" s="879">
        <v>0.9</v>
      </c>
      <c r="F27" s="882" t="s">
        <v>577</v>
      </c>
      <c r="G27" s="883"/>
      <c r="H27" s="875"/>
      <c r="I27" s="875"/>
    </row>
    <row r="28" spans="1:9" s="884" customFormat="1" ht="19.5" customHeight="1">
      <c r="A28" s="3278"/>
      <c r="B28" s="3278"/>
      <c r="C28" s="880" t="s">
        <v>578</v>
      </c>
      <c r="D28" s="881"/>
      <c r="E28" s="879">
        <v>0.9</v>
      </c>
      <c r="F28" s="882" t="s">
        <v>579</v>
      </c>
      <c r="G28" s="883"/>
      <c r="H28" s="875"/>
      <c r="I28" s="875"/>
    </row>
    <row r="29" spans="1:9" s="884" customFormat="1" ht="19.5" customHeight="1">
      <c r="A29" s="3278"/>
      <c r="B29" s="3278"/>
      <c r="C29" s="880" t="s">
        <v>580</v>
      </c>
      <c r="D29" s="881"/>
      <c r="E29" s="879">
        <v>0.9</v>
      </c>
      <c r="F29" s="882" t="s">
        <v>581</v>
      </c>
      <c r="G29" s="883"/>
      <c r="H29" s="875"/>
      <c r="I29" s="875"/>
    </row>
    <row r="30" spans="1:9" s="884" customFormat="1" ht="19.5" customHeight="1">
      <c r="A30" s="3278"/>
      <c r="B30" s="3278"/>
      <c r="C30" s="880" t="s">
        <v>582</v>
      </c>
      <c r="D30" s="881"/>
      <c r="E30" s="879">
        <v>0.9</v>
      </c>
      <c r="F30" s="882" t="s">
        <v>583</v>
      </c>
      <c r="G30" s="883"/>
      <c r="H30" s="875"/>
      <c r="I30" s="875"/>
    </row>
    <row r="31" spans="1:9" s="884" customFormat="1" ht="19.5" customHeight="1">
      <c r="A31" s="3278"/>
      <c r="B31" s="3278"/>
      <c r="C31" s="880" t="s">
        <v>584</v>
      </c>
      <c r="D31" s="881"/>
      <c r="E31" s="879">
        <v>0.8</v>
      </c>
      <c r="F31" s="882" t="s">
        <v>585</v>
      </c>
      <c r="G31" s="883"/>
      <c r="H31" s="875"/>
      <c r="I31" s="875"/>
    </row>
    <row r="32" spans="1:9" s="884" customFormat="1" ht="19.5" customHeight="1">
      <c r="A32" s="3278"/>
      <c r="B32" s="3278"/>
      <c r="C32" s="880" t="s">
        <v>586</v>
      </c>
      <c r="D32" s="881"/>
      <c r="E32" s="879">
        <v>0.8</v>
      </c>
      <c r="F32" s="882" t="s">
        <v>587</v>
      </c>
      <c r="G32" s="883"/>
      <c r="H32" s="875"/>
      <c r="I32" s="875"/>
    </row>
    <row r="33" spans="1:9" s="884" customFormat="1" ht="19.5" customHeight="1">
      <c r="A33" s="3278" t="s">
        <v>185</v>
      </c>
      <c r="B33" s="879" t="s">
        <v>560</v>
      </c>
      <c r="C33" s="880" t="s">
        <v>588</v>
      </c>
      <c r="D33" s="881"/>
      <c r="E33" s="879">
        <v>1</v>
      </c>
      <c r="F33" s="882" t="s">
        <v>589</v>
      </c>
      <c r="G33" s="883"/>
      <c r="H33" s="875"/>
      <c r="I33" s="875"/>
    </row>
    <row r="34" spans="1:9" s="884" customFormat="1" ht="19.5" customHeight="1">
      <c r="A34" s="3278"/>
      <c r="B34" s="879" t="s">
        <v>563</v>
      </c>
      <c r="C34" s="880" t="s">
        <v>590</v>
      </c>
      <c r="D34" s="881"/>
      <c r="E34" s="879">
        <v>1.5</v>
      </c>
      <c r="F34" s="882" t="s">
        <v>591</v>
      </c>
      <c r="G34" s="883"/>
      <c r="H34" s="875"/>
      <c r="I34" s="875"/>
    </row>
    <row r="35" spans="1:9" s="884" customFormat="1" ht="19.5" customHeight="1">
      <c r="A35" s="3278" t="s">
        <v>186</v>
      </c>
      <c r="B35" s="879" t="s">
        <v>560</v>
      </c>
      <c r="C35" s="880" t="s">
        <v>592</v>
      </c>
      <c r="D35" s="881"/>
      <c r="E35" s="879">
        <v>1</v>
      </c>
      <c r="F35" s="882" t="s">
        <v>593</v>
      </c>
      <c r="G35" s="883"/>
      <c r="H35" s="875"/>
      <c r="I35" s="875"/>
    </row>
    <row r="36" spans="1:9" s="884" customFormat="1" ht="19.5" customHeight="1">
      <c r="A36" s="3278"/>
      <c r="B36" s="3278" t="s">
        <v>563</v>
      </c>
      <c r="C36" s="880" t="s">
        <v>594</v>
      </c>
      <c r="D36" s="881"/>
      <c r="E36" s="879">
        <v>1</v>
      </c>
      <c r="F36" s="882" t="s">
        <v>595</v>
      </c>
      <c r="G36" s="883"/>
      <c r="H36" s="875"/>
      <c r="I36" s="875"/>
    </row>
    <row r="37" spans="1:9" s="884" customFormat="1" ht="19.5" customHeight="1">
      <c r="A37" s="3278"/>
      <c r="B37" s="3278"/>
      <c r="C37" s="880" t="s">
        <v>596</v>
      </c>
      <c r="D37" s="881"/>
      <c r="E37" s="879">
        <v>1.5</v>
      </c>
      <c r="F37" s="882" t="s">
        <v>597</v>
      </c>
      <c r="G37" s="883"/>
      <c r="H37" s="875"/>
      <c r="I37" s="875"/>
    </row>
    <row r="38" spans="1:9" s="884" customFormat="1" ht="19.5" customHeight="1">
      <c r="A38" s="3278"/>
      <c r="B38" s="3278"/>
      <c r="C38" s="880" t="s">
        <v>598</v>
      </c>
      <c r="D38" s="881"/>
      <c r="E38" s="879">
        <v>1</v>
      </c>
      <c r="F38" s="882" t="s">
        <v>599</v>
      </c>
      <c r="G38" s="883"/>
      <c r="H38" s="875"/>
      <c r="I38" s="875"/>
    </row>
    <row r="39" spans="1:9" s="884" customFormat="1" ht="19.5" customHeight="1">
      <c r="A39" s="3278"/>
      <c r="B39" s="327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8" t="s">
        <v>614</v>
      </c>
      <c r="C61" s="815" t="s">
        <v>615</v>
      </c>
      <c r="D61" s="815" t="s">
        <v>616</v>
      </c>
      <c r="E61" s="892">
        <v>0.5</v>
      </c>
      <c r="F61" s="879">
        <v>80</v>
      </c>
    </row>
    <row r="62" spans="1:8" s="875" customFormat="1" ht="24">
      <c r="A62" s="879">
        <v>2</v>
      </c>
      <c r="B62" s="3278"/>
      <c r="C62" s="815" t="s">
        <v>617</v>
      </c>
      <c r="D62" s="815" t="s">
        <v>618</v>
      </c>
      <c r="E62" s="892">
        <v>0.5</v>
      </c>
      <c r="F62" s="879">
        <v>80</v>
      </c>
    </row>
    <row r="63" spans="1:8" s="875" customFormat="1" ht="36">
      <c r="A63" s="879">
        <v>3</v>
      </c>
      <c r="B63" s="3278"/>
      <c r="C63" s="815" t="s">
        <v>619</v>
      </c>
      <c r="D63" s="815" t="s">
        <v>620</v>
      </c>
      <c r="E63" s="892">
        <v>0.5</v>
      </c>
      <c r="F63" s="879">
        <v>80</v>
      </c>
    </row>
    <row r="64" spans="1:8" s="875" customFormat="1" ht="36">
      <c r="A64" s="879">
        <v>4</v>
      </c>
      <c r="B64" s="3278"/>
      <c r="C64" s="815" t="s">
        <v>621</v>
      </c>
      <c r="D64" s="815" t="s">
        <v>622</v>
      </c>
      <c r="E64" s="892">
        <v>0.4</v>
      </c>
      <c r="F64" s="879">
        <v>60</v>
      </c>
    </row>
    <row r="65" spans="1:6" s="875" customFormat="1" ht="36">
      <c r="A65" s="879">
        <v>5</v>
      </c>
      <c r="B65" s="3278"/>
      <c r="C65" s="815" t="s">
        <v>623</v>
      </c>
      <c r="D65" s="815" t="s">
        <v>624</v>
      </c>
      <c r="E65" s="892">
        <v>0.2</v>
      </c>
      <c r="F65" s="879">
        <v>30</v>
      </c>
    </row>
    <row r="66" spans="1:6" s="875" customFormat="1" ht="36">
      <c r="A66" s="879">
        <v>6</v>
      </c>
      <c r="B66" s="3278"/>
      <c r="C66" s="815" t="s">
        <v>625</v>
      </c>
      <c r="D66" s="815" t="s">
        <v>626</v>
      </c>
      <c r="E66" s="892">
        <v>0.3</v>
      </c>
      <c r="F66" s="879">
        <v>50</v>
      </c>
    </row>
    <row r="67" spans="1:6" s="875" customFormat="1" ht="36">
      <c r="A67" s="879">
        <v>7</v>
      </c>
      <c r="B67" s="3278"/>
      <c r="C67" s="815" t="s">
        <v>627</v>
      </c>
      <c r="D67" s="815" t="s">
        <v>628</v>
      </c>
      <c r="E67" s="892">
        <v>0.2</v>
      </c>
      <c r="F67" s="879">
        <v>30</v>
      </c>
    </row>
    <row r="68" spans="1:6" s="875" customFormat="1" ht="36">
      <c r="A68" s="879">
        <v>8</v>
      </c>
      <c r="B68" s="3278"/>
      <c r="C68" s="815" t="s">
        <v>629</v>
      </c>
      <c r="D68" s="815" t="s">
        <v>630</v>
      </c>
      <c r="E68" s="892">
        <v>0.2</v>
      </c>
      <c r="F68" s="879">
        <v>30</v>
      </c>
    </row>
    <row r="69" spans="1:6" s="875" customFormat="1" ht="36">
      <c r="A69" s="879">
        <v>9</v>
      </c>
      <c r="B69" s="3278"/>
      <c r="C69" s="815" t="s">
        <v>631</v>
      </c>
      <c r="D69" s="815" t="s">
        <v>632</v>
      </c>
      <c r="E69" s="892">
        <v>0.2</v>
      </c>
      <c r="F69" s="879">
        <v>30</v>
      </c>
    </row>
    <row r="70" spans="1:6" s="875" customFormat="1" ht="48">
      <c r="A70" s="879">
        <v>10</v>
      </c>
      <c r="B70" s="3278"/>
      <c r="C70" s="815" t="s">
        <v>633</v>
      </c>
      <c r="D70" s="815" t="s">
        <v>634</v>
      </c>
      <c r="E70" s="892">
        <v>0.2</v>
      </c>
      <c r="F70" s="879">
        <v>30</v>
      </c>
    </row>
    <row r="71" spans="1:6" s="875" customFormat="1" ht="48">
      <c r="A71" s="879">
        <v>11</v>
      </c>
      <c r="B71" s="3278"/>
      <c r="C71" s="815" t="s">
        <v>635</v>
      </c>
      <c r="D71" s="815" t="s">
        <v>636</v>
      </c>
      <c r="E71" s="892">
        <v>0.2</v>
      </c>
      <c r="F71" s="879">
        <v>30</v>
      </c>
    </row>
    <row r="72" spans="1:6" s="875" customFormat="1" ht="36">
      <c r="A72" s="879">
        <v>12</v>
      </c>
      <c r="B72" s="3278"/>
      <c r="C72" s="815" t="s">
        <v>637</v>
      </c>
      <c r="D72" s="815" t="s">
        <v>638</v>
      </c>
      <c r="E72" s="892">
        <v>0.5</v>
      </c>
      <c r="F72" s="879">
        <v>80</v>
      </c>
    </row>
    <row r="73" spans="1:6" s="875" customFormat="1" ht="24">
      <c r="A73" s="879">
        <v>13</v>
      </c>
      <c r="B73" s="3278"/>
      <c r="C73" s="815" t="s">
        <v>639</v>
      </c>
      <c r="D73" s="815" t="s">
        <v>640</v>
      </c>
      <c r="E73" s="892">
        <v>0.4</v>
      </c>
      <c r="F73" s="879">
        <v>60</v>
      </c>
    </row>
    <row r="74" spans="1:6" s="875" customFormat="1" ht="24">
      <c r="A74" s="879">
        <v>14</v>
      </c>
      <c r="B74" s="3278"/>
      <c r="C74" s="815" t="s">
        <v>641</v>
      </c>
      <c r="D74" s="815" t="s">
        <v>642</v>
      </c>
      <c r="E74" s="892">
        <v>0.2</v>
      </c>
      <c r="F74" s="879">
        <v>30</v>
      </c>
    </row>
    <row r="75" spans="1:6" s="875" customFormat="1" ht="24">
      <c r="A75" s="879">
        <v>15</v>
      </c>
      <c r="B75" s="3278"/>
      <c r="C75" s="815" t="s">
        <v>643</v>
      </c>
      <c r="D75" s="815" t="s">
        <v>644</v>
      </c>
      <c r="E75" s="892">
        <v>0.2</v>
      </c>
      <c r="F75" s="879">
        <v>30</v>
      </c>
    </row>
    <row r="76" spans="1:6" s="875" customFormat="1" ht="24">
      <c r="A76" s="879">
        <v>16</v>
      </c>
      <c r="B76" s="3278" t="s">
        <v>645</v>
      </c>
      <c r="C76" s="815" t="s">
        <v>646</v>
      </c>
      <c r="D76" s="815" t="s">
        <v>647</v>
      </c>
      <c r="E76" s="892">
        <v>0.5</v>
      </c>
      <c r="F76" s="879">
        <v>80</v>
      </c>
    </row>
    <row r="77" spans="1:6" s="875" customFormat="1" ht="24">
      <c r="A77" s="879">
        <v>17</v>
      </c>
      <c r="B77" s="3278"/>
      <c r="C77" s="815" t="s">
        <v>648</v>
      </c>
      <c r="D77" s="815" t="s">
        <v>649</v>
      </c>
      <c r="E77" s="892">
        <v>0.5</v>
      </c>
      <c r="F77" s="879">
        <v>80</v>
      </c>
    </row>
    <row r="78" spans="1:6" s="875" customFormat="1" ht="24">
      <c r="A78" s="879">
        <v>18</v>
      </c>
      <c r="B78" s="3278"/>
      <c r="C78" s="815" t="s">
        <v>650</v>
      </c>
      <c r="D78" s="815" t="s">
        <v>651</v>
      </c>
      <c r="E78" s="892">
        <v>0.2</v>
      </c>
      <c r="F78" s="879">
        <v>30</v>
      </c>
    </row>
    <row r="79" spans="1:6" s="875" customFormat="1" ht="24">
      <c r="A79" s="879">
        <v>19</v>
      </c>
      <c r="B79" s="3278"/>
      <c r="C79" s="815" t="s">
        <v>652</v>
      </c>
      <c r="D79" s="815" t="s">
        <v>653</v>
      </c>
      <c r="E79" s="892">
        <v>0.5</v>
      </c>
      <c r="F79" s="879">
        <v>80</v>
      </c>
    </row>
    <row r="80" spans="1:6" s="875" customFormat="1" ht="36">
      <c r="A80" s="879">
        <v>20</v>
      </c>
      <c r="B80" s="3278"/>
      <c r="C80" s="815" t="s">
        <v>654</v>
      </c>
      <c r="D80" s="815" t="s">
        <v>655</v>
      </c>
      <c r="E80" s="892">
        <v>0.2</v>
      </c>
      <c r="F80" s="879">
        <v>30</v>
      </c>
    </row>
    <row r="81" spans="1:6" s="875" customFormat="1" ht="36">
      <c r="A81" s="879">
        <v>21</v>
      </c>
      <c r="B81" s="3278"/>
      <c r="C81" s="815" t="s">
        <v>656</v>
      </c>
      <c r="D81" s="815" t="s">
        <v>657</v>
      </c>
      <c r="E81" s="892">
        <v>0.2</v>
      </c>
      <c r="F81" s="879">
        <v>30</v>
      </c>
    </row>
    <row r="82" spans="1:6" s="875" customFormat="1" ht="48">
      <c r="A82" s="879">
        <v>22</v>
      </c>
      <c r="B82" s="3278"/>
      <c r="C82" s="815" t="s">
        <v>658</v>
      </c>
      <c r="D82" s="815" t="s">
        <v>659</v>
      </c>
      <c r="E82" s="892">
        <v>0.2</v>
      </c>
      <c r="F82" s="879">
        <v>30</v>
      </c>
    </row>
    <row r="83" spans="1:6" s="875" customFormat="1" ht="48">
      <c r="A83" s="879">
        <v>23</v>
      </c>
      <c r="B83" s="3278"/>
      <c r="C83" s="815" t="s">
        <v>660</v>
      </c>
      <c r="D83" s="815" t="s">
        <v>661</v>
      </c>
      <c r="E83" s="892">
        <v>0.2</v>
      </c>
      <c r="F83" s="879">
        <v>30</v>
      </c>
    </row>
    <row r="84" spans="1:6" s="875" customFormat="1" ht="36">
      <c r="A84" s="879">
        <v>24</v>
      </c>
      <c r="B84" s="3278"/>
      <c r="C84" s="815" t="s">
        <v>662</v>
      </c>
      <c r="D84" s="815" t="s">
        <v>663</v>
      </c>
      <c r="E84" s="892">
        <v>0.2</v>
      </c>
      <c r="F84" s="879">
        <v>30</v>
      </c>
    </row>
    <row r="85" spans="1:6" s="875" customFormat="1" ht="36">
      <c r="A85" s="879">
        <v>25</v>
      </c>
      <c r="B85" s="3278"/>
      <c r="C85" s="815" t="s">
        <v>664</v>
      </c>
      <c r="D85" s="815" t="s">
        <v>665</v>
      </c>
      <c r="E85" s="892">
        <v>0.5</v>
      </c>
      <c r="F85" s="879">
        <v>80</v>
      </c>
    </row>
    <row r="86" spans="1:6" s="875" customFormat="1" ht="36">
      <c r="A86" s="879">
        <v>26</v>
      </c>
      <c r="B86" s="3278"/>
      <c r="C86" s="815" t="s">
        <v>666</v>
      </c>
      <c r="D86" s="815" t="s">
        <v>667</v>
      </c>
      <c r="E86" s="892">
        <v>0.2</v>
      </c>
      <c r="F86" s="879">
        <v>30</v>
      </c>
    </row>
    <row r="87" spans="1:6" s="875" customFormat="1" ht="36">
      <c r="A87" s="879">
        <v>27</v>
      </c>
      <c r="B87" s="3278"/>
      <c r="C87" s="815" t="s">
        <v>668</v>
      </c>
      <c r="D87" s="815" t="s">
        <v>669</v>
      </c>
      <c r="E87" s="892">
        <v>0.2</v>
      </c>
      <c r="F87" s="879">
        <v>30</v>
      </c>
    </row>
    <row r="88" spans="1:6" s="875" customFormat="1" ht="36">
      <c r="A88" s="879">
        <v>28</v>
      </c>
      <c r="B88" s="3278"/>
      <c r="C88" s="815" t="s">
        <v>670</v>
      </c>
      <c r="D88" s="815" t="s">
        <v>671</v>
      </c>
      <c r="E88" s="892">
        <v>0.2</v>
      </c>
      <c r="F88" s="879">
        <v>30</v>
      </c>
    </row>
    <row r="89" spans="1:6" s="875" customFormat="1" ht="24">
      <c r="A89" s="879">
        <v>29</v>
      </c>
      <c r="B89" s="3278"/>
      <c r="C89" s="815" t="s">
        <v>672</v>
      </c>
      <c r="D89" s="815" t="s">
        <v>673</v>
      </c>
      <c r="E89" s="892">
        <v>0.2</v>
      </c>
      <c r="F89" s="879">
        <v>30</v>
      </c>
    </row>
    <row r="90" spans="1:6" s="875" customFormat="1" ht="24">
      <c r="A90" s="879">
        <v>30</v>
      </c>
      <c r="B90" s="3278"/>
      <c r="C90" s="815" t="s">
        <v>674</v>
      </c>
      <c r="D90" s="815" t="s">
        <v>675</v>
      </c>
      <c r="E90" s="892">
        <v>0.2</v>
      </c>
      <c r="F90" s="879">
        <v>30</v>
      </c>
    </row>
    <row r="91" spans="1:6" s="875" customFormat="1" ht="36">
      <c r="A91" s="879">
        <v>31</v>
      </c>
      <c r="B91" s="3278"/>
      <c r="C91" s="815" t="s">
        <v>676</v>
      </c>
      <c r="D91" s="815" t="s">
        <v>677</v>
      </c>
      <c r="E91" s="892">
        <v>0.2</v>
      </c>
      <c r="F91" s="879">
        <v>30</v>
      </c>
    </row>
    <row r="92" spans="1:6" s="875" customFormat="1" ht="24">
      <c r="A92" s="879">
        <v>32</v>
      </c>
      <c r="B92" s="3278" t="s">
        <v>678</v>
      </c>
      <c r="C92" s="879" t="s">
        <v>679</v>
      </c>
      <c r="D92" s="815" t="s">
        <v>680</v>
      </c>
      <c r="E92" s="892">
        <v>0.2</v>
      </c>
      <c r="F92" s="879">
        <v>30</v>
      </c>
    </row>
    <row r="93" spans="1:6" s="875" customFormat="1" ht="36">
      <c r="A93" s="879">
        <v>33</v>
      </c>
      <c r="B93" s="3278"/>
      <c r="C93" s="879" t="s">
        <v>681</v>
      </c>
      <c r="D93" s="815" t="s">
        <v>682</v>
      </c>
      <c r="E93" s="892">
        <v>0.2</v>
      </c>
      <c r="F93" s="879">
        <v>30</v>
      </c>
    </row>
    <row r="94" spans="1:6" s="875" customFormat="1" ht="48">
      <c r="A94" s="879">
        <v>34</v>
      </c>
      <c r="B94" s="3278"/>
      <c r="C94" s="879" t="s">
        <v>683</v>
      </c>
      <c r="D94" s="815" t="s">
        <v>684</v>
      </c>
      <c r="E94" s="892">
        <v>0.2</v>
      </c>
      <c r="F94" s="879">
        <v>30</v>
      </c>
    </row>
    <row r="95" spans="1:6" s="875" customFormat="1" ht="36">
      <c r="A95" s="879">
        <v>35</v>
      </c>
      <c r="B95" s="3278"/>
      <c r="C95" s="879" t="s">
        <v>685</v>
      </c>
      <c r="D95" s="815" t="s">
        <v>686</v>
      </c>
      <c r="E95" s="892">
        <v>0.2</v>
      </c>
      <c r="F95" s="879">
        <v>30</v>
      </c>
    </row>
    <row r="96" spans="1:6" s="875" customFormat="1" ht="48">
      <c r="A96" s="879">
        <v>36</v>
      </c>
      <c r="B96" s="3278"/>
      <c r="C96" s="815" t="s">
        <v>687</v>
      </c>
      <c r="D96" s="815" t="s">
        <v>688</v>
      </c>
      <c r="E96" s="892">
        <v>0.2</v>
      </c>
      <c r="F96" s="879">
        <v>30</v>
      </c>
    </row>
    <row r="97" spans="1:6" s="875" customFormat="1" ht="36">
      <c r="A97" s="879">
        <v>37</v>
      </c>
      <c r="B97" s="3278"/>
      <c r="C97" s="879" t="s">
        <v>689</v>
      </c>
      <c r="D97" s="815" t="s">
        <v>690</v>
      </c>
      <c r="E97" s="892">
        <v>0.2</v>
      </c>
      <c r="F97" s="879">
        <v>30</v>
      </c>
    </row>
    <row r="98" spans="1:6" s="875" customFormat="1" ht="36">
      <c r="A98" s="879">
        <v>38</v>
      </c>
      <c r="B98" s="3278"/>
      <c r="C98" s="879" t="s">
        <v>691</v>
      </c>
      <c r="D98" s="815" t="s">
        <v>692</v>
      </c>
      <c r="E98" s="892">
        <v>0.2</v>
      </c>
      <c r="F98" s="879">
        <v>30</v>
      </c>
    </row>
    <row r="99" spans="1:6" s="875" customFormat="1" ht="36">
      <c r="A99" s="879">
        <v>39</v>
      </c>
      <c r="B99" s="3278" t="s">
        <v>693</v>
      </c>
      <c r="C99" s="879" t="s">
        <v>694</v>
      </c>
      <c r="D99" s="815" t="s">
        <v>695</v>
      </c>
      <c r="E99" s="892">
        <v>0.3</v>
      </c>
      <c r="F99" s="879">
        <v>50</v>
      </c>
    </row>
    <row r="100" spans="1:6" s="875" customFormat="1" ht="24">
      <c r="A100" s="879">
        <v>40</v>
      </c>
      <c r="B100" s="3278"/>
      <c r="C100" s="879" t="s">
        <v>696</v>
      </c>
      <c r="D100" s="815" t="s">
        <v>697</v>
      </c>
      <c r="E100" s="892">
        <v>0.2</v>
      </c>
      <c r="F100" s="879">
        <v>30</v>
      </c>
    </row>
    <row r="101" spans="1:6" s="875" customFormat="1" ht="36">
      <c r="A101" s="879">
        <v>41</v>
      </c>
      <c r="B101" s="327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8" t="s">
        <v>708</v>
      </c>
      <c r="C105" s="879" t="s">
        <v>709</v>
      </c>
      <c r="D105" s="815" t="s">
        <v>710</v>
      </c>
      <c r="E105" s="892">
        <v>0.2</v>
      </c>
      <c r="F105" s="879">
        <v>30</v>
      </c>
    </row>
    <row r="106" spans="1:6" s="875" customFormat="1" ht="36">
      <c r="A106" s="879">
        <v>46</v>
      </c>
      <c r="B106" s="3278"/>
      <c r="C106" s="879" t="s">
        <v>711</v>
      </c>
      <c r="D106" s="815" t="s">
        <v>712</v>
      </c>
      <c r="E106" s="892">
        <v>0.2</v>
      </c>
      <c r="F106" s="879">
        <v>30</v>
      </c>
    </row>
    <row r="107" spans="1:6" s="875" customFormat="1" ht="36">
      <c r="A107" s="879">
        <v>47</v>
      </c>
      <c r="B107" s="3278" t="s">
        <v>713</v>
      </c>
      <c r="C107" s="879" t="s">
        <v>714</v>
      </c>
      <c r="D107" s="815" t="s">
        <v>715</v>
      </c>
      <c r="E107" s="892">
        <v>0.3</v>
      </c>
      <c r="F107" s="879">
        <v>50</v>
      </c>
    </row>
    <row r="108" spans="1:6" s="875" customFormat="1" ht="36">
      <c r="A108" s="879">
        <v>48</v>
      </c>
      <c r="B108" s="327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8" t="s">
        <v>724</v>
      </c>
      <c r="C111" s="879" t="s">
        <v>725</v>
      </c>
      <c r="D111" s="815" t="s">
        <v>726</v>
      </c>
      <c r="E111" s="892">
        <v>0.2</v>
      </c>
      <c r="F111" s="879">
        <v>30</v>
      </c>
    </row>
    <row r="112" spans="1:6" s="875" customFormat="1" ht="24">
      <c r="A112" s="879">
        <v>52</v>
      </c>
      <c r="B112" s="3278"/>
      <c r="C112" s="879" t="s">
        <v>727</v>
      </c>
      <c r="D112" s="815" t="s">
        <v>728</v>
      </c>
      <c r="E112" s="892">
        <v>0.2</v>
      </c>
      <c r="F112" s="879">
        <v>30</v>
      </c>
    </row>
    <row r="113" spans="1:6" s="875" customFormat="1" ht="24">
      <c r="A113" s="879">
        <v>53</v>
      </c>
      <c r="B113" s="327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8" t="s">
        <v>737</v>
      </c>
      <c r="C116" s="879" t="s">
        <v>738</v>
      </c>
      <c r="D116" s="815" t="s">
        <v>739</v>
      </c>
      <c r="E116" s="892">
        <v>0.2</v>
      </c>
      <c r="F116" s="879">
        <v>30</v>
      </c>
    </row>
    <row r="117" spans="1:6" ht="36">
      <c r="A117" s="879">
        <v>57</v>
      </c>
      <c r="B117" s="327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2999</v>
      </c>
    </row>
    <row r="2" spans="1:5" ht="15.75">
      <c r="A2" s="2909" t="s">
        <v>2991</v>
      </c>
      <c r="B2" s="2910" t="e">
        <f ca="1">SUMIF(B6:B13,"&lt;&gt;#ref!",B6:B13)</f>
        <v>#DIV/0!</v>
      </c>
      <c r="C2" s="2909" t="s">
        <v>2992</v>
      </c>
      <c r="D2" s="2909" t="s">
        <v>2993</v>
      </c>
      <c r="E2" s="2910">
        <f ca="1">SUMIF(E6:E13,"&lt;&gt;#ref!",E6:E13)</f>
        <v>0</v>
      </c>
    </row>
    <row r="3" spans="1:5" ht="15.75">
      <c r="A3" s="2909" t="s">
        <v>2994</v>
      </c>
      <c r="B3" s="2910" t="e">
        <f ca="1">ROUND(B2*10000/E2,0)</f>
        <v>#DIV/0!</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t="e">
        <f ca="1">SUMIF(INDIRECT("'"&amp;A6&amp;"'"&amp;"!A:A"),"总价",INDIRECT("'"&amp;A6&amp;"'"&amp;"!B:B"))</f>
        <v>#DIV/0!</v>
      </c>
      <c r="C6" s="2909" t="s">
        <v>2992</v>
      </c>
      <c r="D6" s="2911"/>
      <c r="E6" s="2574">
        <f ca="1">SUMIF(INDIRECT("'"&amp;A6&amp;"'"&amp;"!C:C"),"建筑面积",INDIRECT("'"&amp;A6&amp;"'"&amp;"!D:D"))</f>
        <v>0</v>
      </c>
    </row>
    <row r="7" spans="1:5" ht="15.75">
      <c r="A7" s="2914"/>
      <c r="B7" s="2910" t="e">
        <f ca="1">SUMIF(INDIRECT("'"&amp;A7&amp;"'"&amp;"!A:A"),"总价",INDIRECT("'"&amp;A7&amp;"'"&amp;"!B:B"))</f>
        <v>#REF!</v>
      </c>
      <c r="C7" s="2909" t="s">
        <v>2992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4" t="e">
        <f t="shared" ca="1" si="0"/>
        <v>#REF!</v>
      </c>
    </row>
    <row r="9" spans="1:5" ht="15.75">
      <c r="A9" s="2914"/>
      <c r="B9" s="2910" t="e">
        <f t="shared" ca="1" si="1"/>
        <v>#REF!</v>
      </c>
      <c r="C9" s="2909" t="s">
        <v>2992</v>
      </c>
      <c r="D9" s="2911"/>
      <c r="E9" s="2574" t="e">
        <f t="shared" ca="1" si="0"/>
        <v>#REF!</v>
      </c>
    </row>
    <row r="10" spans="1:5" ht="15.75">
      <c r="A10" s="2914"/>
      <c r="B10" s="2910" t="e">
        <f t="shared" ca="1" si="1"/>
        <v>#REF!</v>
      </c>
      <c r="C10" s="2909" t="s">
        <v>2992</v>
      </c>
      <c r="D10" s="2911"/>
      <c r="E10" s="2574" t="e">
        <f t="shared" ca="1" si="0"/>
        <v>#REF!</v>
      </c>
    </row>
    <row r="11" spans="1:5" ht="15.75">
      <c r="A11" s="2914"/>
      <c r="B11" s="2910" t="e">
        <f t="shared" ca="1" si="1"/>
        <v>#REF!</v>
      </c>
      <c r="C11" s="2909" t="s">
        <v>2992</v>
      </c>
      <c r="D11" s="2911"/>
      <c r="E11" s="2574" t="e">
        <f t="shared" ca="1" si="0"/>
        <v>#REF!</v>
      </c>
    </row>
    <row r="12" spans="1:5" ht="15.75">
      <c r="A12" s="2914"/>
      <c r="B12" s="2910" t="e">
        <f t="shared" ca="1" si="1"/>
        <v>#REF!</v>
      </c>
      <c r="C12" s="2909" t="s">
        <v>2992</v>
      </c>
      <c r="D12" s="2911"/>
      <c r="E12" s="2574" t="e">
        <f t="shared" ca="1" si="0"/>
        <v>#REF!</v>
      </c>
    </row>
    <row r="13" spans="1:5" ht="15.75">
      <c r="A13" s="2914"/>
      <c r="B13" s="2910" t="e">
        <f t="shared" ca="1" si="1"/>
        <v>#REF!</v>
      </c>
      <c r="C13" s="2909" t="s">
        <v>2992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1146</v>
      </c>
      <c r="C1" s="3284"/>
      <c r="D1" s="3284"/>
      <c r="E1" s="3284"/>
      <c r="F1" s="3284"/>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8" customFormat="1" ht="14.25">
      <c r="A3" s="2937" t="s">
        <v>3031</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3038</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40">
        <v>2018</v>
      </c>
      <c r="H5" s="1730">
        <v>4</v>
      </c>
      <c r="I5" s="2923">
        <v>0</v>
      </c>
      <c r="J5" s="2923">
        <v>0</v>
      </c>
      <c r="K5" s="2923">
        <v>0</v>
      </c>
      <c r="L5" s="2923">
        <v>0</v>
      </c>
      <c r="N5" s="1467">
        <f>I5/100</f>
        <v>0</v>
      </c>
      <c r="O5" s="1467">
        <f t="shared" ref="O5" si="7">J5/100</f>
        <v>0</v>
      </c>
      <c r="P5" s="1467">
        <f t="shared" ref="P5" si="8">K5/100</f>
        <v>0</v>
      </c>
      <c r="Q5" s="1467">
        <f t="shared" ref="Q5" si="9">L5/100</f>
        <v>0</v>
      </c>
      <c r="R5" s="1732"/>
      <c r="S5" s="1733"/>
      <c r="T5" s="1732"/>
      <c r="U5" s="1732"/>
      <c r="V5" s="1732"/>
      <c r="W5" s="2927" t="s">
        <v>3032</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3039</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38"/>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3037</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38"/>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3030</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38"/>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3027</v>
      </c>
      <c r="B9" s="1469">
        <v>439</v>
      </c>
      <c r="C9" s="1469">
        <v>327</v>
      </c>
      <c r="D9" s="1469">
        <f>C9</f>
        <v>327</v>
      </c>
      <c r="E9" s="1469">
        <v>627</v>
      </c>
      <c r="F9" s="1470">
        <v>283</v>
      </c>
      <c r="G9" s="2925">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3028</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21"/>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1382</v>
      </c>
      <c r="B11" s="1477">
        <f t="shared" si="50"/>
        <v>419.31181600000002</v>
      </c>
      <c r="C11" s="1477">
        <f t="shared" si="51"/>
        <v>313.95436800000004</v>
      </c>
      <c r="D11" s="1477">
        <f t="shared" si="52"/>
        <v>313.95436800000004</v>
      </c>
      <c r="E11" s="1477">
        <f t="shared" si="53"/>
        <v>596.63028431999999</v>
      </c>
      <c r="F11" s="1477">
        <f t="shared" si="54"/>
        <v>274.74220703999998</v>
      </c>
      <c r="G11" s="2920"/>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1157</v>
      </c>
      <c r="B12" s="1477">
        <f>B13*(1+N12)</f>
        <v>405.524</v>
      </c>
      <c r="C12" s="1477">
        <f>C13*(1+O12)</f>
        <v>307.79840000000002</v>
      </c>
      <c r="D12" s="1477">
        <f>C12</f>
        <v>307.79840000000002</v>
      </c>
      <c r="E12" s="1477">
        <f>E13*(1+P12)</f>
        <v>574.67759999999998</v>
      </c>
      <c r="F12" s="1477">
        <f>F13*(1+Q12)</f>
        <v>270.20280000000002</v>
      </c>
      <c r="G12" s="2921"/>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285">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282"/>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282"/>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283"/>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281">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282"/>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282"/>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283"/>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281">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282"/>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282"/>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283"/>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1158</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1159</v>
      </c>
      <c r="B25" s="1469">
        <v>299</v>
      </c>
      <c r="C25" s="1469">
        <v>252</v>
      </c>
      <c r="D25" s="1469">
        <f t="shared" si="64"/>
        <v>252</v>
      </c>
      <c r="E25" s="1469">
        <v>409</v>
      </c>
      <c r="F25" s="1470">
        <v>227</v>
      </c>
      <c r="G25" s="3286">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1160</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287"/>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1161</v>
      </c>
      <c r="B27" s="1477">
        <f t="shared" si="73"/>
        <v>288.2649053828776</v>
      </c>
      <c r="C27" s="1477">
        <f t="shared" si="73"/>
        <v>243.64564425013293</v>
      </c>
      <c r="D27" s="1477">
        <f t="shared" si="64"/>
        <v>243.64564425013293</v>
      </c>
      <c r="E27" s="1477">
        <f t="shared" si="74"/>
        <v>393.31080825986544</v>
      </c>
      <c r="F27" s="1477">
        <f t="shared" si="74"/>
        <v>223.07903790551154</v>
      </c>
      <c r="G27" s="3287"/>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1162</v>
      </c>
      <c r="B28" s="1477">
        <f t="shared" si="73"/>
        <v>282.50186729015837</v>
      </c>
      <c r="C28" s="1477">
        <f t="shared" si="73"/>
        <v>238.09796174155468</v>
      </c>
      <c r="D28" s="1477">
        <f t="shared" si="64"/>
        <v>238.09796174155468</v>
      </c>
      <c r="E28" s="1477">
        <f t="shared" si="74"/>
        <v>385.33438646014054</v>
      </c>
      <c r="F28" s="1477">
        <f t="shared" si="74"/>
        <v>221.55034055567739</v>
      </c>
      <c r="G28" s="3288"/>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1163</v>
      </c>
      <c r="B29" s="1511">
        <v>278</v>
      </c>
      <c r="C29" s="1511">
        <v>234</v>
      </c>
      <c r="D29" s="1511">
        <f t="shared" si="64"/>
        <v>234</v>
      </c>
      <c r="E29" s="1511">
        <v>379</v>
      </c>
      <c r="F29" s="1512">
        <v>220</v>
      </c>
      <c r="G29" s="3281">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1164</v>
      </c>
      <c r="B30" s="1477">
        <f>B29/(1+N29)</f>
        <v>275.49301357645425</v>
      </c>
      <c r="C30" s="1477">
        <f>C29/(1+O29)</f>
        <v>232.41954707985698</v>
      </c>
      <c r="D30" s="1477">
        <f t="shared" si="64"/>
        <v>232.41954707985698</v>
      </c>
      <c r="E30" s="1477">
        <f t="shared" ref="E30:F32" si="75">E29/(1+P29)</f>
        <v>375.32184591008121</v>
      </c>
      <c r="F30" s="1477">
        <f t="shared" si="75"/>
        <v>218.03766105054513</v>
      </c>
      <c r="G30" s="3282"/>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1165</v>
      </c>
      <c r="B31" s="1477">
        <f>B30/(1+N30)</f>
        <v>275.24529281292263</v>
      </c>
      <c r="C31" s="1477">
        <f>C30/(1+O30)</f>
        <v>231.74747938962707</v>
      </c>
      <c r="D31" s="1477">
        <f t="shared" si="64"/>
        <v>231.74747938962707</v>
      </c>
      <c r="E31" s="1477">
        <f t="shared" si="75"/>
        <v>375.35938184826603</v>
      </c>
      <c r="F31" s="1477">
        <f t="shared" si="75"/>
        <v>216.78033510692495</v>
      </c>
      <c r="G31" s="3282"/>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1166</v>
      </c>
      <c r="B32" s="1477">
        <f>B31/(1+N31)</f>
        <v>275.19025476197027</v>
      </c>
      <c r="C32" s="1513">
        <v>232</v>
      </c>
      <c r="D32" s="1513">
        <f t="shared" si="64"/>
        <v>232</v>
      </c>
      <c r="E32" s="1477">
        <f t="shared" si="75"/>
        <v>375.65990977608692</v>
      </c>
      <c r="F32" s="1477">
        <f t="shared" si="75"/>
        <v>214.12518283971252</v>
      </c>
      <c r="G32" s="3283"/>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1167</v>
      </c>
      <c r="B33" s="1469">
        <v>275</v>
      </c>
      <c r="C33" s="1469">
        <v>232</v>
      </c>
      <c r="D33" s="1469">
        <f t="shared" si="64"/>
        <v>232</v>
      </c>
      <c r="E33" s="1469">
        <v>376</v>
      </c>
      <c r="F33" s="1470">
        <v>213</v>
      </c>
      <c r="G33" s="3281">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1168</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282">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1169</v>
      </c>
      <c r="B35" s="1477">
        <f t="shared" si="76"/>
        <v>275.19335084830601</v>
      </c>
      <c r="C35" s="1477">
        <f t="shared" si="76"/>
        <v>230.18088050139744</v>
      </c>
      <c r="D35" s="1477">
        <f t="shared" si="64"/>
        <v>230.18088050139744</v>
      </c>
      <c r="E35" s="1477">
        <f t="shared" si="77"/>
        <v>377.58482925212331</v>
      </c>
      <c r="F35" s="1477">
        <f t="shared" si="77"/>
        <v>210.90687997847917</v>
      </c>
      <c r="G35" s="3282">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1170</v>
      </c>
      <c r="B36" s="1477">
        <f t="shared" si="76"/>
        <v>276.29854502841971</v>
      </c>
      <c r="C36" s="1477">
        <f t="shared" si="76"/>
        <v>229.79023709833027</v>
      </c>
      <c r="D36" s="1477">
        <f t="shared" si="64"/>
        <v>229.79023709833027</v>
      </c>
      <c r="E36" s="1477">
        <f t="shared" si="77"/>
        <v>379.78759731655936</v>
      </c>
      <c r="F36" s="1477">
        <f t="shared" si="77"/>
        <v>211.32953905659235</v>
      </c>
      <c r="G36" s="3283">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1171</v>
      </c>
      <c r="B37" s="1469">
        <v>269</v>
      </c>
      <c r="C37" s="1469">
        <v>221</v>
      </c>
      <c r="D37" s="1469">
        <f t="shared" si="64"/>
        <v>221</v>
      </c>
      <c r="E37" s="1469">
        <v>373</v>
      </c>
      <c r="F37" s="1470">
        <v>196</v>
      </c>
      <c r="G37" s="3281">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1172</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282">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1173</v>
      </c>
      <c r="B39" s="1477">
        <f t="shared" si="78"/>
        <v>242.95398227588385</v>
      </c>
      <c r="C39" s="1477">
        <f t="shared" si="78"/>
        <v>199.59137053614126</v>
      </c>
      <c r="D39" s="1477">
        <f t="shared" si="64"/>
        <v>199.59137053614126</v>
      </c>
      <c r="E39" s="1477">
        <f t="shared" si="79"/>
        <v>335.92189522342125</v>
      </c>
      <c r="F39" s="1477">
        <f t="shared" si="79"/>
        <v>183.10139991109489</v>
      </c>
      <c r="G39" s="3282">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1174</v>
      </c>
      <c r="B40" s="1477">
        <f t="shared" si="78"/>
        <v>232.06990378821649</v>
      </c>
      <c r="C40" s="1477">
        <f t="shared" si="78"/>
        <v>192.74878854286936</v>
      </c>
      <c r="D40" s="1477">
        <f t="shared" si="64"/>
        <v>192.74878854286936</v>
      </c>
      <c r="E40" s="1477">
        <f t="shared" si="79"/>
        <v>319.71247284992984</v>
      </c>
      <c r="F40" s="1477">
        <f t="shared" si="79"/>
        <v>175.67053622862409</v>
      </c>
      <c r="G40" s="3283">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1175</v>
      </c>
      <c r="B41" s="1469">
        <v>220</v>
      </c>
      <c r="C41" s="1469">
        <v>187</v>
      </c>
      <c r="D41" s="1469">
        <f t="shared" si="64"/>
        <v>187</v>
      </c>
      <c r="E41" s="1469">
        <v>301</v>
      </c>
      <c r="F41" s="1470">
        <v>168</v>
      </c>
      <c r="G41" s="3281">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1176</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282">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1177</v>
      </c>
      <c r="B43" s="1477">
        <f t="shared" si="80"/>
        <v>210.630522469011</v>
      </c>
      <c r="C43" s="1477">
        <f t="shared" si="80"/>
        <v>181.69567812247232</v>
      </c>
      <c r="D43" s="1477">
        <f t="shared" si="64"/>
        <v>181.69567812247232</v>
      </c>
      <c r="E43" s="1477">
        <f t="shared" si="81"/>
        <v>286.13517466736738</v>
      </c>
      <c r="F43" s="1477">
        <f t="shared" si="81"/>
        <v>165.47535084591149</v>
      </c>
      <c r="G43" s="3282">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1178</v>
      </c>
      <c r="B44" s="1477">
        <f t="shared" si="80"/>
        <v>208.83454537875372</v>
      </c>
      <c r="C44" s="1477">
        <f t="shared" si="80"/>
        <v>183.77230517090351</v>
      </c>
      <c r="D44" s="1477">
        <f t="shared" si="64"/>
        <v>183.77230517090351</v>
      </c>
      <c r="E44" s="1477">
        <f t="shared" si="81"/>
        <v>281.10342338870947</v>
      </c>
      <c r="F44" s="1477">
        <f t="shared" si="81"/>
        <v>168.97309388942256</v>
      </c>
      <c r="G44" s="3283">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1179</v>
      </c>
      <c r="B45" s="1511">
        <v>214</v>
      </c>
      <c r="C45" s="1511">
        <v>188</v>
      </c>
      <c r="D45" s="1511">
        <f t="shared" si="64"/>
        <v>188</v>
      </c>
      <c r="E45" s="1511">
        <v>289</v>
      </c>
      <c r="F45" s="1512">
        <v>166</v>
      </c>
      <c r="G45" s="3281">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1180</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282">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1181</v>
      </c>
      <c r="B47" s="1477">
        <f t="shared" si="82"/>
        <v>206.31694671589116</v>
      </c>
      <c r="C47" s="1477">
        <f t="shared" si="82"/>
        <v>183.61041121036101</v>
      </c>
      <c r="D47" s="1477">
        <f t="shared" si="64"/>
        <v>183.61041121036101</v>
      </c>
      <c r="E47" s="1477">
        <f t="shared" si="83"/>
        <v>276.66850301795557</v>
      </c>
      <c r="F47" s="1477">
        <f t="shared" si="83"/>
        <v>165.1360938278614</v>
      </c>
      <c r="G47" s="3282">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1182</v>
      </c>
      <c r="B48" s="1514">
        <f t="shared" si="82"/>
        <v>196.62341248059772</v>
      </c>
      <c r="C48" s="1514">
        <f t="shared" si="82"/>
        <v>170.99125648199012</v>
      </c>
      <c r="D48" s="1514">
        <f t="shared" si="64"/>
        <v>170.99125648199012</v>
      </c>
      <c r="E48" s="1514">
        <f t="shared" si="83"/>
        <v>266.07857570490052</v>
      </c>
      <c r="F48" s="1514">
        <f t="shared" si="83"/>
        <v>154.53499328828505</v>
      </c>
      <c r="G48" s="3283">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1183</v>
      </c>
      <c r="B49" s="1469">
        <v>188</v>
      </c>
      <c r="C49" s="1469">
        <v>165</v>
      </c>
      <c r="D49" s="1469">
        <f t="shared" si="64"/>
        <v>165</v>
      </c>
      <c r="E49" s="1469">
        <v>254</v>
      </c>
      <c r="F49" s="1470">
        <v>148</v>
      </c>
      <c r="G49" s="3281">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1184</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282">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1185</v>
      </c>
      <c r="B51" s="1477">
        <f t="shared" si="86"/>
        <v>168.82017748715555</v>
      </c>
      <c r="C51" s="1477">
        <f t="shared" si="86"/>
        <v>148.06267029972753</v>
      </c>
      <c r="D51" s="1477">
        <f t="shared" si="64"/>
        <v>148.06267029972753</v>
      </c>
      <c r="E51" s="1477">
        <f t="shared" si="87"/>
        <v>216.46288379323747</v>
      </c>
      <c r="F51" s="1477">
        <f t="shared" si="87"/>
        <v>134.23529411764704</v>
      </c>
      <c r="G51" s="3282">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1186</v>
      </c>
      <c r="B52" s="1477">
        <f t="shared" si="86"/>
        <v>163.84913591779542</v>
      </c>
      <c r="C52" s="1477">
        <f t="shared" si="86"/>
        <v>145.0283378746594</v>
      </c>
      <c r="D52" s="1477">
        <f t="shared" si="64"/>
        <v>145.0283378746594</v>
      </c>
      <c r="E52" s="1477">
        <f t="shared" si="87"/>
        <v>204.95180722891567</v>
      </c>
      <c r="F52" s="1477">
        <f t="shared" si="87"/>
        <v>125.95920303605313</v>
      </c>
      <c r="G52" s="3283">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1187</v>
      </c>
      <c r="B53" s="1490">
        <v>159</v>
      </c>
      <c r="C53" s="1490">
        <v>141</v>
      </c>
      <c r="D53" s="1490">
        <f t="shared" si="64"/>
        <v>141</v>
      </c>
      <c r="E53" s="1490">
        <v>195</v>
      </c>
      <c r="F53" s="1491">
        <v>122</v>
      </c>
      <c r="G53" s="3281">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1188</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282">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1189</v>
      </c>
      <c r="B55" s="1477">
        <f t="shared" si="90"/>
        <v>146.57412060301507</v>
      </c>
      <c r="C55" s="1477">
        <f t="shared" si="90"/>
        <v>136.46831955922866</v>
      </c>
      <c r="D55" s="1477">
        <f t="shared" si="64"/>
        <v>136.46831955922866</v>
      </c>
      <c r="E55" s="1477">
        <f t="shared" si="91"/>
        <v>166.73864894795128</v>
      </c>
      <c r="F55" s="1477">
        <f t="shared" si="91"/>
        <v>115.05882352941177</v>
      </c>
      <c r="G55" s="3282">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1190</v>
      </c>
      <c r="B56" s="1477">
        <f t="shared" si="90"/>
        <v>144.04145728643215</v>
      </c>
      <c r="C56" s="1477">
        <f t="shared" si="90"/>
        <v>136.12396694214877</v>
      </c>
      <c r="D56" s="1477">
        <f t="shared" si="64"/>
        <v>136.12396694214877</v>
      </c>
      <c r="E56" s="1477">
        <f t="shared" si="91"/>
        <v>158.32225913621264</v>
      </c>
      <c r="F56" s="1477">
        <f t="shared" si="91"/>
        <v>114.04278074866311</v>
      </c>
      <c r="G56" s="3283">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1191</v>
      </c>
      <c r="B57" s="1490">
        <v>138</v>
      </c>
      <c r="C57" s="1490">
        <v>131</v>
      </c>
      <c r="D57" s="1490">
        <f t="shared" si="64"/>
        <v>131</v>
      </c>
      <c r="E57" s="1490">
        <v>155</v>
      </c>
      <c r="F57" s="1491">
        <v>114</v>
      </c>
      <c r="G57" s="3281">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1192</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282">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1193</v>
      </c>
      <c r="B59" s="1477">
        <f t="shared" si="94"/>
        <v>124.29032258064517</v>
      </c>
      <c r="C59" s="1477">
        <f t="shared" si="94"/>
        <v>123.8968609865471</v>
      </c>
      <c r="D59" s="1477">
        <f t="shared" si="64"/>
        <v>123.8968609865471</v>
      </c>
      <c r="E59" s="1477">
        <f t="shared" si="95"/>
        <v>138.00507614213197</v>
      </c>
      <c r="F59" s="1477">
        <f t="shared" si="95"/>
        <v>107.96106557377048</v>
      </c>
      <c r="G59" s="3282">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1194</v>
      </c>
      <c r="B60" s="1477">
        <f t="shared" si="94"/>
        <v>122.57204301075269</v>
      </c>
      <c r="C60" s="1477">
        <f t="shared" si="94"/>
        <v>123.4932735426009</v>
      </c>
      <c r="D60" s="1477">
        <f t="shared" si="64"/>
        <v>123.4932735426009</v>
      </c>
      <c r="E60" s="1477">
        <f t="shared" si="95"/>
        <v>129.82233502538071</v>
      </c>
      <c r="F60" s="1477">
        <f t="shared" si="95"/>
        <v>107.39446721311475</v>
      </c>
      <c r="G60" s="3283">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1195</v>
      </c>
      <c r="B61" s="1511">
        <v>121</v>
      </c>
      <c r="C61" s="1511">
        <v>122</v>
      </c>
      <c r="D61" s="1511">
        <f t="shared" si="64"/>
        <v>122</v>
      </c>
      <c r="E61" s="1511">
        <v>124</v>
      </c>
      <c r="F61" s="1512">
        <v>107</v>
      </c>
      <c r="G61" s="3281">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1196</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282">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1197</v>
      </c>
      <c r="B63" s="1477">
        <f t="shared" si="98"/>
        <v>116.99099099099099</v>
      </c>
      <c r="C63" s="1477">
        <f t="shared" si="98"/>
        <v>118.84848484848486</v>
      </c>
      <c r="D63" s="1477">
        <f t="shared" si="64"/>
        <v>118.84848484848486</v>
      </c>
      <c r="E63" s="1477">
        <f t="shared" si="99"/>
        <v>117.60960960960961</v>
      </c>
      <c r="F63" s="1477">
        <f t="shared" si="99"/>
        <v>104</v>
      </c>
      <c r="G63" s="3282">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1198</v>
      </c>
      <c r="B64" s="1514">
        <f t="shared" si="98"/>
        <v>112.48648648648648</v>
      </c>
      <c r="C64" s="1514">
        <f t="shared" si="98"/>
        <v>115.21212121212122</v>
      </c>
      <c r="D64" s="1514">
        <f t="shared" si="64"/>
        <v>115.21212121212122</v>
      </c>
      <c r="E64" s="1514">
        <f t="shared" si="99"/>
        <v>110.4024024024024</v>
      </c>
      <c r="F64" s="1514">
        <f t="shared" si="99"/>
        <v>104</v>
      </c>
      <c r="G64" s="3283">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1199</v>
      </c>
      <c r="B65" s="1532">
        <v>111</v>
      </c>
      <c r="C65" s="1532">
        <v>114</v>
      </c>
      <c r="D65" s="1532">
        <f t="shared" si="64"/>
        <v>114</v>
      </c>
      <c r="E65" s="1532">
        <v>108</v>
      </c>
      <c r="F65" s="1533">
        <v>104</v>
      </c>
      <c r="G65" s="3281">
        <v>2003</v>
      </c>
      <c r="H65" s="1522">
        <v>4</v>
      </c>
      <c r="I65" s="1534"/>
      <c r="J65" s="1534"/>
      <c r="K65" s="1534"/>
      <c r="L65" s="1534"/>
      <c r="N65" s="1535"/>
      <c r="O65" s="1534"/>
      <c r="P65" s="1534"/>
      <c r="Q65" s="1534"/>
      <c r="S65" s="1535"/>
      <c r="T65" s="1534"/>
      <c r="U65" s="1534"/>
      <c r="V65" s="1534"/>
      <c r="X65" s="1526"/>
      <c r="Y65" s="1526"/>
      <c r="Z65" s="1526"/>
    </row>
    <row r="66" spans="1:26">
      <c r="A66" s="1461" t="s">
        <v>1200</v>
      </c>
      <c r="B66" s="1536">
        <f t="shared" ref="B66:C68" si="100">B67+(B$65-B$69)/4</f>
        <v>109.75</v>
      </c>
      <c r="C66" s="1536">
        <f t="shared" si="100"/>
        <v>112.25</v>
      </c>
      <c r="D66" s="1536">
        <f t="shared" si="64"/>
        <v>112.25</v>
      </c>
      <c r="E66" s="1536">
        <f t="shared" ref="E66:F68" si="101">E67+(E$65-E$69)/4</f>
        <v>107.25</v>
      </c>
      <c r="F66" s="1536">
        <f t="shared" si="101"/>
        <v>103.5</v>
      </c>
      <c r="G66" s="3282">
        <v>2003</v>
      </c>
      <c r="H66" s="1487">
        <v>3</v>
      </c>
      <c r="I66" s="1534"/>
      <c r="J66" s="1534"/>
      <c r="K66" s="1534"/>
      <c r="L66" s="1534"/>
      <c r="X66" s="1526"/>
      <c r="Y66" s="1526"/>
      <c r="Z66" s="1526"/>
    </row>
    <row r="67" spans="1:26">
      <c r="A67" s="1461" t="s">
        <v>1201</v>
      </c>
      <c r="B67" s="1536">
        <f t="shared" si="100"/>
        <v>108.5</v>
      </c>
      <c r="C67" s="1536">
        <f t="shared" si="100"/>
        <v>110.5</v>
      </c>
      <c r="D67" s="1536">
        <f t="shared" si="64"/>
        <v>110.5</v>
      </c>
      <c r="E67" s="1536">
        <f t="shared" si="101"/>
        <v>106.5</v>
      </c>
      <c r="F67" s="1536">
        <f t="shared" si="101"/>
        <v>103</v>
      </c>
      <c r="G67" s="3282">
        <v>2003</v>
      </c>
      <c r="H67" s="1465">
        <v>2</v>
      </c>
      <c r="I67" s="1534"/>
      <c r="J67" s="1534"/>
      <c r="K67" s="1534"/>
      <c r="L67" s="1534"/>
      <c r="X67" s="1526"/>
      <c r="Y67" s="1526"/>
      <c r="Z67" s="1526"/>
    </row>
    <row r="68" spans="1:26" ht="13.5" thickBot="1">
      <c r="A68" s="1461" t="s">
        <v>1202</v>
      </c>
      <c r="B68" s="1536">
        <f t="shared" si="100"/>
        <v>107.25</v>
      </c>
      <c r="C68" s="1536">
        <f t="shared" si="100"/>
        <v>108.75</v>
      </c>
      <c r="D68" s="1536">
        <f t="shared" si="64"/>
        <v>108.75</v>
      </c>
      <c r="E68" s="1536">
        <f t="shared" si="101"/>
        <v>105.75</v>
      </c>
      <c r="F68" s="1536">
        <f t="shared" si="101"/>
        <v>102.5</v>
      </c>
      <c r="G68" s="3283">
        <v>2003</v>
      </c>
      <c r="H68" s="1537">
        <v>1</v>
      </c>
      <c r="I68" s="1534"/>
      <c r="J68" s="1534"/>
      <c r="K68" s="1534"/>
      <c r="L68" s="1534"/>
      <c r="S68" s="1472"/>
      <c r="T68" s="1473"/>
      <c r="U68" s="1473"/>
      <c r="X68" s="1526"/>
      <c r="Y68" s="1526"/>
      <c r="Z68" s="1526"/>
    </row>
    <row r="69" spans="1:26" ht="13.5" thickBot="1">
      <c r="A69" s="1461" t="s">
        <v>1203</v>
      </c>
      <c r="B69" s="1538">
        <v>106</v>
      </c>
      <c r="C69" s="1538">
        <v>107</v>
      </c>
      <c r="D69" s="1538">
        <f t="shared" si="64"/>
        <v>107</v>
      </c>
      <c r="E69" s="1538">
        <v>105</v>
      </c>
      <c r="F69" s="1539">
        <v>102</v>
      </c>
      <c r="G69" s="3281">
        <v>2002</v>
      </c>
      <c r="H69" s="1482">
        <v>4</v>
      </c>
      <c r="I69" s="1534"/>
      <c r="J69" s="1534"/>
      <c r="K69" s="1534"/>
      <c r="L69" s="1534"/>
      <c r="N69" s="1535"/>
      <c r="O69" s="1534"/>
      <c r="P69" s="1534"/>
      <c r="Q69" s="1534"/>
      <c r="S69" s="1535"/>
      <c r="T69" s="1534"/>
      <c r="U69" s="1534"/>
      <c r="V69" s="1534"/>
      <c r="X69" s="1526"/>
      <c r="Y69" s="1526"/>
      <c r="Z69" s="1526"/>
    </row>
    <row r="70" spans="1:26">
      <c r="A70" s="1461" t="s">
        <v>1204</v>
      </c>
      <c r="B70" s="1536">
        <f t="shared" ref="B70:C72" si="102">B71+(B$69-B$73)/4</f>
        <v>105</v>
      </c>
      <c r="C70" s="1536">
        <f t="shared" si="102"/>
        <v>106</v>
      </c>
      <c r="D70" s="1536">
        <f t="shared" si="64"/>
        <v>106</v>
      </c>
      <c r="E70" s="1536">
        <f t="shared" ref="E70:F72" si="103">E71+(E$69-E$73)/4</f>
        <v>104.5</v>
      </c>
      <c r="F70" s="1536">
        <f t="shared" si="103"/>
        <v>101.5</v>
      </c>
      <c r="G70" s="3282">
        <v>2002</v>
      </c>
      <c r="H70" s="1487">
        <v>3</v>
      </c>
      <c r="I70" s="1534"/>
      <c r="J70" s="1534"/>
      <c r="K70" s="1534"/>
      <c r="L70" s="1534"/>
      <c r="X70" s="1526"/>
      <c r="Y70" s="1526"/>
      <c r="Z70" s="1526"/>
    </row>
    <row r="71" spans="1:26">
      <c r="A71" s="1461" t="s">
        <v>1205</v>
      </c>
      <c r="B71" s="1536">
        <f t="shared" si="102"/>
        <v>104</v>
      </c>
      <c r="C71" s="1536">
        <f t="shared" si="102"/>
        <v>105</v>
      </c>
      <c r="D71" s="1536">
        <f t="shared" si="64"/>
        <v>105</v>
      </c>
      <c r="E71" s="1536">
        <f t="shared" si="103"/>
        <v>104</v>
      </c>
      <c r="F71" s="1536">
        <f t="shared" si="103"/>
        <v>101</v>
      </c>
      <c r="G71" s="3282">
        <v>2002</v>
      </c>
      <c r="H71" s="1465">
        <v>2</v>
      </c>
      <c r="I71" s="1534"/>
      <c r="J71" s="1534"/>
      <c r="K71" s="1534"/>
      <c r="L71" s="1534"/>
      <c r="X71" s="1526"/>
      <c r="Y71" s="1526"/>
      <c r="Z71" s="1526"/>
    </row>
    <row r="72" spans="1:26" s="1498" customFormat="1" ht="13.5" thickBot="1">
      <c r="A72" s="1494" t="s">
        <v>1206</v>
      </c>
      <c r="B72" s="1540">
        <f t="shared" si="102"/>
        <v>103</v>
      </c>
      <c r="C72" s="1540">
        <f t="shared" si="102"/>
        <v>104</v>
      </c>
      <c r="D72" s="1540">
        <f t="shared" si="64"/>
        <v>104</v>
      </c>
      <c r="E72" s="1540">
        <f t="shared" si="103"/>
        <v>103.5</v>
      </c>
      <c r="F72" s="1540">
        <f t="shared" si="103"/>
        <v>100.5</v>
      </c>
      <c r="G72" s="3283">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1207</v>
      </c>
      <c r="G75" s="1550"/>
      <c r="N75" s="1550"/>
      <c r="S75" s="1550"/>
    </row>
    <row r="76" spans="1:26" s="1549" customFormat="1">
      <c r="A76" s="1549" t="s">
        <v>1208</v>
      </c>
      <c r="G76" s="1550"/>
      <c r="N76" s="1550"/>
      <c r="S76" s="1550"/>
    </row>
    <row r="77" spans="1:26" s="1549" customFormat="1">
      <c r="A77" s="1549" t="s">
        <v>1209</v>
      </c>
      <c r="G77" s="1550"/>
      <c r="I77" s="1551"/>
      <c r="J77" s="1551"/>
      <c r="K77" s="1551"/>
      <c r="L77" s="1551"/>
      <c r="N77" s="1552"/>
      <c r="O77" s="1551"/>
      <c r="P77" s="1551"/>
      <c r="Q77" s="1551"/>
      <c r="S77" s="1552"/>
      <c r="T77" s="1551"/>
      <c r="U77" s="1551"/>
      <c r="V77" s="1551"/>
    </row>
    <row r="78" spans="1:26" s="1549" customFormat="1">
      <c r="A78" s="1549" t="s">
        <v>1210</v>
      </c>
      <c r="G78" s="1550"/>
      <c r="N78" s="1550"/>
      <c r="S78" s="1550"/>
    </row>
    <row r="85" spans="7:22" ht="13.5" thickBot="1"/>
    <row r="86" spans="7:22">
      <c r="G86" s="1471"/>
      <c r="S86" s="1553" t="s">
        <v>1211</v>
      </c>
      <c r="T86" s="1554" t="s">
        <v>1212</v>
      </c>
      <c r="U86" s="1554" t="s">
        <v>1213</v>
      </c>
      <c r="V86" s="1554" t="s">
        <v>1214</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E18" sqref="E18"/>
    </sheetView>
  </sheetViews>
  <sheetFormatPr defaultColWidth="9" defaultRowHeight="12.75"/>
  <cols>
    <col min="1" max="1" width="38.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4" t="s">
        <v>3001</v>
      </c>
      <c r="C1" s="3290" t="s">
        <v>3002</v>
      </c>
      <c r="D1" s="3291"/>
      <c r="E1" s="3291"/>
      <c r="F1" s="3291"/>
      <c r="G1" s="3291"/>
      <c r="H1" s="3291"/>
      <c r="I1" s="3291"/>
      <c r="J1" s="3291"/>
      <c r="K1" s="3291"/>
      <c r="L1" s="3291"/>
      <c r="M1" s="3291"/>
      <c r="N1" s="3291"/>
      <c r="O1" s="3291"/>
      <c r="P1" s="3291"/>
      <c r="Q1" s="3291"/>
      <c r="R1" s="3291"/>
      <c r="S1" s="3292"/>
      <c r="T1" s="1204" t="s">
        <v>3003</v>
      </c>
    </row>
    <row r="2" spans="1:45" s="706" customFormat="1" ht="38.25">
      <c r="A2" s="1205"/>
      <c r="B2" s="702" t="s">
        <v>3004</v>
      </c>
      <c r="C2" s="703" t="str">
        <f t="shared" ref="C2:L2" si="0">C3&amp;"(含)"&amp;"-"&amp;D3</f>
        <v>0(含)-100</v>
      </c>
      <c r="D2" s="704" t="str">
        <f t="shared" si="0"/>
        <v>100(含)-300</v>
      </c>
      <c r="E2" s="704" t="str">
        <f t="shared" si="0"/>
        <v>300(含)-800</v>
      </c>
      <c r="F2" s="704" t="str">
        <f t="shared" si="0"/>
        <v>800(含)-1500</v>
      </c>
      <c r="G2" s="704" t="str">
        <f t="shared" si="0"/>
        <v>1500(含)-2500</v>
      </c>
      <c r="H2" s="704" t="str">
        <f t="shared" si="0"/>
        <v>2500(含)-4000</v>
      </c>
      <c r="I2" s="704" t="str">
        <f t="shared" si="0"/>
        <v>4000(含)-6000</v>
      </c>
      <c r="J2" s="704" t="str">
        <f t="shared" si="0"/>
        <v>6000(含)-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100</v>
      </c>
      <c r="E3" s="594">
        <v>300</v>
      </c>
      <c r="F3" s="594">
        <v>800</v>
      </c>
      <c r="G3" s="594">
        <v>1500</v>
      </c>
      <c r="H3" s="594">
        <v>2500</v>
      </c>
      <c r="I3" s="594">
        <v>4000</v>
      </c>
      <c r="J3" s="595">
        <v>6000</v>
      </c>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99</v>
      </c>
      <c r="E4" s="535">
        <v>98</v>
      </c>
      <c r="F4" s="535">
        <v>97</v>
      </c>
      <c r="G4" s="535">
        <v>96</v>
      </c>
      <c r="H4" s="535">
        <v>95</v>
      </c>
      <c r="I4" s="535">
        <v>94</v>
      </c>
      <c r="J4" s="535">
        <v>93</v>
      </c>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24.75" thickTop="1">
      <c r="A5" s="1215"/>
      <c r="B5" s="2967" t="s">
        <v>3105</v>
      </c>
      <c r="C5" s="2968" t="s">
        <v>3107</v>
      </c>
      <c r="D5" s="2969" t="s">
        <v>3109</v>
      </c>
      <c r="E5" s="2969" t="s">
        <v>3110</v>
      </c>
      <c r="F5" s="1711"/>
      <c r="G5" s="1711"/>
      <c r="H5" s="1711"/>
      <c r="I5" s="1711"/>
      <c r="J5" s="1711"/>
      <c r="K5" s="1711"/>
      <c r="L5" s="1712"/>
      <c r="M5" s="1713"/>
      <c r="N5" s="1713"/>
      <c r="O5" s="1711"/>
      <c r="P5" s="1711"/>
      <c r="Q5" s="1711"/>
      <c r="R5" s="1711"/>
      <c r="S5" s="1714"/>
      <c r="T5" s="1219">
        <v>15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85</v>
      </c>
      <c r="E6" s="1119">
        <f t="shared" ref="E6:S6" si="7">D6-$T5</f>
        <v>70</v>
      </c>
      <c r="F6" s="1715">
        <f t="shared" si="7"/>
        <v>55</v>
      </c>
      <c r="G6" s="1715">
        <f t="shared" si="7"/>
        <v>40</v>
      </c>
      <c r="H6" s="1715">
        <f t="shared" si="7"/>
        <v>25</v>
      </c>
      <c r="I6" s="1715">
        <f t="shared" si="7"/>
        <v>10</v>
      </c>
      <c r="J6" s="1715">
        <f t="shared" si="7"/>
        <v>-5</v>
      </c>
      <c r="K6" s="1715">
        <f t="shared" si="7"/>
        <v>-20</v>
      </c>
      <c r="L6" s="1715">
        <f t="shared" si="7"/>
        <v>-35</v>
      </c>
      <c r="M6" s="1715">
        <f t="shared" si="7"/>
        <v>-50</v>
      </c>
      <c r="N6" s="1715">
        <f t="shared" si="7"/>
        <v>-65</v>
      </c>
      <c r="O6" s="1715">
        <f t="shared" si="7"/>
        <v>-80</v>
      </c>
      <c r="P6" s="1715">
        <f t="shared" si="7"/>
        <v>-95</v>
      </c>
      <c r="Q6" s="1715">
        <f t="shared" si="7"/>
        <v>-110</v>
      </c>
      <c r="R6" s="1715">
        <f t="shared" si="7"/>
        <v>-125</v>
      </c>
      <c r="S6" s="1715">
        <f t="shared" si="7"/>
        <v>-140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idden="1">
      <c r="A7" s="1215"/>
      <c r="B7" s="1770" t="s">
        <v>3005</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hidden="1"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idden="1">
      <c r="A9" s="1215"/>
      <c r="B9" s="1770" t="s">
        <v>3006</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hidden="1"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hidden="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hidden="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5" t="s">
        <v>3010</v>
      </c>
      <c r="B17" s="2916" t="s">
        <v>3011</v>
      </c>
      <c r="C17" s="1231" t="s">
        <v>3101</v>
      </c>
      <c r="D17" s="1232" t="s">
        <v>3113</v>
      </c>
      <c r="E17" s="1232" t="s">
        <v>3111</v>
      </c>
      <c r="F17" s="1232" t="s">
        <v>3112</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90</v>
      </c>
      <c r="E18" s="1244">
        <v>85</v>
      </c>
      <c r="F18" s="1244">
        <v>82</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17" t="s">
        <v>3012</v>
      </c>
      <c r="E19" s="1792"/>
      <c r="F19" s="1792"/>
      <c r="G19" s="1792"/>
      <c r="H19" s="1280"/>
      <c r="I19" s="167"/>
      <c r="J19" s="167"/>
      <c r="K19" s="167"/>
      <c r="L19" s="167"/>
      <c r="M19" s="167"/>
      <c r="N19" s="167"/>
      <c r="O19" s="167"/>
      <c r="P19" s="167"/>
      <c r="Q19" s="167"/>
      <c r="R19" s="785"/>
      <c r="S19" s="137"/>
    </row>
    <row r="20" spans="1:45" ht="16.5" thickBot="1">
      <c r="A20" s="712" t="s">
        <v>3013</v>
      </c>
      <c r="B20" s="337">
        <f ca="1">IF(D20="——",S22,S22-F20)</f>
        <v>106193</v>
      </c>
      <c r="C20" s="167"/>
      <c r="D20" s="2918" t="s">
        <v>70</v>
      </c>
      <c r="E20" s="1793"/>
      <c r="F20" s="1204" t="e">
        <f ca="1">SUMIF(INDIRECT("'"&amp;H20&amp;"'"&amp;"!A:A"),"承租人权益价值",INDIRECT("'"&amp;H20&amp;"'"&amp;"!c:c"))</f>
        <v>#REF!</v>
      </c>
      <c r="G20" s="1204" t="s">
        <v>3014</v>
      </c>
      <c r="H20" s="2919"/>
      <c r="I20" s="167"/>
      <c r="J20" s="167"/>
      <c r="K20" s="167"/>
      <c r="L20" s="167"/>
      <c r="M20" s="167"/>
      <c r="N20" s="167"/>
      <c r="O20" s="167"/>
      <c r="P20" s="167"/>
      <c r="Q20" s="167"/>
      <c r="R20" s="785"/>
      <c r="S20" s="137"/>
    </row>
    <row r="21" spans="1:45" ht="15.75">
      <c r="A21" s="712" t="s">
        <v>3015</v>
      </c>
      <c r="B21" s="337">
        <f ca="1">R22</f>
        <v>34083</v>
      </c>
      <c r="C21" s="167"/>
      <c r="D21" s="167"/>
      <c r="E21" s="167"/>
      <c r="F21" s="167"/>
      <c r="G21" s="167"/>
      <c r="H21" s="167"/>
      <c r="I21" s="167"/>
      <c r="J21" s="167"/>
      <c r="K21" s="167"/>
      <c r="L21" s="167"/>
      <c r="M21" s="167"/>
      <c r="N21" s="167"/>
      <c r="O21" s="167"/>
      <c r="P21" s="167"/>
      <c r="Q21" s="167"/>
      <c r="R21" s="785"/>
      <c r="S21" s="137"/>
    </row>
    <row r="22" spans="1:45">
      <c r="A22" s="360" t="s">
        <v>3016</v>
      </c>
      <c r="B22" s="24">
        <f>SUM(B24:B10000)</f>
        <v>31156.999999999996</v>
      </c>
      <c r="C22" s="3073" t="s">
        <v>33</v>
      </c>
      <c r="D22" s="3074"/>
      <c r="E22" s="3074"/>
      <c r="F22" s="3074"/>
      <c r="G22" s="3074"/>
      <c r="H22" s="3074"/>
      <c r="I22" s="3074"/>
      <c r="J22" s="3074"/>
      <c r="K22" s="3074"/>
      <c r="L22" s="3074"/>
      <c r="M22" s="3074"/>
      <c r="N22" s="3074"/>
      <c r="O22" s="3074"/>
      <c r="P22" s="3074"/>
      <c r="Q22" s="3289"/>
      <c r="R22" s="713">
        <f ca="1">ROUND(S22*10000/B22,0)</f>
        <v>34083</v>
      </c>
      <c r="S22" s="24">
        <f ca="1">SUM(S24:S10000)</f>
        <v>106193</v>
      </c>
    </row>
    <row r="23" spans="1:45" s="12" customFormat="1" ht="24">
      <c r="A23" s="11" t="s">
        <v>3017</v>
      </c>
      <c r="B23" s="11" t="s">
        <v>3018</v>
      </c>
      <c r="C23" s="11" t="s">
        <v>3019</v>
      </c>
      <c r="D23" s="11" t="str">
        <f>B5</f>
        <v>商业类型</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4" t="s">
        <v>3020</v>
      </c>
      <c r="S23" s="11" t="s">
        <v>3021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Sheet1!C3</f>
        <v>听锦路45.49.53-55（号）单</v>
      </c>
      <c r="B24" s="715">
        <f>Sheet1!E3</f>
        <v>287.93</v>
      </c>
      <c r="C24" s="716">
        <v>1</v>
      </c>
      <c r="D24" s="717" t="s">
        <v>3108</v>
      </c>
      <c r="E24" s="716">
        <v>1</v>
      </c>
      <c r="F24" s="717"/>
      <c r="G24" s="716">
        <v>1</v>
      </c>
      <c r="H24" s="717"/>
      <c r="I24" s="716">
        <v>1</v>
      </c>
      <c r="J24" s="717"/>
      <c r="K24" s="716">
        <v>1</v>
      </c>
      <c r="L24" s="717"/>
      <c r="M24" s="716">
        <v>1</v>
      </c>
      <c r="N24" s="717"/>
      <c r="O24" s="716">
        <v>1</v>
      </c>
      <c r="P24" s="717" t="s">
        <v>3102</v>
      </c>
      <c r="Q24" s="716">
        <v>1</v>
      </c>
      <c r="R24" s="718">
        <f ca="1">结果表!G20</f>
        <v>37850</v>
      </c>
      <c r="S24" s="716">
        <f t="shared" ref="S24:S54" ca="1" si="11">ROUND(R24*B24/10000,0)</f>
        <v>1090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tr">
        <f>Sheet1!C4</f>
        <v>听民路843-851号（单），听锦路21-27号（单）</v>
      </c>
      <c r="B25" s="58">
        <f>Sheet1!E4</f>
        <v>486.52</v>
      </c>
      <c r="C25" s="24">
        <f>IF(B25="",1,(LOOKUP(B25,$3:$3,$4:$4)-LOOKUP($B$24,$3:$3,$4:$4)+100)/100)</f>
        <v>0.99</v>
      </c>
      <c r="D25" s="717" t="s">
        <v>3108</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3102</v>
      </c>
      <c r="Q25" s="24">
        <f>(SUMIF($17:$17,P25,$18:$18)-SUMIF($17:$17,$P$24,$18:$18)+100)/100</f>
        <v>1</v>
      </c>
      <c r="R25" s="713">
        <f ca="1">IF(B25="",0,ROUND($R$24*C25*E25*G25*I25*K25*M25*O25*Q25,0))</f>
        <v>37472</v>
      </c>
      <c r="S25" s="360">
        <f t="shared" ca="1" si="11"/>
        <v>1823</v>
      </c>
    </row>
    <row r="26" spans="1:45">
      <c r="A26" s="158" t="str">
        <f>Sheet1!C5</f>
        <v>拱泰路42-50（号）双</v>
      </c>
      <c r="B26" s="58">
        <f>Sheet1!E5</f>
        <v>308.27</v>
      </c>
      <c r="C26" s="24">
        <f t="shared" ref="C26:C89" si="12">IF(B26="",1,(LOOKUP(B26,$3:$3,$4:$4)-LOOKUP($B$24,$3:$3,$4:$4)+100)/100)</f>
        <v>0.99</v>
      </c>
      <c r="D26" s="717" t="s">
        <v>3108</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3114</v>
      </c>
      <c r="Q26" s="24">
        <f t="shared" ref="Q26:Q89" si="19">(SUMIF($17:$17,P26,$18:$18)-SUMIF($17:$17,$P$24,$18:$18)+100)/100</f>
        <v>0.9</v>
      </c>
      <c r="R26" s="713">
        <f t="shared" ref="R26:R89" ca="1" si="20">IF(B26="",0,ROUND($R$24*C26*E26*G26*I26*K26*M26*O26*Q26,0))</f>
        <v>33724</v>
      </c>
      <c r="S26" s="360">
        <f t="shared" ca="1" si="11"/>
        <v>1040</v>
      </c>
    </row>
    <row r="27" spans="1:45">
      <c r="A27" s="158" t="str">
        <f>Sheet1!C6</f>
        <v>拱泰路60.64-68号（双）、听晓路800-808号（双）</v>
      </c>
      <c r="B27" s="58">
        <f>Sheet1!E6</f>
        <v>3877.92</v>
      </c>
      <c r="C27" s="24">
        <f t="shared" si="12"/>
        <v>0.96</v>
      </c>
      <c r="D27" s="717" t="s">
        <v>3106</v>
      </c>
      <c r="E27" s="24">
        <f t="shared" si="13"/>
        <v>1.1499999999999999</v>
      </c>
      <c r="F27" s="717"/>
      <c r="G27" s="24">
        <f t="shared" si="14"/>
        <v>1</v>
      </c>
      <c r="H27" s="717"/>
      <c r="I27" s="24">
        <f t="shared" si="15"/>
        <v>1</v>
      </c>
      <c r="J27" s="717"/>
      <c r="K27" s="24">
        <f t="shared" si="16"/>
        <v>1</v>
      </c>
      <c r="L27" s="717"/>
      <c r="M27" s="24">
        <f t="shared" si="17"/>
        <v>1</v>
      </c>
      <c r="N27" s="717"/>
      <c r="O27" s="24">
        <f t="shared" si="18"/>
        <v>1</v>
      </c>
      <c r="P27" s="717" t="s">
        <v>3115</v>
      </c>
      <c r="Q27" s="24">
        <f t="shared" si="19"/>
        <v>0.82</v>
      </c>
      <c r="R27" s="713">
        <f t="shared" ca="1" si="20"/>
        <v>34265</v>
      </c>
      <c r="S27" s="360">
        <f t="shared" ca="1" si="11"/>
        <v>13288</v>
      </c>
    </row>
    <row r="28" spans="1:45">
      <c r="A28" s="158" t="str">
        <f>Sheet1!C7</f>
        <v>拱泰路20.22号</v>
      </c>
      <c r="B28" s="58">
        <f>Sheet1!E7</f>
        <v>125.89</v>
      </c>
      <c r="C28" s="24">
        <f t="shared" si="12"/>
        <v>1</v>
      </c>
      <c r="D28" s="717" t="s">
        <v>3108</v>
      </c>
      <c r="E28" s="24">
        <f t="shared" si="13"/>
        <v>1</v>
      </c>
      <c r="F28" s="717"/>
      <c r="G28" s="24">
        <f t="shared" si="14"/>
        <v>1</v>
      </c>
      <c r="H28" s="717"/>
      <c r="I28" s="24">
        <f t="shared" si="15"/>
        <v>1</v>
      </c>
      <c r="J28" s="717"/>
      <c r="K28" s="24">
        <f t="shared" si="16"/>
        <v>1</v>
      </c>
      <c r="L28" s="717"/>
      <c r="M28" s="24">
        <f t="shared" si="17"/>
        <v>1</v>
      </c>
      <c r="N28" s="717"/>
      <c r="O28" s="24">
        <f t="shared" si="18"/>
        <v>1</v>
      </c>
      <c r="P28" s="717" t="s">
        <v>3114</v>
      </c>
      <c r="Q28" s="24">
        <f t="shared" si="19"/>
        <v>0.9</v>
      </c>
      <c r="R28" s="713">
        <f t="shared" ca="1" si="20"/>
        <v>34065</v>
      </c>
      <c r="S28" s="360">
        <f t="shared" ca="1" si="11"/>
        <v>429</v>
      </c>
    </row>
    <row r="29" spans="1:45">
      <c r="A29" s="158" t="str">
        <f>Sheet1!C8</f>
        <v>听锦路67号，听晓路816-820.826.836号（双）</v>
      </c>
      <c r="B29" s="58">
        <f>Sheet1!E8</f>
        <v>4057.57</v>
      </c>
      <c r="C29" s="24">
        <f t="shared" si="12"/>
        <v>0.95</v>
      </c>
      <c r="D29" s="717" t="s">
        <v>3106</v>
      </c>
      <c r="E29" s="24">
        <f t="shared" si="13"/>
        <v>1.1499999999999999</v>
      </c>
      <c r="F29" s="717"/>
      <c r="G29" s="24">
        <f t="shared" si="14"/>
        <v>1</v>
      </c>
      <c r="H29" s="717"/>
      <c r="I29" s="24">
        <f t="shared" si="15"/>
        <v>1</v>
      </c>
      <c r="J29" s="717"/>
      <c r="K29" s="24">
        <f t="shared" si="16"/>
        <v>1</v>
      </c>
      <c r="L29" s="717"/>
      <c r="M29" s="24">
        <f t="shared" si="17"/>
        <v>1</v>
      </c>
      <c r="N29" s="717"/>
      <c r="O29" s="24">
        <f t="shared" si="18"/>
        <v>1</v>
      </c>
      <c r="P29" s="717" t="s">
        <v>3115</v>
      </c>
      <c r="Q29" s="24">
        <f t="shared" si="19"/>
        <v>0.82</v>
      </c>
      <c r="R29" s="713">
        <f t="shared" ca="1" si="20"/>
        <v>33908</v>
      </c>
      <c r="S29" s="360">
        <f t="shared" ca="1" si="11"/>
        <v>13758</v>
      </c>
    </row>
    <row r="30" spans="1:45">
      <c r="A30" s="158" t="str">
        <f>Sheet1!C10</f>
        <v>听民路909-921.925单号</v>
      </c>
      <c r="B30" s="2970">
        <f>Sheet1!E10</f>
        <v>391.06</v>
      </c>
      <c r="C30" s="24">
        <f t="shared" si="12"/>
        <v>0.99</v>
      </c>
      <c r="D30" s="717" t="s">
        <v>3108</v>
      </c>
      <c r="E30" s="24">
        <f t="shared" si="13"/>
        <v>1</v>
      </c>
      <c r="F30" s="717"/>
      <c r="G30" s="24">
        <f t="shared" si="14"/>
        <v>1</v>
      </c>
      <c r="H30" s="717"/>
      <c r="I30" s="24">
        <f t="shared" si="15"/>
        <v>1</v>
      </c>
      <c r="J30" s="717"/>
      <c r="K30" s="24">
        <f t="shared" si="16"/>
        <v>1</v>
      </c>
      <c r="L30" s="717"/>
      <c r="M30" s="24">
        <f t="shared" si="17"/>
        <v>1</v>
      </c>
      <c r="N30" s="717"/>
      <c r="O30" s="24">
        <f t="shared" si="18"/>
        <v>1</v>
      </c>
      <c r="P30" s="717" t="s">
        <v>3102</v>
      </c>
      <c r="Q30" s="24">
        <f t="shared" si="19"/>
        <v>1</v>
      </c>
      <c r="R30" s="713">
        <f t="shared" ca="1" si="20"/>
        <v>37472</v>
      </c>
      <c r="S30" s="360">
        <f t="shared" ca="1" si="11"/>
        <v>1465</v>
      </c>
    </row>
    <row r="31" spans="1:45">
      <c r="A31" s="158" t="str">
        <f>Sheet1!C11</f>
        <v>听锦路46-52号（双)</v>
      </c>
      <c r="B31" s="58">
        <f>Sheet1!E11</f>
        <v>198.69</v>
      </c>
      <c r="C31" s="24">
        <f t="shared" si="12"/>
        <v>1</v>
      </c>
      <c r="D31" s="717" t="s">
        <v>3108</v>
      </c>
      <c r="E31" s="24">
        <f t="shared" si="13"/>
        <v>1</v>
      </c>
      <c r="F31" s="717"/>
      <c r="G31" s="24">
        <f t="shared" si="14"/>
        <v>1</v>
      </c>
      <c r="H31" s="717"/>
      <c r="I31" s="24">
        <f t="shared" si="15"/>
        <v>1</v>
      </c>
      <c r="J31" s="717"/>
      <c r="K31" s="24">
        <f t="shared" si="16"/>
        <v>1</v>
      </c>
      <c r="L31" s="717"/>
      <c r="M31" s="24">
        <f t="shared" si="17"/>
        <v>1</v>
      </c>
      <c r="N31" s="717"/>
      <c r="O31" s="24">
        <f t="shared" si="18"/>
        <v>1</v>
      </c>
      <c r="P31" s="717" t="s">
        <v>3114</v>
      </c>
      <c r="Q31" s="24">
        <f t="shared" si="19"/>
        <v>0.9</v>
      </c>
      <c r="R31" s="713">
        <f t="shared" ca="1" si="20"/>
        <v>34065</v>
      </c>
      <c r="S31" s="360">
        <f t="shared" ca="1" si="11"/>
        <v>677</v>
      </c>
    </row>
    <row r="32" spans="1:45">
      <c r="A32" s="158" t="str">
        <f>Sheet1!C12</f>
        <v>听惠路921-925.929号（单）</v>
      </c>
      <c r="B32" s="58">
        <f>Sheet1!E12</f>
        <v>252.28</v>
      </c>
      <c r="C32" s="24">
        <f t="shared" si="12"/>
        <v>1</v>
      </c>
      <c r="D32" s="717" t="s">
        <v>3108</v>
      </c>
      <c r="E32" s="24">
        <f t="shared" si="13"/>
        <v>1</v>
      </c>
      <c r="F32" s="717"/>
      <c r="G32" s="24">
        <f t="shared" si="14"/>
        <v>1</v>
      </c>
      <c r="H32" s="717"/>
      <c r="I32" s="24">
        <f t="shared" si="15"/>
        <v>1</v>
      </c>
      <c r="J32" s="717"/>
      <c r="K32" s="24">
        <f t="shared" si="16"/>
        <v>1</v>
      </c>
      <c r="L32" s="717"/>
      <c r="M32" s="24">
        <f t="shared" si="17"/>
        <v>1</v>
      </c>
      <c r="N32" s="717"/>
      <c r="O32" s="24">
        <f t="shared" si="18"/>
        <v>1</v>
      </c>
      <c r="P32" s="717" t="s">
        <v>3114</v>
      </c>
      <c r="Q32" s="24">
        <f t="shared" si="19"/>
        <v>0.9</v>
      </c>
      <c r="R32" s="713">
        <f t="shared" ca="1" si="20"/>
        <v>34065</v>
      </c>
      <c r="S32" s="360">
        <f t="shared" ca="1" si="11"/>
        <v>859</v>
      </c>
    </row>
    <row r="33" spans="1:19">
      <c r="A33" s="158" t="str">
        <f>Sheet1!C13</f>
        <v>听锦路64.66.70.72.76号</v>
      </c>
      <c r="B33" s="58">
        <f>Sheet1!E13</f>
        <v>4563.7</v>
      </c>
      <c r="C33" s="24">
        <f t="shared" si="12"/>
        <v>0.95</v>
      </c>
      <c r="D33" s="717" t="s">
        <v>3106</v>
      </c>
      <c r="E33" s="24">
        <f t="shared" si="13"/>
        <v>1.1499999999999999</v>
      </c>
      <c r="F33" s="717"/>
      <c r="G33" s="24">
        <f t="shared" si="14"/>
        <v>1</v>
      </c>
      <c r="H33" s="717"/>
      <c r="I33" s="24">
        <f t="shared" si="15"/>
        <v>1</v>
      </c>
      <c r="J33" s="717"/>
      <c r="K33" s="24">
        <f t="shared" si="16"/>
        <v>1</v>
      </c>
      <c r="L33" s="717"/>
      <c r="M33" s="24">
        <f t="shared" si="17"/>
        <v>1</v>
      </c>
      <c r="N33" s="717"/>
      <c r="O33" s="24">
        <f t="shared" si="18"/>
        <v>1</v>
      </c>
      <c r="P33" s="717" t="s">
        <v>3115</v>
      </c>
      <c r="Q33" s="24">
        <f t="shared" si="19"/>
        <v>0.82</v>
      </c>
      <c r="R33" s="713">
        <f t="shared" ca="1" si="20"/>
        <v>33908</v>
      </c>
      <c r="S33" s="360">
        <f t="shared" ca="1" si="11"/>
        <v>15475</v>
      </c>
    </row>
    <row r="34" spans="1:19">
      <c r="A34" s="158" t="str">
        <f>Sheet1!C14</f>
        <v>听锦路24-28号（双）</v>
      </c>
      <c r="B34" s="58">
        <f>Sheet1!E14</f>
        <v>169.35</v>
      </c>
      <c r="C34" s="24">
        <f t="shared" si="12"/>
        <v>1</v>
      </c>
      <c r="D34" s="717" t="s">
        <v>3108</v>
      </c>
      <c r="E34" s="24">
        <f t="shared" si="13"/>
        <v>1</v>
      </c>
      <c r="F34" s="717"/>
      <c r="G34" s="24">
        <f t="shared" si="14"/>
        <v>1</v>
      </c>
      <c r="H34" s="717"/>
      <c r="I34" s="24">
        <f t="shared" si="15"/>
        <v>1</v>
      </c>
      <c r="J34" s="717"/>
      <c r="K34" s="24">
        <f t="shared" si="16"/>
        <v>1</v>
      </c>
      <c r="L34" s="717"/>
      <c r="M34" s="24">
        <f t="shared" si="17"/>
        <v>1</v>
      </c>
      <c r="N34" s="717"/>
      <c r="O34" s="24">
        <f t="shared" si="18"/>
        <v>1</v>
      </c>
      <c r="P34" s="717" t="s">
        <v>3114</v>
      </c>
      <c r="Q34" s="24">
        <f t="shared" si="19"/>
        <v>0.9</v>
      </c>
      <c r="R34" s="713">
        <f t="shared" ca="1" si="20"/>
        <v>34065</v>
      </c>
      <c r="S34" s="360">
        <f t="shared" ca="1" si="11"/>
        <v>577</v>
      </c>
    </row>
    <row r="35" spans="1:19">
      <c r="A35" s="158" t="str">
        <f>Sheet1!C15</f>
        <v>听惠路945.945-953号（单）</v>
      </c>
      <c r="B35" s="58">
        <f>Sheet1!E15</f>
        <v>3280.14</v>
      </c>
      <c r="C35" s="24">
        <f t="shared" si="12"/>
        <v>0.96</v>
      </c>
      <c r="D35" s="717" t="s">
        <v>3106</v>
      </c>
      <c r="E35" s="24">
        <f t="shared" si="13"/>
        <v>1.1499999999999999</v>
      </c>
      <c r="F35" s="717"/>
      <c r="G35" s="24">
        <f t="shared" si="14"/>
        <v>1</v>
      </c>
      <c r="H35" s="717"/>
      <c r="I35" s="24">
        <f t="shared" si="15"/>
        <v>1</v>
      </c>
      <c r="J35" s="717"/>
      <c r="K35" s="24">
        <f t="shared" si="16"/>
        <v>1</v>
      </c>
      <c r="L35" s="717"/>
      <c r="M35" s="24">
        <f t="shared" si="17"/>
        <v>1</v>
      </c>
      <c r="N35" s="717"/>
      <c r="O35" s="24">
        <f t="shared" si="18"/>
        <v>1</v>
      </c>
      <c r="P35" s="717" t="s">
        <v>3115</v>
      </c>
      <c r="Q35" s="24">
        <f t="shared" si="19"/>
        <v>0.82</v>
      </c>
      <c r="R35" s="713">
        <f t="shared" ca="1" si="20"/>
        <v>34265</v>
      </c>
      <c r="S35" s="360">
        <f t="shared" ca="1" si="11"/>
        <v>11239</v>
      </c>
    </row>
    <row r="36" spans="1:19">
      <c r="A36" s="158" t="str">
        <f>Sheet1!C17</f>
        <v>听晓路690-694.698-704号（双）</v>
      </c>
      <c r="B36" s="58">
        <f>Sheet1!E17</f>
        <v>1062.28</v>
      </c>
      <c r="C36" s="24">
        <f t="shared" si="12"/>
        <v>0.98</v>
      </c>
      <c r="D36" s="717" t="s">
        <v>3108</v>
      </c>
      <c r="E36" s="24">
        <f t="shared" si="13"/>
        <v>1</v>
      </c>
      <c r="F36" s="717"/>
      <c r="G36" s="24">
        <f t="shared" si="14"/>
        <v>1</v>
      </c>
      <c r="H36" s="717"/>
      <c r="I36" s="24">
        <f t="shared" si="15"/>
        <v>1</v>
      </c>
      <c r="J36" s="717"/>
      <c r="K36" s="24">
        <f t="shared" si="16"/>
        <v>1</v>
      </c>
      <c r="L36" s="717"/>
      <c r="M36" s="24">
        <f t="shared" si="17"/>
        <v>1</v>
      </c>
      <c r="N36" s="717"/>
      <c r="O36" s="24">
        <f t="shared" si="18"/>
        <v>1</v>
      </c>
      <c r="P36" s="717" t="s">
        <v>3114</v>
      </c>
      <c r="Q36" s="24">
        <f t="shared" si="19"/>
        <v>0.9</v>
      </c>
      <c r="R36" s="713">
        <f t="shared" ca="1" si="20"/>
        <v>33384</v>
      </c>
      <c r="S36" s="360">
        <f t="shared" ca="1" si="11"/>
        <v>3546</v>
      </c>
    </row>
    <row r="37" spans="1:19">
      <c r="A37" s="158" t="str">
        <f>Sheet1!C18</f>
        <v>拱泰路39-47号（单）</v>
      </c>
      <c r="B37" s="58">
        <f>Sheet1!E18</f>
        <v>779.42</v>
      </c>
      <c r="C37" s="24">
        <f t="shared" si="12"/>
        <v>0.99</v>
      </c>
      <c r="D37" s="717" t="s">
        <v>3108</v>
      </c>
      <c r="E37" s="24">
        <f t="shared" si="13"/>
        <v>1</v>
      </c>
      <c r="F37" s="717"/>
      <c r="G37" s="24">
        <f t="shared" si="14"/>
        <v>1</v>
      </c>
      <c r="H37" s="717"/>
      <c r="I37" s="24">
        <f t="shared" si="15"/>
        <v>1</v>
      </c>
      <c r="J37" s="717"/>
      <c r="K37" s="24">
        <f t="shared" si="16"/>
        <v>1</v>
      </c>
      <c r="L37" s="717"/>
      <c r="M37" s="24">
        <f t="shared" si="17"/>
        <v>1</v>
      </c>
      <c r="N37" s="717"/>
      <c r="O37" s="24">
        <f t="shared" si="18"/>
        <v>1</v>
      </c>
      <c r="P37" s="717" t="s">
        <v>3114</v>
      </c>
      <c r="Q37" s="24">
        <f t="shared" si="19"/>
        <v>0.9</v>
      </c>
      <c r="R37" s="713">
        <f t="shared" ca="1" si="20"/>
        <v>33724</v>
      </c>
      <c r="S37" s="360">
        <f t="shared" ca="1" si="11"/>
        <v>2629</v>
      </c>
    </row>
    <row r="38" spans="1:19">
      <c r="A38" s="158" t="str">
        <f>Sheet1!C19</f>
        <v>拱泰路1.5.9.77号</v>
      </c>
      <c r="B38" s="58">
        <f>Sheet1!E19</f>
        <v>767.82</v>
      </c>
      <c r="C38" s="24">
        <f t="shared" si="12"/>
        <v>0.99</v>
      </c>
      <c r="D38" s="717" t="s">
        <v>3108</v>
      </c>
      <c r="E38" s="24">
        <f t="shared" si="13"/>
        <v>1</v>
      </c>
      <c r="F38" s="717"/>
      <c r="G38" s="24">
        <f t="shared" si="14"/>
        <v>1</v>
      </c>
      <c r="H38" s="717"/>
      <c r="I38" s="24">
        <f t="shared" si="15"/>
        <v>1</v>
      </c>
      <c r="J38" s="717"/>
      <c r="K38" s="24">
        <f t="shared" si="16"/>
        <v>1</v>
      </c>
      <c r="L38" s="717"/>
      <c r="M38" s="24">
        <f t="shared" si="17"/>
        <v>1</v>
      </c>
      <c r="N38" s="717"/>
      <c r="O38" s="24">
        <f t="shared" si="18"/>
        <v>1</v>
      </c>
      <c r="P38" s="717" t="s">
        <v>3114</v>
      </c>
      <c r="Q38" s="24">
        <f t="shared" si="19"/>
        <v>0.9</v>
      </c>
      <c r="R38" s="713">
        <f t="shared" ca="1" si="20"/>
        <v>33724</v>
      </c>
      <c r="S38" s="360">
        <f t="shared" ca="1" si="11"/>
        <v>2589</v>
      </c>
    </row>
    <row r="39" spans="1:19">
      <c r="A39" s="158" t="str">
        <f>Sheet1!C20</f>
        <v>听晓路662.666号</v>
      </c>
      <c r="B39" s="58">
        <f>Sheet1!E20</f>
        <v>4363.4399999999996</v>
      </c>
      <c r="C39" s="24">
        <f t="shared" si="12"/>
        <v>0.95</v>
      </c>
      <c r="D39" s="717" t="s">
        <v>3106</v>
      </c>
      <c r="E39" s="24">
        <f t="shared" si="13"/>
        <v>1.1499999999999999</v>
      </c>
      <c r="F39" s="717"/>
      <c r="G39" s="24">
        <f t="shared" si="14"/>
        <v>1</v>
      </c>
      <c r="H39" s="717"/>
      <c r="I39" s="24">
        <f t="shared" si="15"/>
        <v>1</v>
      </c>
      <c r="J39" s="717"/>
      <c r="K39" s="24">
        <f t="shared" si="16"/>
        <v>1</v>
      </c>
      <c r="L39" s="717"/>
      <c r="M39" s="24">
        <f t="shared" si="17"/>
        <v>1</v>
      </c>
      <c r="N39" s="717"/>
      <c r="O39" s="24">
        <f t="shared" si="18"/>
        <v>1</v>
      </c>
      <c r="P39" s="717" t="s">
        <v>3115</v>
      </c>
      <c r="Q39" s="24">
        <f t="shared" si="19"/>
        <v>0.82</v>
      </c>
      <c r="R39" s="713">
        <f t="shared" ca="1" si="20"/>
        <v>33908</v>
      </c>
      <c r="S39" s="360">
        <f t="shared" ca="1" si="11"/>
        <v>14796</v>
      </c>
    </row>
    <row r="40" spans="1:19">
      <c r="A40" s="158" t="str">
        <f>Sheet1!C21</f>
        <v>听晓路712.716.718.722-728（双）号</v>
      </c>
      <c r="B40" s="58">
        <f>Sheet1!E21</f>
        <v>1117.5999999999999</v>
      </c>
      <c r="C40" s="24">
        <f t="shared" si="12"/>
        <v>0.98</v>
      </c>
      <c r="D40" s="717" t="s">
        <v>3108</v>
      </c>
      <c r="E40" s="24">
        <f t="shared" si="13"/>
        <v>1</v>
      </c>
      <c r="F40" s="717"/>
      <c r="G40" s="24">
        <f t="shared" si="14"/>
        <v>1</v>
      </c>
      <c r="H40" s="717"/>
      <c r="I40" s="24">
        <f t="shared" si="15"/>
        <v>1</v>
      </c>
      <c r="J40" s="717"/>
      <c r="K40" s="24">
        <f t="shared" si="16"/>
        <v>1</v>
      </c>
      <c r="L40" s="717"/>
      <c r="M40" s="24">
        <f t="shared" si="17"/>
        <v>1</v>
      </c>
      <c r="N40" s="717"/>
      <c r="O40" s="24">
        <f t="shared" si="18"/>
        <v>1</v>
      </c>
      <c r="P40" s="717" t="s">
        <v>3114</v>
      </c>
      <c r="Q40" s="24">
        <f t="shared" si="19"/>
        <v>0.9</v>
      </c>
      <c r="R40" s="713">
        <f t="shared" ca="1" si="20"/>
        <v>33384</v>
      </c>
      <c r="S40" s="360">
        <f t="shared" ca="1" si="11"/>
        <v>3731</v>
      </c>
    </row>
    <row r="41" spans="1:19">
      <c r="A41" s="158" t="str">
        <f>Sheet1!C22</f>
        <v>听晓路746号，拱泰路63.69号</v>
      </c>
      <c r="B41" s="58">
        <f>Sheet1!E22</f>
        <v>5067.12</v>
      </c>
      <c r="C41" s="24">
        <f t="shared" si="12"/>
        <v>0.95</v>
      </c>
      <c r="D41" s="717" t="s">
        <v>3106</v>
      </c>
      <c r="E41" s="24">
        <f t="shared" si="13"/>
        <v>1.1499999999999999</v>
      </c>
      <c r="F41" s="717"/>
      <c r="G41" s="24">
        <f t="shared" si="14"/>
        <v>1</v>
      </c>
      <c r="H41" s="717"/>
      <c r="I41" s="24">
        <f t="shared" si="15"/>
        <v>1</v>
      </c>
      <c r="J41" s="717"/>
      <c r="K41" s="24">
        <f t="shared" si="16"/>
        <v>1</v>
      </c>
      <c r="L41" s="717"/>
      <c r="M41" s="24">
        <f t="shared" si="17"/>
        <v>1</v>
      </c>
      <c r="N41" s="717"/>
      <c r="O41" s="24">
        <f t="shared" si="18"/>
        <v>1</v>
      </c>
      <c r="P41" s="717" t="s">
        <v>3115</v>
      </c>
      <c r="Q41" s="24">
        <f t="shared" si="19"/>
        <v>0.82</v>
      </c>
      <c r="R41" s="713">
        <f t="shared" ca="1" si="20"/>
        <v>33908</v>
      </c>
      <c r="S41" s="360">
        <f t="shared" ca="1" si="11"/>
        <v>17182</v>
      </c>
    </row>
    <row r="42" spans="1:19">
      <c r="A42" s="158"/>
      <c r="B42" s="58"/>
      <c r="C42" s="24">
        <f t="shared" si="12"/>
        <v>1</v>
      </c>
      <c r="D42" s="717"/>
      <c r="E42" s="24">
        <f t="shared" si="13"/>
        <v>0.15</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0">
        <f t="shared" si="11"/>
        <v>0</v>
      </c>
    </row>
    <row r="43" spans="1:19">
      <c r="A43" s="158"/>
      <c r="B43" s="58"/>
      <c r="C43" s="24">
        <f t="shared" si="12"/>
        <v>1</v>
      </c>
      <c r="D43" s="717"/>
      <c r="E43" s="24">
        <f t="shared" si="13"/>
        <v>0.15</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0">
        <f t="shared" si="11"/>
        <v>0</v>
      </c>
    </row>
    <row r="44" spans="1:19">
      <c r="A44" s="158"/>
      <c r="B44" s="58"/>
      <c r="C44" s="24">
        <f t="shared" si="12"/>
        <v>1</v>
      </c>
      <c r="D44" s="717"/>
      <c r="E44" s="24">
        <f t="shared" si="13"/>
        <v>0.15</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0">
        <f t="shared" si="11"/>
        <v>0</v>
      </c>
    </row>
    <row r="45" spans="1:19">
      <c r="A45" s="158"/>
      <c r="B45" s="58"/>
      <c r="C45" s="24">
        <f t="shared" si="12"/>
        <v>1</v>
      </c>
      <c r="D45" s="717"/>
      <c r="E45" s="24">
        <f t="shared" si="13"/>
        <v>0.15</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0">
        <f t="shared" si="11"/>
        <v>0</v>
      </c>
    </row>
    <row r="46" spans="1:19">
      <c r="A46" s="158"/>
      <c r="B46" s="58"/>
      <c r="C46" s="24">
        <f t="shared" si="12"/>
        <v>1</v>
      </c>
      <c r="D46" s="717"/>
      <c r="E46" s="24">
        <f t="shared" si="13"/>
        <v>0.15</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0">
        <f t="shared" si="11"/>
        <v>0</v>
      </c>
    </row>
    <row r="47" spans="1:19">
      <c r="A47" s="158"/>
      <c r="B47" s="58"/>
      <c r="C47" s="24">
        <f t="shared" si="12"/>
        <v>1</v>
      </c>
      <c r="D47" s="717"/>
      <c r="E47" s="24">
        <f t="shared" si="13"/>
        <v>0.15</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0">
        <f t="shared" si="11"/>
        <v>0</v>
      </c>
    </row>
    <row r="48" spans="1:19">
      <c r="A48" s="158"/>
      <c r="B48" s="58"/>
      <c r="C48" s="24">
        <f t="shared" si="12"/>
        <v>1</v>
      </c>
      <c r="D48" s="717"/>
      <c r="E48" s="24">
        <f t="shared" si="13"/>
        <v>0.15</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0">
        <f t="shared" si="11"/>
        <v>0</v>
      </c>
    </row>
    <row r="49" spans="1:19">
      <c r="A49" s="158"/>
      <c r="B49" s="58"/>
      <c r="C49" s="24">
        <f t="shared" si="12"/>
        <v>1</v>
      </c>
      <c r="D49" s="717"/>
      <c r="E49" s="24">
        <f t="shared" si="13"/>
        <v>0.15</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0">
        <f t="shared" si="11"/>
        <v>0</v>
      </c>
    </row>
    <row r="50" spans="1:19">
      <c r="A50" s="158"/>
      <c r="B50" s="58"/>
      <c r="C50" s="24">
        <f t="shared" si="12"/>
        <v>1</v>
      </c>
      <c r="D50" s="717"/>
      <c r="E50" s="24">
        <f t="shared" si="13"/>
        <v>0.15</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0">
        <f t="shared" si="11"/>
        <v>0</v>
      </c>
    </row>
    <row r="51" spans="1:19">
      <c r="A51" s="158"/>
      <c r="B51" s="58"/>
      <c r="C51" s="24">
        <f t="shared" si="12"/>
        <v>1</v>
      </c>
      <c r="D51" s="717"/>
      <c r="E51" s="24">
        <f t="shared" si="13"/>
        <v>0.15</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0">
        <f t="shared" si="11"/>
        <v>0</v>
      </c>
    </row>
    <row r="52" spans="1:19">
      <c r="A52" s="158"/>
      <c r="B52" s="58"/>
      <c r="C52" s="24">
        <f t="shared" si="12"/>
        <v>1</v>
      </c>
      <c r="D52" s="717"/>
      <c r="E52" s="24">
        <f t="shared" si="13"/>
        <v>0.15</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0">
        <f t="shared" si="11"/>
        <v>0</v>
      </c>
    </row>
    <row r="53" spans="1:19">
      <c r="A53" s="158"/>
      <c r="B53" s="58"/>
      <c r="C53" s="24">
        <f t="shared" si="12"/>
        <v>1</v>
      </c>
      <c r="D53" s="717"/>
      <c r="E53" s="24">
        <f t="shared" si="13"/>
        <v>0.15</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0">
        <f t="shared" si="11"/>
        <v>0</v>
      </c>
    </row>
    <row r="54" spans="1:19">
      <c r="A54" s="158"/>
      <c r="B54" s="58"/>
      <c r="C54" s="24">
        <f t="shared" si="12"/>
        <v>1</v>
      </c>
      <c r="D54" s="717"/>
      <c r="E54" s="24">
        <f t="shared" si="13"/>
        <v>0.15</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0">
        <f t="shared" si="11"/>
        <v>0</v>
      </c>
    </row>
    <row r="55" spans="1:19">
      <c r="A55" s="158"/>
      <c r="B55" s="58"/>
      <c r="C55" s="24">
        <f t="shared" si="12"/>
        <v>1</v>
      </c>
      <c r="D55" s="717"/>
      <c r="E55" s="24">
        <f t="shared" si="13"/>
        <v>0.15</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0">
        <f t="shared" ref="S55:S77" si="21">ROUND(R55*B55/10000,0)</f>
        <v>0</v>
      </c>
    </row>
    <row r="56" spans="1:19">
      <c r="A56" s="158"/>
      <c r="B56" s="58"/>
      <c r="C56" s="24">
        <f t="shared" si="12"/>
        <v>1</v>
      </c>
      <c r="D56" s="717"/>
      <c r="E56" s="24">
        <f t="shared" si="13"/>
        <v>0.15</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0">
        <f t="shared" si="21"/>
        <v>0</v>
      </c>
    </row>
    <row r="57" spans="1:19">
      <c r="A57" s="158"/>
      <c r="B57" s="58"/>
      <c r="C57" s="24">
        <f t="shared" si="12"/>
        <v>1</v>
      </c>
      <c r="D57" s="717"/>
      <c r="E57" s="24">
        <f t="shared" si="13"/>
        <v>0.15</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0">
        <f t="shared" si="21"/>
        <v>0</v>
      </c>
    </row>
    <row r="58" spans="1:19">
      <c r="A58" s="158"/>
      <c r="B58" s="58"/>
      <c r="C58" s="24">
        <f t="shared" si="12"/>
        <v>1</v>
      </c>
      <c r="D58" s="717"/>
      <c r="E58" s="24">
        <f t="shared" si="13"/>
        <v>0.15</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0">
        <f t="shared" si="21"/>
        <v>0</v>
      </c>
    </row>
    <row r="59" spans="1:19">
      <c r="A59" s="158"/>
      <c r="B59" s="58"/>
      <c r="C59" s="24">
        <f t="shared" si="12"/>
        <v>1</v>
      </c>
      <c r="D59" s="717"/>
      <c r="E59" s="24">
        <f t="shared" si="13"/>
        <v>0.15</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0">
        <f t="shared" si="21"/>
        <v>0</v>
      </c>
    </row>
    <row r="60" spans="1:19">
      <c r="A60" s="158"/>
      <c r="B60" s="58"/>
      <c r="C60" s="24">
        <f t="shared" si="12"/>
        <v>1</v>
      </c>
      <c r="D60" s="717"/>
      <c r="E60" s="24">
        <f t="shared" si="13"/>
        <v>0.15</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0">
        <f t="shared" si="21"/>
        <v>0</v>
      </c>
    </row>
    <row r="61" spans="1:19">
      <c r="A61" s="158"/>
      <c r="B61" s="58"/>
      <c r="C61" s="24">
        <f t="shared" si="12"/>
        <v>1</v>
      </c>
      <c r="D61" s="717"/>
      <c r="E61" s="24">
        <f t="shared" si="13"/>
        <v>0.15</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0">
        <f t="shared" si="21"/>
        <v>0</v>
      </c>
    </row>
    <row r="62" spans="1:19">
      <c r="A62" s="158"/>
      <c r="B62" s="58"/>
      <c r="C62" s="24">
        <f t="shared" si="12"/>
        <v>1</v>
      </c>
      <c r="D62" s="717"/>
      <c r="E62" s="24">
        <f t="shared" si="13"/>
        <v>0.15</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8"/>
      <c r="C63" s="24">
        <f t="shared" si="12"/>
        <v>1</v>
      </c>
      <c r="D63" s="717"/>
      <c r="E63" s="24">
        <f t="shared" si="13"/>
        <v>0.15</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8"/>
      <c r="C64" s="24">
        <f t="shared" si="12"/>
        <v>1</v>
      </c>
      <c r="D64" s="717"/>
      <c r="E64" s="24">
        <f t="shared" si="13"/>
        <v>0.15</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8"/>
      <c r="C65" s="24">
        <f t="shared" si="12"/>
        <v>1</v>
      </c>
      <c r="D65" s="717"/>
      <c r="E65" s="24">
        <f t="shared" si="13"/>
        <v>0.15</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8"/>
      <c r="C66" s="24">
        <f t="shared" si="12"/>
        <v>1</v>
      </c>
      <c r="D66" s="717"/>
      <c r="E66" s="24">
        <f t="shared" si="13"/>
        <v>0.15</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8"/>
      <c r="C67" s="24">
        <f t="shared" si="12"/>
        <v>1</v>
      </c>
      <c r="D67" s="717"/>
      <c r="E67" s="24">
        <f t="shared" si="13"/>
        <v>0.15</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8"/>
      <c r="C68" s="24">
        <f t="shared" si="12"/>
        <v>1</v>
      </c>
      <c r="D68" s="717"/>
      <c r="E68" s="24">
        <f t="shared" si="13"/>
        <v>0.15</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8"/>
      <c r="C69" s="24">
        <f t="shared" si="12"/>
        <v>1</v>
      </c>
      <c r="D69" s="717"/>
      <c r="E69" s="24">
        <f t="shared" si="13"/>
        <v>0.15</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8"/>
      <c r="C70" s="24">
        <f t="shared" si="12"/>
        <v>1</v>
      </c>
      <c r="D70" s="717"/>
      <c r="E70" s="24">
        <f t="shared" si="13"/>
        <v>0.15</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8"/>
      <c r="C71" s="24">
        <f t="shared" si="12"/>
        <v>1</v>
      </c>
      <c r="D71" s="717"/>
      <c r="E71" s="24">
        <f t="shared" si="13"/>
        <v>0.15</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8"/>
      <c r="C72" s="24">
        <f t="shared" si="12"/>
        <v>1</v>
      </c>
      <c r="D72" s="717"/>
      <c r="E72" s="24">
        <f t="shared" si="13"/>
        <v>0.15</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8"/>
      <c r="C73" s="24">
        <f t="shared" si="12"/>
        <v>1</v>
      </c>
      <c r="D73" s="717"/>
      <c r="E73" s="24">
        <f t="shared" si="13"/>
        <v>0.15</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8"/>
      <c r="C74" s="24">
        <f t="shared" si="12"/>
        <v>1</v>
      </c>
      <c r="D74" s="717"/>
      <c r="E74" s="24">
        <f t="shared" si="13"/>
        <v>0.15</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8"/>
      <c r="C75" s="24">
        <f t="shared" si="12"/>
        <v>1</v>
      </c>
      <c r="D75" s="717"/>
      <c r="E75" s="24">
        <f t="shared" si="13"/>
        <v>0.15</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8"/>
      <c r="C76" s="24">
        <f t="shared" si="12"/>
        <v>1</v>
      </c>
      <c r="D76" s="717"/>
      <c r="E76" s="24">
        <f t="shared" si="13"/>
        <v>0.15</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8"/>
      <c r="C77" s="24">
        <f t="shared" si="12"/>
        <v>1</v>
      </c>
      <c r="D77" s="717"/>
      <c r="E77" s="24">
        <f t="shared" si="13"/>
        <v>0.15</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8"/>
      <c r="C78" s="24">
        <f t="shared" si="12"/>
        <v>1</v>
      </c>
      <c r="D78" s="717"/>
      <c r="E78" s="24">
        <f t="shared" si="13"/>
        <v>0.15</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8"/>
      <c r="C79" s="24">
        <f t="shared" si="12"/>
        <v>1</v>
      </c>
      <c r="D79" s="717"/>
      <c r="E79" s="24">
        <f t="shared" si="13"/>
        <v>0.15</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8"/>
      <c r="C80" s="24">
        <f t="shared" si="12"/>
        <v>1</v>
      </c>
      <c r="D80" s="717"/>
      <c r="E80" s="24">
        <f t="shared" si="13"/>
        <v>0.15</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8"/>
      <c r="C81" s="24">
        <f t="shared" si="12"/>
        <v>1</v>
      </c>
      <c r="D81" s="717"/>
      <c r="E81" s="24">
        <f t="shared" si="13"/>
        <v>0.15</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8"/>
      <c r="C82" s="24">
        <f t="shared" si="12"/>
        <v>1</v>
      </c>
      <c r="D82" s="717"/>
      <c r="E82" s="24">
        <f t="shared" si="13"/>
        <v>0.15</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8"/>
      <c r="C83" s="24">
        <f t="shared" si="12"/>
        <v>1</v>
      </c>
      <c r="D83" s="717"/>
      <c r="E83" s="24">
        <f t="shared" si="13"/>
        <v>0.15</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8"/>
      <c r="C84" s="24">
        <f t="shared" si="12"/>
        <v>1</v>
      </c>
      <c r="D84" s="717"/>
      <c r="E84" s="24">
        <f t="shared" si="13"/>
        <v>0.15</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8"/>
      <c r="C85" s="24">
        <f t="shared" si="12"/>
        <v>1</v>
      </c>
      <c r="D85" s="717"/>
      <c r="E85" s="24">
        <f t="shared" si="13"/>
        <v>0.15</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8"/>
      <c r="C86" s="24">
        <f t="shared" si="12"/>
        <v>1</v>
      </c>
      <c r="D86" s="717"/>
      <c r="E86" s="24">
        <f t="shared" si="13"/>
        <v>0.15</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8"/>
      <c r="C87" s="24">
        <f t="shared" si="12"/>
        <v>1</v>
      </c>
      <c r="D87" s="717"/>
      <c r="E87" s="24">
        <f t="shared" si="13"/>
        <v>0.15</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8"/>
      <c r="C88" s="24">
        <f t="shared" si="12"/>
        <v>1</v>
      </c>
      <c r="D88" s="717"/>
      <c r="E88" s="24">
        <f t="shared" si="13"/>
        <v>0.15</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8"/>
      <c r="C89" s="24">
        <f t="shared" si="12"/>
        <v>1</v>
      </c>
      <c r="D89" s="717"/>
      <c r="E89" s="24">
        <f t="shared" si="13"/>
        <v>0.15</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8"/>
      <c r="C90" s="24">
        <f t="shared" ref="C90:C153" si="23">IF(B90="",1,(LOOKUP(B90,$3:$3,$4:$4)-LOOKUP($B$24,$3:$3,$4:$4)+100)/100)</f>
        <v>1</v>
      </c>
      <c r="D90" s="717"/>
      <c r="E90" s="24">
        <f t="shared" ref="E90:E153" si="24">(SUMIF($5:$5,D90,$6:$6)-SUMIF($5:$5,$D$24,$6:$6)+100)/100</f>
        <v>0.15</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8"/>
      <c r="C91" s="24">
        <f t="shared" si="23"/>
        <v>1</v>
      </c>
      <c r="D91" s="717"/>
      <c r="E91" s="24">
        <f t="shared" si="24"/>
        <v>0.15</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8"/>
      <c r="C92" s="24">
        <f t="shared" si="23"/>
        <v>1</v>
      </c>
      <c r="D92" s="717"/>
      <c r="E92" s="24">
        <f t="shared" si="24"/>
        <v>0.15</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8"/>
      <c r="C93" s="24">
        <f t="shared" si="23"/>
        <v>1</v>
      </c>
      <c r="D93" s="717"/>
      <c r="E93" s="24">
        <f t="shared" si="24"/>
        <v>0.15</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8"/>
      <c r="C94" s="24">
        <f t="shared" si="23"/>
        <v>1</v>
      </c>
      <c r="D94" s="717"/>
      <c r="E94" s="24">
        <f t="shared" si="24"/>
        <v>0.15</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8"/>
      <c r="C95" s="24">
        <f t="shared" si="23"/>
        <v>1</v>
      </c>
      <c r="D95" s="717"/>
      <c r="E95" s="24">
        <f t="shared" si="24"/>
        <v>0.15</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8"/>
      <c r="C96" s="24">
        <f t="shared" si="23"/>
        <v>1</v>
      </c>
      <c r="D96" s="717"/>
      <c r="E96" s="24">
        <f t="shared" si="24"/>
        <v>0.15</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8"/>
      <c r="C97" s="24">
        <f t="shared" si="23"/>
        <v>1</v>
      </c>
      <c r="D97" s="717"/>
      <c r="E97" s="24">
        <f t="shared" si="24"/>
        <v>0.15</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8"/>
      <c r="C98" s="24">
        <f t="shared" si="23"/>
        <v>1</v>
      </c>
      <c r="D98" s="717"/>
      <c r="E98" s="24">
        <f t="shared" si="24"/>
        <v>0.15</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8"/>
      <c r="C99" s="24">
        <f t="shared" si="23"/>
        <v>1</v>
      </c>
      <c r="D99" s="717"/>
      <c r="E99" s="24">
        <f t="shared" si="24"/>
        <v>0.15</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8"/>
      <c r="C100" s="24">
        <f t="shared" si="23"/>
        <v>1</v>
      </c>
      <c r="D100" s="717"/>
      <c r="E100" s="24">
        <f t="shared" si="24"/>
        <v>0.15</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8"/>
      <c r="C101" s="24">
        <f t="shared" si="23"/>
        <v>1</v>
      </c>
      <c r="D101" s="717"/>
      <c r="E101" s="24">
        <f t="shared" si="24"/>
        <v>0.15</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8"/>
      <c r="C102" s="24">
        <f t="shared" si="23"/>
        <v>1</v>
      </c>
      <c r="D102" s="717"/>
      <c r="E102" s="24">
        <f t="shared" si="24"/>
        <v>0.15</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8"/>
      <c r="C103" s="24">
        <f t="shared" si="23"/>
        <v>1</v>
      </c>
      <c r="D103" s="717"/>
      <c r="E103" s="24">
        <f t="shared" si="24"/>
        <v>0.15</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8"/>
      <c r="C104" s="24">
        <f t="shared" si="23"/>
        <v>1</v>
      </c>
      <c r="D104" s="717"/>
      <c r="E104" s="24">
        <f t="shared" si="24"/>
        <v>0.15</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8"/>
      <c r="C105" s="24">
        <f t="shared" si="23"/>
        <v>1</v>
      </c>
      <c r="D105" s="717"/>
      <c r="E105" s="24">
        <f t="shared" si="24"/>
        <v>0.15</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8"/>
      <c r="C106" s="24">
        <f t="shared" si="23"/>
        <v>1</v>
      </c>
      <c r="D106" s="717"/>
      <c r="E106" s="24">
        <f t="shared" si="24"/>
        <v>0.15</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8"/>
      <c r="C107" s="24">
        <f t="shared" si="23"/>
        <v>1</v>
      </c>
      <c r="D107" s="717"/>
      <c r="E107" s="24">
        <f t="shared" si="24"/>
        <v>0.15</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8"/>
      <c r="C108" s="24">
        <f t="shared" si="23"/>
        <v>1</v>
      </c>
      <c r="D108" s="717"/>
      <c r="E108" s="24">
        <f t="shared" si="24"/>
        <v>0.15</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8"/>
      <c r="C109" s="24">
        <f t="shared" si="23"/>
        <v>1</v>
      </c>
      <c r="D109" s="717"/>
      <c r="E109" s="24">
        <f t="shared" si="24"/>
        <v>0.15</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8"/>
      <c r="C110" s="24">
        <f t="shared" si="23"/>
        <v>1</v>
      </c>
      <c r="D110" s="717"/>
      <c r="E110" s="24">
        <f t="shared" si="24"/>
        <v>0.15</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8"/>
      <c r="C111" s="24">
        <f t="shared" si="23"/>
        <v>1</v>
      </c>
      <c r="D111" s="717"/>
      <c r="E111" s="24">
        <f t="shared" si="24"/>
        <v>0.15</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8"/>
      <c r="C112" s="24">
        <f t="shared" si="23"/>
        <v>1</v>
      </c>
      <c r="D112" s="717"/>
      <c r="E112" s="24">
        <f t="shared" si="24"/>
        <v>0.15</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8"/>
      <c r="C113" s="24">
        <f t="shared" si="23"/>
        <v>1</v>
      </c>
      <c r="D113" s="717"/>
      <c r="E113" s="24">
        <f t="shared" si="24"/>
        <v>0.15</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8"/>
      <c r="C114" s="24">
        <f t="shared" si="23"/>
        <v>1</v>
      </c>
      <c r="D114" s="717"/>
      <c r="E114" s="24">
        <f t="shared" si="24"/>
        <v>0.15</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8"/>
      <c r="C115" s="24">
        <f t="shared" si="23"/>
        <v>1</v>
      </c>
      <c r="D115" s="717"/>
      <c r="E115" s="24">
        <f t="shared" si="24"/>
        <v>0.15</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8"/>
      <c r="C116" s="24">
        <f t="shared" si="23"/>
        <v>1</v>
      </c>
      <c r="D116" s="717"/>
      <c r="E116" s="24">
        <f t="shared" si="24"/>
        <v>0.15</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8"/>
      <c r="C117" s="24">
        <f t="shared" si="23"/>
        <v>1</v>
      </c>
      <c r="D117" s="717"/>
      <c r="E117" s="24">
        <f t="shared" si="24"/>
        <v>0.15</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8"/>
      <c r="C118" s="24">
        <f t="shared" si="23"/>
        <v>1</v>
      </c>
      <c r="D118" s="717"/>
      <c r="E118" s="24">
        <f t="shared" si="24"/>
        <v>0.15</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8"/>
      <c r="C119" s="24">
        <f t="shared" si="23"/>
        <v>1</v>
      </c>
      <c r="D119" s="717"/>
      <c r="E119" s="24">
        <f t="shared" si="24"/>
        <v>0.15</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8"/>
      <c r="C120" s="24">
        <f t="shared" si="23"/>
        <v>1</v>
      </c>
      <c r="D120" s="717"/>
      <c r="E120" s="24">
        <f t="shared" si="24"/>
        <v>0.15</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8"/>
      <c r="C121" s="24">
        <f t="shared" si="23"/>
        <v>1</v>
      </c>
      <c r="D121" s="717"/>
      <c r="E121" s="24">
        <f t="shared" si="24"/>
        <v>0.15</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8"/>
      <c r="C122" s="24">
        <f t="shared" si="23"/>
        <v>1</v>
      </c>
      <c r="D122" s="717"/>
      <c r="E122" s="24">
        <f t="shared" si="24"/>
        <v>0.15</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8"/>
      <c r="C123" s="24">
        <f t="shared" si="23"/>
        <v>1</v>
      </c>
      <c r="D123" s="717"/>
      <c r="E123" s="24">
        <f t="shared" si="24"/>
        <v>0.15</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8"/>
      <c r="C124" s="24">
        <f t="shared" si="23"/>
        <v>1</v>
      </c>
      <c r="D124" s="717"/>
      <c r="E124" s="24">
        <f t="shared" si="24"/>
        <v>0.15</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8"/>
      <c r="C125" s="24">
        <f t="shared" si="23"/>
        <v>1</v>
      </c>
      <c r="D125" s="717"/>
      <c r="E125" s="24">
        <f t="shared" si="24"/>
        <v>0.15</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8"/>
      <c r="C126" s="24">
        <f t="shared" si="23"/>
        <v>1</v>
      </c>
      <c r="D126" s="717"/>
      <c r="E126" s="24">
        <f t="shared" si="24"/>
        <v>0.15</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8"/>
      <c r="C127" s="24">
        <f t="shared" si="23"/>
        <v>1</v>
      </c>
      <c r="D127" s="717"/>
      <c r="E127" s="24">
        <f t="shared" si="24"/>
        <v>0.15</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8"/>
      <c r="C128" s="24">
        <f t="shared" si="23"/>
        <v>1</v>
      </c>
      <c r="D128" s="717"/>
      <c r="E128" s="24">
        <f t="shared" si="24"/>
        <v>0.15</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8"/>
      <c r="C129" s="24">
        <f t="shared" si="23"/>
        <v>1</v>
      </c>
      <c r="D129" s="717"/>
      <c r="E129" s="24">
        <f t="shared" si="24"/>
        <v>0.15</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8"/>
      <c r="C130" s="24">
        <f t="shared" si="23"/>
        <v>1</v>
      </c>
      <c r="D130" s="717"/>
      <c r="E130" s="24">
        <f t="shared" si="24"/>
        <v>0.15</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8"/>
      <c r="C131" s="24">
        <f t="shared" si="23"/>
        <v>1</v>
      </c>
      <c r="D131" s="717"/>
      <c r="E131" s="24">
        <f t="shared" si="24"/>
        <v>0.15</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8"/>
      <c r="C132" s="24">
        <f t="shared" si="23"/>
        <v>1</v>
      </c>
      <c r="D132" s="717"/>
      <c r="E132" s="24">
        <f t="shared" si="24"/>
        <v>0.15</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8"/>
      <c r="C133" s="24">
        <f t="shared" si="23"/>
        <v>1</v>
      </c>
      <c r="D133" s="717"/>
      <c r="E133" s="24">
        <f t="shared" si="24"/>
        <v>0.15</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8"/>
      <c r="C134" s="24">
        <f t="shared" si="23"/>
        <v>1</v>
      </c>
      <c r="D134" s="717"/>
      <c r="E134" s="24">
        <f t="shared" si="24"/>
        <v>0.15</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8"/>
      <c r="C135" s="24">
        <f t="shared" si="23"/>
        <v>1</v>
      </c>
      <c r="D135" s="717"/>
      <c r="E135" s="24">
        <f t="shared" si="24"/>
        <v>0.15</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8"/>
      <c r="C136" s="24">
        <f t="shared" si="23"/>
        <v>1</v>
      </c>
      <c r="D136" s="717"/>
      <c r="E136" s="24">
        <f t="shared" si="24"/>
        <v>0.15</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8"/>
      <c r="C137" s="24">
        <f t="shared" si="23"/>
        <v>1</v>
      </c>
      <c r="D137" s="717"/>
      <c r="E137" s="24">
        <f t="shared" si="24"/>
        <v>0.15</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8"/>
      <c r="C138" s="24">
        <f t="shared" si="23"/>
        <v>1</v>
      </c>
      <c r="D138" s="717"/>
      <c r="E138" s="24">
        <f t="shared" si="24"/>
        <v>0.15</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8"/>
      <c r="C139" s="24">
        <f t="shared" si="23"/>
        <v>1</v>
      </c>
      <c r="D139" s="717"/>
      <c r="E139" s="24">
        <f t="shared" si="24"/>
        <v>0.15</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8"/>
      <c r="C140" s="24">
        <f t="shared" si="23"/>
        <v>1</v>
      </c>
      <c r="D140" s="717"/>
      <c r="E140" s="24">
        <f t="shared" si="24"/>
        <v>0.15</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8"/>
      <c r="C141" s="24">
        <f t="shared" si="23"/>
        <v>1</v>
      </c>
      <c r="D141" s="717"/>
      <c r="E141" s="24">
        <f t="shared" si="24"/>
        <v>0.15</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8"/>
      <c r="C142" s="24">
        <f t="shared" si="23"/>
        <v>1</v>
      </c>
      <c r="D142" s="717"/>
      <c r="E142" s="24">
        <f t="shared" si="24"/>
        <v>0.15</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8"/>
      <c r="C143" s="24">
        <f t="shared" si="23"/>
        <v>1</v>
      </c>
      <c r="D143" s="717"/>
      <c r="E143" s="24">
        <f t="shared" si="24"/>
        <v>0.15</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8"/>
      <c r="C144" s="24">
        <f t="shared" si="23"/>
        <v>1</v>
      </c>
      <c r="D144" s="717"/>
      <c r="E144" s="24">
        <f t="shared" si="24"/>
        <v>0.15</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8"/>
      <c r="C145" s="24">
        <f t="shared" si="23"/>
        <v>1</v>
      </c>
      <c r="D145" s="717"/>
      <c r="E145" s="24">
        <f t="shared" si="24"/>
        <v>0.15</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8"/>
      <c r="C146" s="24">
        <f t="shared" si="23"/>
        <v>1</v>
      </c>
      <c r="D146" s="717"/>
      <c r="E146" s="24">
        <f t="shared" si="24"/>
        <v>0.15</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8"/>
      <c r="C147" s="24">
        <f t="shared" si="23"/>
        <v>1</v>
      </c>
      <c r="D147" s="717"/>
      <c r="E147" s="24">
        <f t="shared" si="24"/>
        <v>0.15</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8"/>
      <c r="C148" s="24">
        <f t="shared" si="23"/>
        <v>1</v>
      </c>
      <c r="D148" s="717"/>
      <c r="E148" s="24">
        <f t="shared" si="24"/>
        <v>0.15</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8"/>
      <c r="C149" s="24">
        <f t="shared" si="23"/>
        <v>1</v>
      </c>
      <c r="D149" s="717"/>
      <c r="E149" s="24">
        <f t="shared" si="24"/>
        <v>0.15</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8"/>
      <c r="C150" s="24">
        <f t="shared" si="23"/>
        <v>1</v>
      </c>
      <c r="D150" s="717"/>
      <c r="E150" s="24">
        <f t="shared" si="24"/>
        <v>0.15</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8"/>
      <c r="C151" s="24">
        <f t="shared" si="23"/>
        <v>1</v>
      </c>
      <c r="D151" s="717"/>
      <c r="E151" s="24">
        <f t="shared" si="24"/>
        <v>0.15</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8"/>
      <c r="C152" s="24">
        <f t="shared" si="23"/>
        <v>1</v>
      </c>
      <c r="D152" s="717"/>
      <c r="E152" s="24">
        <f t="shared" si="24"/>
        <v>0.15</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8"/>
      <c r="C153" s="24">
        <f t="shared" si="23"/>
        <v>1</v>
      </c>
      <c r="D153" s="717"/>
      <c r="E153" s="24">
        <f t="shared" si="24"/>
        <v>0.15</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8"/>
      <c r="C154" s="24">
        <f t="shared" ref="C154:C217" si="33">IF(B154="",1,(LOOKUP(B154,$3:$3,$4:$4)-LOOKUP($B$24,$3:$3,$4:$4)+100)/100)</f>
        <v>1</v>
      </c>
      <c r="D154" s="717"/>
      <c r="E154" s="24">
        <f t="shared" ref="E154:E217" si="34">(SUMIF($5:$5,D154,$6:$6)-SUMIF($5:$5,$D$24,$6:$6)+100)/100</f>
        <v>0.15</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8"/>
      <c r="C155" s="24">
        <f t="shared" si="33"/>
        <v>1</v>
      </c>
      <c r="D155" s="717"/>
      <c r="E155" s="24">
        <f t="shared" si="34"/>
        <v>0.15</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8"/>
      <c r="C156" s="24">
        <f t="shared" si="33"/>
        <v>1</v>
      </c>
      <c r="D156" s="717"/>
      <c r="E156" s="24">
        <f t="shared" si="34"/>
        <v>0.15</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8"/>
      <c r="C157" s="24">
        <f t="shared" si="33"/>
        <v>1</v>
      </c>
      <c r="D157" s="717"/>
      <c r="E157" s="24">
        <f t="shared" si="34"/>
        <v>0.15</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8"/>
      <c r="C158" s="24">
        <f t="shared" si="33"/>
        <v>1</v>
      </c>
      <c r="D158" s="717"/>
      <c r="E158" s="24">
        <f t="shared" si="34"/>
        <v>0.15</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8"/>
      <c r="C159" s="24">
        <f t="shared" si="33"/>
        <v>1</v>
      </c>
      <c r="D159" s="717"/>
      <c r="E159" s="24">
        <f t="shared" si="34"/>
        <v>0.15</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8"/>
      <c r="C160" s="24">
        <f t="shared" si="33"/>
        <v>1</v>
      </c>
      <c r="D160" s="717"/>
      <c r="E160" s="24">
        <f t="shared" si="34"/>
        <v>0.15</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8"/>
      <c r="C161" s="24">
        <f t="shared" si="33"/>
        <v>1</v>
      </c>
      <c r="D161" s="717"/>
      <c r="E161" s="24">
        <f t="shared" si="34"/>
        <v>0.15</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8"/>
      <c r="C162" s="24">
        <f t="shared" si="33"/>
        <v>1</v>
      </c>
      <c r="D162" s="717"/>
      <c r="E162" s="24">
        <f t="shared" si="34"/>
        <v>0.15</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8"/>
      <c r="C163" s="24">
        <f t="shared" si="33"/>
        <v>1</v>
      </c>
      <c r="D163" s="717"/>
      <c r="E163" s="24">
        <f t="shared" si="34"/>
        <v>0.15</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8"/>
      <c r="C164" s="24">
        <f t="shared" si="33"/>
        <v>1</v>
      </c>
      <c r="D164" s="717"/>
      <c r="E164" s="24">
        <f t="shared" si="34"/>
        <v>0.15</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8"/>
      <c r="C165" s="24">
        <f t="shared" si="33"/>
        <v>1</v>
      </c>
      <c r="D165" s="717"/>
      <c r="E165" s="24">
        <f t="shared" si="34"/>
        <v>0.15</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8"/>
      <c r="C166" s="24">
        <f t="shared" si="33"/>
        <v>1</v>
      </c>
      <c r="D166" s="717"/>
      <c r="E166" s="24">
        <f t="shared" si="34"/>
        <v>0.15</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8"/>
      <c r="C167" s="24">
        <f t="shared" si="33"/>
        <v>1</v>
      </c>
      <c r="D167" s="717"/>
      <c r="E167" s="24">
        <f t="shared" si="34"/>
        <v>0.15</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8"/>
      <c r="C168" s="24">
        <f t="shared" si="33"/>
        <v>1</v>
      </c>
      <c r="D168" s="717"/>
      <c r="E168" s="24">
        <f t="shared" si="34"/>
        <v>0.15</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8"/>
      <c r="C169" s="24">
        <f t="shared" si="33"/>
        <v>1</v>
      </c>
      <c r="D169" s="717"/>
      <c r="E169" s="24">
        <f t="shared" si="34"/>
        <v>0.15</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8"/>
      <c r="C170" s="24">
        <f t="shared" si="33"/>
        <v>1</v>
      </c>
      <c r="D170" s="717"/>
      <c r="E170" s="24">
        <f t="shared" si="34"/>
        <v>0.15</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8"/>
      <c r="C171" s="24">
        <f t="shared" si="33"/>
        <v>1</v>
      </c>
      <c r="D171" s="717"/>
      <c r="E171" s="24">
        <f t="shared" si="34"/>
        <v>0.15</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8"/>
      <c r="C172" s="24">
        <f t="shared" si="33"/>
        <v>1</v>
      </c>
      <c r="D172" s="717"/>
      <c r="E172" s="24">
        <f t="shared" si="34"/>
        <v>0.15</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8"/>
      <c r="C173" s="24">
        <f t="shared" si="33"/>
        <v>1</v>
      </c>
      <c r="D173" s="717"/>
      <c r="E173" s="24">
        <f t="shared" si="34"/>
        <v>0.15</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8"/>
      <c r="C174" s="24">
        <f t="shared" si="33"/>
        <v>1</v>
      </c>
      <c r="D174" s="717"/>
      <c r="E174" s="24">
        <f t="shared" si="34"/>
        <v>0.15</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8"/>
      <c r="C175" s="24">
        <f t="shared" si="33"/>
        <v>1</v>
      </c>
      <c r="D175" s="717"/>
      <c r="E175" s="24">
        <f t="shared" si="34"/>
        <v>0.15</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8"/>
      <c r="C176" s="24">
        <f t="shared" si="33"/>
        <v>1</v>
      </c>
      <c r="D176" s="717"/>
      <c r="E176" s="24">
        <f t="shared" si="34"/>
        <v>0.15</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8"/>
      <c r="C177" s="24">
        <f t="shared" si="33"/>
        <v>1</v>
      </c>
      <c r="D177" s="717"/>
      <c r="E177" s="24">
        <f t="shared" si="34"/>
        <v>0.15</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8"/>
      <c r="C178" s="24">
        <f t="shared" si="33"/>
        <v>1</v>
      </c>
      <c r="D178" s="717"/>
      <c r="E178" s="24">
        <f t="shared" si="34"/>
        <v>0.15</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8"/>
      <c r="C179" s="24">
        <f t="shared" si="33"/>
        <v>1</v>
      </c>
      <c r="D179" s="717"/>
      <c r="E179" s="24">
        <f t="shared" si="34"/>
        <v>0.15</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8"/>
      <c r="C180" s="24">
        <f t="shared" si="33"/>
        <v>1</v>
      </c>
      <c r="D180" s="717"/>
      <c r="E180" s="24">
        <f t="shared" si="34"/>
        <v>0.15</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8"/>
      <c r="C181" s="24">
        <f t="shared" si="33"/>
        <v>1</v>
      </c>
      <c r="D181" s="717"/>
      <c r="E181" s="24">
        <f t="shared" si="34"/>
        <v>0.15</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8"/>
      <c r="C182" s="24">
        <f t="shared" si="33"/>
        <v>1</v>
      </c>
      <c r="D182" s="717"/>
      <c r="E182" s="24">
        <f t="shared" si="34"/>
        <v>0.15</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8"/>
      <c r="C183" s="24">
        <f t="shared" si="33"/>
        <v>1</v>
      </c>
      <c r="D183" s="717"/>
      <c r="E183" s="24">
        <f t="shared" si="34"/>
        <v>0.15</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8"/>
      <c r="C184" s="24">
        <f t="shared" si="33"/>
        <v>1</v>
      </c>
      <c r="D184" s="717"/>
      <c r="E184" s="24">
        <f t="shared" si="34"/>
        <v>0.15</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8"/>
      <c r="C185" s="24">
        <f t="shared" si="33"/>
        <v>1</v>
      </c>
      <c r="D185" s="717"/>
      <c r="E185" s="24">
        <f t="shared" si="34"/>
        <v>0.15</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8"/>
      <c r="C186" s="24">
        <f t="shared" si="33"/>
        <v>1</v>
      </c>
      <c r="D186" s="717"/>
      <c r="E186" s="24">
        <f t="shared" si="34"/>
        <v>0.15</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8"/>
      <c r="C187" s="24">
        <f t="shared" si="33"/>
        <v>1</v>
      </c>
      <c r="D187" s="717"/>
      <c r="E187" s="24">
        <f t="shared" si="34"/>
        <v>0.15</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8"/>
      <c r="C188" s="24">
        <f t="shared" si="33"/>
        <v>1</v>
      </c>
      <c r="D188" s="717"/>
      <c r="E188" s="24">
        <f t="shared" si="34"/>
        <v>0.15</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8"/>
      <c r="C189" s="24">
        <f t="shared" si="33"/>
        <v>1</v>
      </c>
      <c r="D189" s="717"/>
      <c r="E189" s="24">
        <f t="shared" si="34"/>
        <v>0.15</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8"/>
      <c r="C190" s="24">
        <f t="shared" si="33"/>
        <v>1</v>
      </c>
      <c r="D190" s="717"/>
      <c r="E190" s="24">
        <f t="shared" si="34"/>
        <v>0.15</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8"/>
      <c r="C191" s="24">
        <f t="shared" si="33"/>
        <v>1</v>
      </c>
      <c r="D191" s="717"/>
      <c r="E191" s="24">
        <f t="shared" si="34"/>
        <v>0.15</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8"/>
      <c r="C192" s="24">
        <f t="shared" si="33"/>
        <v>1</v>
      </c>
      <c r="D192" s="717"/>
      <c r="E192" s="24">
        <f t="shared" si="34"/>
        <v>0.15</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8"/>
      <c r="C193" s="24">
        <f t="shared" si="33"/>
        <v>1</v>
      </c>
      <c r="D193" s="717"/>
      <c r="E193" s="24">
        <f t="shared" si="34"/>
        <v>0.15</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8"/>
      <c r="C194" s="24">
        <f t="shared" si="33"/>
        <v>1</v>
      </c>
      <c r="D194" s="717"/>
      <c r="E194" s="24">
        <f t="shared" si="34"/>
        <v>0.15</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8"/>
      <c r="C195" s="24">
        <f t="shared" si="33"/>
        <v>1</v>
      </c>
      <c r="D195" s="717"/>
      <c r="E195" s="24">
        <f t="shared" si="34"/>
        <v>0.15</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8"/>
      <c r="C196" s="24">
        <f t="shared" si="33"/>
        <v>1</v>
      </c>
      <c r="D196" s="717"/>
      <c r="E196" s="24">
        <f t="shared" si="34"/>
        <v>0.15</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8"/>
      <c r="C197" s="24">
        <f t="shared" si="33"/>
        <v>1</v>
      </c>
      <c r="D197" s="717"/>
      <c r="E197" s="24">
        <f t="shared" si="34"/>
        <v>0.15</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8"/>
      <c r="C198" s="24">
        <f t="shared" si="33"/>
        <v>1</v>
      </c>
      <c r="D198" s="717"/>
      <c r="E198" s="24">
        <f t="shared" si="34"/>
        <v>0.15</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8"/>
      <c r="C199" s="24">
        <f t="shared" si="33"/>
        <v>1</v>
      </c>
      <c r="D199" s="717"/>
      <c r="E199" s="24">
        <f t="shared" si="34"/>
        <v>0.15</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8"/>
      <c r="C200" s="24">
        <f t="shared" si="33"/>
        <v>1</v>
      </c>
      <c r="D200" s="717"/>
      <c r="E200" s="24">
        <f t="shared" si="34"/>
        <v>0.15</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8"/>
      <c r="C201" s="24">
        <f t="shared" si="33"/>
        <v>1</v>
      </c>
      <c r="D201" s="717"/>
      <c r="E201" s="24">
        <f t="shared" si="34"/>
        <v>0.15</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8"/>
      <c r="C202" s="24">
        <f t="shared" si="33"/>
        <v>1</v>
      </c>
      <c r="D202" s="717"/>
      <c r="E202" s="24">
        <f t="shared" si="34"/>
        <v>0.15</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8"/>
      <c r="C203" s="24">
        <f t="shared" si="33"/>
        <v>1</v>
      </c>
      <c r="D203" s="717"/>
      <c r="E203" s="24">
        <f t="shared" si="34"/>
        <v>0.15</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8"/>
      <c r="C204" s="24">
        <f t="shared" si="33"/>
        <v>1</v>
      </c>
      <c r="D204" s="717"/>
      <c r="E204" s="24">
        <f t="shared" si="34"/>
        <v>0.15</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8"/>
      <c r="C205" s="24">
        <f t="shared" si="33"/>
        <v>1</v>
      </c>
      <c r="D205" s="717"/>
      <c r="E205" s="24">
        <f t="shared" si="34"/>
        <v>0.15</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8"/>
      <c r="C206" s="24">
        <f t="shared" si="33"/>
        <v>1</v>
      </c>
      <c r="D206" s="717"/>
      <c r="E206" s="24">
        <f t="shared" si="34"/>
        <v>0.15</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8"/>
      <c r="C207" s="24">
        <f t="shared" si="33"/>
        <v>1</v>
      </c>
      <c r="D207" s="717"/>
      <c r="E207" s="24">
        <f t="shared" si="34"/>
        <v>0.15</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8"/>
      <c r="C208" s="24">
        <f t="shared" si="33"/>
        <v>1</v>
      </c>
      <c r="D208" s="717"/>
      <c r="E208" s="24">
        <f t="shared" si="34"/>
        <v>0.15</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8"/>
      <c r="C209" s="24">
        <f t="shared" si="33"/>
        <v>1</v>
      </c>
      <c r="D209" s="717"/>
      <c r="E209" s="24">
        <f t="shared" si="34"/>
        <v>0.15</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8"/>
      <c r="C210" s="24">
        <f t="shared" si="33"/>
        <v>1</v>
      </c>
      <c r="D210" s="717"/>
      <c r="E210" s="24">
        <f t="shared" si="34"/>
        <v>0.15</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8"/>
      <c r="C211" s="24">
        <f t="shared" si="33"/>
        <v>1</v>
      </c>
      <c r="D211" s="717"/>
      <c r="E211" s="24">
        <f t="shared" si="34"/>
        <v>0.15</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8"/>
      <c r="C212" s="24">
        <f t="shared" si="33"/>
        <v>1</v>
      </c>
      <c r="D212" s="717"/>
      <c r="E212" s="24">
        <f t="shared" si="34"/>
        <v>0.15</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8"/>
      <c r="C213" s="24">
        <f t="shared" si="33"/>
        <v>1</v>
      </c>
      <c r="D213" s="717"/>
      <c r="E213" s="24">
        <f t="shared" si="34"/>
        <v>0.15</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8"/>
      <c r="C214" s="24">
        <f t="shared" si="33"/>
        <v>1</v>
      </c>
      <c r="D214" s="717"/>
      <c r="E214" s="24">
        <f t="shared" si="34"/>
        <v>0.15</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8"/>
      <c r="C215" s="24">
        <f t="shared" si="33"/>
        <v>1</v>
      </c>
      <c r="D215" s="717"/>
      <c r="E215" s="24">
        <f t="shared" si="34"/>
        <v>0.15</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8"/>
      <c r="C216" s="24">
        <f t="shared" si="33"/>
        <v>1</v>
      </c>
      <c r="D216" s="717"/>
      <c r="E216" s="24">
        <f t="shared" si="34"/>
        <v>0.15</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8"/>
      <c r="C217" s="24">
        <f t="shared" si="33"/>
        <v>1</v>
      </c>
      <c r="D217" s="717"/>
      <c r="E217" s="24">
        <f t="shared" si="34"/>
        <v>0.15</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8"/>
      <c r="C218" s="24">
        <f t="shared" ref="C218:C281" si="43">IF(B218="",1,(LOOKUP(B218,$3:$3,$4:$4)-LOOKUP($B$24,$3:$3,$4:$4)+100)/100)</f>
        <v>1</v>
      </c>
      <c r="D218" s="717"/>
      <c r="E218" s="24">
        <f t="shared" ref="E218:E281" si="44">(SUMIF($5:$5,D218,$6:$6)-SUMIF($5:$5,$D$24,$6:$6)+100)/100</f>
        <v>0.15</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8"/>
      <c r="C219" s="24">
        <f t="shared" si="43"/>
        <v>1</v>
      </c>
      <c r="D219" s="717"/>
      <c r="E219" s="24">
        <f t="shared" si="44"/>
        <v>0.15</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8"/>
      <c r="C220" s="24">
        <f t="shared" si="43"/>
        <v>1</v>
      </c>
      <c r="D220" s="717"/>
      <c r="E220" s="24">
        <f t="shared" si="44"/>
        <v>0.15</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8"/>
      <c r="C221" s="24">
        <f t="shared" si="43"/>
        <v>1</v>
      </c>
      <c r="D221" s="717"/>
      <c r="E221" s="24">
        <f t="shared" si="44"/>
        <v>0.15</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8"/>
      <c r="C222" s="24">
        <f t="shared" si="43"/>
        <v>1</v>
      </c>
      <c r="D222" s="717"/>
      <c r="E222" s="24">
        <f t="shared" si="44"/>
        <v>0.15</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8"/>
      <c r="C223" s="24">
        <f t="shared" si="43"/>
        <v>1</v>
      </c>
      <c r="D223" s="717"/>
      <c r="E223" s="24">
        <f t="shared" si="44"/>
        <v>0.15</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8"/>
      <c r="C224" s="24">
        <f t="shared" si="43"/>
        <v>1</v>
      </c>
      <c r="D224" s="717"/>
      <c r="E224" s="24">
        <f t="shared" si="44"/>
        <v>0.15</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8"/>
      <c r="C225" s="24">
        <f t="shared" si="43"/>
        <v>1</v>
      </c>
      <c r="D225" s="717"/>
      <c r="E225" s="24">
        <f t="shared" si="44"/>
        <v>0.15</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8"/>
      <c r="C226" s="24">
        <f t="shared" si="43"/>
        <v>1</v>
      </c>
      <c r="D226" s="717"/>
      <c r="E226" s="24">
        <f t="shared" si="44"/>
        <v>0.15</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8"/>
      <c r="C227" s="24">
        <f t="shared" si="43"/>
        <v>1</v>
      </c>
      <c r="D227" s="717"/>
      <c r="E227" s="24">
        <f t="shared" si="44"/>
        <v>0.15</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8"/>
      <c r="C228" s="24">
        <f t="shared" si="43"/>
        <v>1</v>
      </c>
      <c r="D228" s="717"/>
      <c r="E228" s="24">
        <f t="shared" si="44"/>
        <v>0.15</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8"/>
      <c r="C229" s="24">
        <f t="shared" si="43"/>
        <v>1</v>
      </c>
      <c r="D229" s="717"/>
      <c r="E229" s="24">
        <f t="shared" si="44"/>
        <v>0.15</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8"/>
      <c r="C230" s="24">
        <f t="shared" si="43"/>
        <v>1</v>
      </c>
      <c r="D230" s="717"/>
      <c r="E230" s="24">
        <f t="shared" si="44"/>
        <v>0.15</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8"/>
      <c r="C231" s="24">
        <f t="shared" si="43"/>
        <v>1</v>
      </c>
      <c r="D231" s="717"/>
      <c r="E231" s="24">
        <f t="shared" si="44"/>
        <v>0.15</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8"/>
      <c r="C232" s="24">
        <f t="shared" si="43"/>
        <v>1</v>
      </c>
      <c r="D232" s="717"/>
      <c r="E232" s="24">
        <f t="shared" si="44"/>
        <v>0.15</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8"/>
      <c r="C233" s="24">
        <f t="shared" si="43"/>
        <v>1</v>
      </c>
      <c r="D233" s="717"/>
      <c r="E233" s="24">
        <f t="shared" si="44"/>
        <v>0.15</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8"/>
      <c r="C234" s="24">
        <f t="shared" si="43"/>
        <v>1</v>
      </c>
      <c r="D234" s="717"/>
      <c r="E234" s="24">
        <f t="shared" si="44"/>
        <v>0.15</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8"/>
      <c r="C235" s="24">
        <f t="shared" si="43"/>
        <v>1</v>
      </c>
      <c r="D235" s="717"/>
      <c r="E235" s="24">
        <f t="shared" si="44"/>
        <v>0.15</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8"/>
      <c r="C236" s="24">
        <f t="shared" si="43"/>
        <v>1</v>
      </c>
      <c r="D236" s="717"/>
      <c r="E236" s="24">
        <f t="shared" si="44"/>
        <v>0.15</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8"/>
      <c r="C237" s="24">
        <f t="shared" si="43"/>
        <v>1</v>
      </c>
      <c r="D237" s="717"/>
      <c r="E237" s="24">
        <f t="shared" si="44"/>
        <v>0.15</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8"/>
      <c r="C238" s="24">
        <f t="shared" si="43"/>
        <v>1</v>
      </c>
      <c r="D238" s="717"/>
      <c r="E238" s="24">
        <f t="shared" si="44"/>
        <v>0.15</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8"/>
      <c r="C239" s="24">
        <f t="shared" si="43"/>
        <v>1</v>
      </c>
      <c r="D239" s="717"/>
      <c r="E239" s="24">
        <f t="shared" si="44"/>
        <v>0.15</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8"/>
      <c r="C240" s="24">
        <f t="shared" si="43"/>
        <v>1</v>
      </c>
      <c r="D240" s="717"/>
      <c r="E240" s="24">
        <f t="shared" si="44"/>
        <v>0.15</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8"/>
      <c r="C241" s="24">
        <f t="shared" si="43"/>
        <v>1</v>
      </c>
      <c r="D241" s="717"/>
      <c r="E241" s="24">
        <f t="shared" si="44"/>
        <v>0.15</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8"/>
      <c r="C242" s="24">
        <f t="shared" si="43"/>
        <v>1</v>
      </c>
      <c r="D242" s="717"/>
      <c r="E242" s="24">
        <f t="shared" si="44"/>
        <v>0.15</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8"/>
      <c r="C243" s="24">
        <f t="shared" si="43"/>
        <v>1</v>
      </c>
      <c r="D243" s="717"/>
      <c r="E243" s="24">
        <f t="shared" si="44"/>
        <v>0.15</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8"/>
      <c r="C244" s="24">
        <f t="shared" si="43"/>
        <v>1</v>
      </c>
      <c r="D244" s="717"/>
      <c r="E244" s="24">
        <f t="shared" si="44"/>
        <v>0.15</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8"/>
      <c r="C245" s="24">
        <f t="shared" si="43"/>
        <v>1</v>
      </c>
      <c r="D245" s="717"/>
      <c r="E245" s="24">
        <f t="shared" si="44"/>
        <v>0.15</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8"/>
      <c r="C246" s="24">
        <f t="shared" si="43"/>
        <v>1</v>
      </c>
      <c r="D246" s="717"/>
      <c r="E246" s="24">
        <f t="shared" si="44"/>
        <v>0.15</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8"/>
      <c r="C247" s="24">
        <f t="shared" si="43"/>
        <v>1</v>
      </c>
      <c r="D247" s="717"/>
      <c r="E247" s="24">
        <f t="shared" si="44"/>
        <v>0.15</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8"/>
      <c r="C248" s="24">
        <f t="shared" si="43"/>
        <v>1</v>
      </c>
      <c r="D248" s="717"/>
      <c r="E248" s="24">
        <f t="shared" si="44"/>
        <v>0.15</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8"/>
      <c r="C249" s="24">
        <f t="shared" si="43"/>
        <v>1</v>
      </c>
      <c r="D249" s="717"/>
      <c r="E249" s="24">
        <f t="shared" si="44"/>
        <v>0.15</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8"/>
      <c r="C250" s="24">
        <f t="shared" si="43"/>
        <v>1</v>
      </c>
      <c r="D250" s="717"/>
      <c r="E250" s="24">
        <f t="shared" si="44"/>
        <v>0.15</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8"/>
      <c r="C251" s="24">
        <f t="shared" si="43"/>
        <v>1</v>
      </c>
      <c r="D251" s="717"/>
      <c r="E251" s="24">
        <f t="shared" si="44"/>
        <v>0.15</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8"/>
      <c r="C252" s="24">
        <f t="shared" si="43"/>
        <v>1</v>
      </c>
      <c r="D252" s="717"/>
      <c r="E252" s="24">
        <f t="shared" si="44"/>
        <v>0.15</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8"/>
      <c r="C253" s="24">
        <f t="shared" si="43"/>
        <v>1</v>
      </c>
      <c r="D253" s="717"/>
      <c r="E253" s="24">
        <f t="shared" si="44"/>
        <v>0.15</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8"/>
      <c r="C254" s="24">
        <f t="shared" si="43"/>
        <v>1</v>
      </c>
      <c r="D254" s="717"/>
      <c r="E254" s="24">
        <f t="shared" si="44"/>
        <v>0.15</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8"/>
      <c r="C255" s="24">
        <f t="shared" si="43"/>
        <v>1</v>
      </c>
      <c r="D255" s="717"/>
      <c r="E255" s="24">
        <f t="shared" si="44"/>
        <v>0.15</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8"/>
      <c r="C256" s="24">
        <f t="shared" si="43"/>
        <v>1</v>
      </c>
      <c r="D256" s="717"/>
      <c r="E256" s="24">
        <f t="shared" si="44"/>
        <v>0.15</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8"/>
      <c r="C257" s="24">
        <f t="shared" si="43"/>
        <v>1</v>
      </c>
      <c r="D257" s="717"/>
      <c r="E257" s="24">
        <f t="shared" si="44"/>
        <v>0.15</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8"/>
      <c r="C258" s="24">
        <f t="shared" si="43"/>
        <v>1</v>
      </c>
      <c r="D258" s="717"/>
      <c r="E258" s="24">
        <f t="shared" si="44"/>
        <v>0.15</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8"/>
      <c r="C259" s="24">
        <f t="shared" si="43"/>
        <v>1</v>
      </c>
      <c r="D259" s="717"/>
      <c r="E259" s="24">
        <f t="shared" si="44"/>
        <v>0.15</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8"/>
      <c r="C260" s="24">
        <f t="shared" si="43"/>
        <v>1</v>
      </c>
      <c r="D260" s="717"/>
      <c r="E260" s="24">
        <f t="shared" si="44"/>
        <v>0.15</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8"/>
      <c r="C261" s="24">
        <f t="shared" si="43"/>
        <v>1</v>
      </c>
      <c r="D261" s="717"/>
      <c r="E261" s="24">
        <f t="shared" si="44"/>
        <v>0.15</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8"/>
      <c r="C262" s="24">
        <f t="shared" si="43"/>
        <v>1</v>
      </c>
      <c r="D262" s="717"/>
      <c r="E262" s="24">
        <f t="shared" si="44"/>
        <v>0.15</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8"/>
      <c r="C263" s="24">
        <f t="shared" si="43"/>
        <v>1</v>
      </c>
      <c r="D263" s="717"/>
      <c r="E263" s="24">
        <f t="shared" si="44"/>
        <v>0.15</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8"/>
      <c r="C264" s="24">
        <f t="shared" si="43"/>
        <v>1</v>
      </c>
      <c r="D264" s="717"/>
      <c r="E264" s="24">
        <f t="shared" si="44"/>
        <v>0.15</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8"/>
      <c r="C265" s="24">
        <f t="shared" si="43"/>
        <v>1</v>
      </c>
      <c r="D265" s="717"/>
      <c r="E265" s="24">
        <f t="shared" si="44"/>
        <v>0.15</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8"/>
      <c r="C266" s="24">
        <f t="shared" si="43"/>
        <v>1</v>
      </c>
      <c r="D266" s="717"/>
      <c r="E266" s="24">
        <f t="shared" si="44"/>
        <v>0.15</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8"/>
      <c r="C267" s="24">
        <f t="shared" si="43"/>
        <v>1</v>
      </c>
      <c r="D267" s="717"/>
      <c r="E267" s="24">
        <f t="shared" si="44"/>
        <v>0.15</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8"/>
      <c r="C268" s="24">
        <f t="shared" si="43"/>
        <v>1</v>
      </c>
      <c r="D268" s="717"/>
      <c r="E268" s="24">
        <f t="shared" si="44"/>
        <v>0.15</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8"/>
      <c r="C269" s="24">
        <f t="shared" si="43"/>
        <v>1</v>
      </c>
      <c r="D269" s="717"/>
      <c r="E269" s="24">
        <f t="shared" si="44"/>
        <v>0.15</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8"/>
      <c r="C270" s="24">
        <f t="shared" si="43"/>
        <v>1</v>
      </c>
      <c r="D270" s="717"/>
      <c r="E270" s="24">
        <f t="shared" si="44"/>
        <v>0.15</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8"/>
      <c r="C271" s="24">
        <f t="shared" si="43"/>
        <v>1</v>
      </c>
      <c r="D271" s="717"/>
      <c r="E271" s="24">
        <f t="shared" si="44"/>
        <v>0.15</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8"/>
      <c r="C272" s="24">
        <f t="shared" si="43"/>
        <v>1</v>
      </c>
      <c r="D272" s="717"/>
      <c r="E272" s="24">
        <f t="shared" si="44"/>
        <v>0.15</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8"/>
      <c r="C273" s="24">
        <f t="shared" si="43"/>
        <v>1</v>
      </c>
      <c r="D273" s="717"/>
      <c r="E273" s="24">
        <f t="shared" si="44"/>
        <v>0.15</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8"/>
      <c r="C274" s="24">
        <f t="shared" si="43"/>
        <v>1</v>
      </c>
      <c r="D274" s="717"/>
      <c r="E274" s="24">
        <f t="shared" si="44"/>
        <v>0.15</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8"/>
      <c r="C275" s="24">
        <f t="shared" si="43"/>
        <v>1</v>
      </c>
      <c r="D275" s="717"/>
      <c r="E275" s="24">
        <f t="shared" si="44"/>
        <v>0.15</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8"/>
      <c r="C276" s="24">
        <f t="shared" si="43"/>
        <v>1</v>
      </c>
      <c r="D276" s="717"/>
      <c r="E276" s="24">
        <f t="shared" si="44"/>
        <v>0.15</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8"/>
      <c r="C277" s="24">
        <f t="shared" si="43"/>
        <v>1</v>
      </c>
      <c r="D277" s="717"/>
      <c r="E277" s="24">
        <f t="shared" si="44"/>
        <v>0.15</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8"/>
      <c r="C278" s="24">
        <f t="shared" si="43"/>
        <v>1</v>
      </c>
      <c r="D278" s="717"/>
      <c r="E278" s="24">
        <f t="shared" si="44"/>
        <v>0.15</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8"/>
      <c r="C279" s="24">
        <f t="shared" si="43"/>
        <v>1</v>
      </c>
      <c r="D279" s="717"/>
      <c r="E279" s="24">
        <f t="shared" si="44"/>
        <v>0.15</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8"/>
      <c r="C280" s="24">
        <f t="shared" si="43"/>
        <v>1</v>
      </c>
      <c r="D280" s="717"/>
      <c r="E280" s="24">
        <f t="shared" si="44"/>
        <v>0.15</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8"/>
      <c r="C281" s="24">
        <f t="shared" si="43"/>
        <v>1</v>
      </c>
      <c r="D281" s="717"/>
      <c r="E281" s="24">
        <f t="shared" si="44"/>
        <v>0.15</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8"/>
      <c r="C282" s="24">
        <f t="shared" ref="C282:C345" si="53">IF(B282="",1,(LOOKUP(B282,$3:$3,$4:$4)-LOOKUP($B$24,$3:$3,$4:$4)+100)/100)</f>
        <v>1</v>
      </c>
      <c r="D282" s="717"/>
      <c r="E282" s="24">
        <f t="shared" ref="E282:E345" si="54">(SUMIF($5:$5,D282,$6:$6)-SUMIF($5:$5,$D$24,$6:$6)+100)/100</f>
        <v>0.15</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8"/>
      <c r="C283" s="24">
        <f t="shared" si="53"/>
        <v>1</v>
      </c>
      <c r="D283" s="717"/>
      <c r="E283" s="24">
        <f t="shared" si="54"/>
        <v>0.15</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8"/>
      <c r="C284" s="24">
        <f t="shared" si="53"/>
        <v>1</v>
      </c>
      <c r="D284" s="717"/>
      <c r="E284" s="24">
        <f t="shared" si="54"/>
        <v>0.15</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8"/>
      <c r="C285" s="24">
        <f t="shared" si="53"/>
        <v>1</v>
      </c>
      <c r="D285" s="717"/>
      <c r="E285" s="24">
        <f t="shared" si="54"/>
        <v>0.15</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8"/>
      <c r="C286" s="24">
        <f t="shared" si="53"/>
        <v>1</v>
      </c>
      <c r="D286" s="717"/>
      <c r="E286" s="24">
        <f t="shared" si="54"/>
        <v>0.15</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8"/>
      <c r="C287" s="24">
        <f t="shared" si="53"/>
        <v>1</v>
      </c>
      <c r="D287" s="717"/>
      <c r="E287" s="24">
        <f t="shared" si="54"/>
        <v>0.15</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8"/>
      <c r="C288" s="24">
        <f t="shared" si="53"/>
        <v>1</v>
      </c>
      <c r="D288" s="717"/>
      <c r="E288" s="24">
        <f t="shared" si="54"/>
        <v>0.15</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8"/>
      <c r="C289" s="24">
        <f t="shared" si="53"/>
        <v>1</v>
      </c>
      <c r="D289" s="717"/>
      <c r="E289" s="24">
        <f t="shared" si="54"/>
        <v>0.15</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8"/>
      <c r="C290" s="24">
        <f t="shared" si="53"/>
        <v>1</v>
      </c>
      <c r="D290" s="717"/>
      <c r="E290" s="24">
        <f t="shared" si="54"/>
        <v>0.15</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8"/>
      <c r="C291" s="24">
        <f t="shared" si="53"/>
        <v>1</v>
      </c>
      <c r="D291" s="717"/>
      <c r="E291" s="24">
        <f t="shared" si="54"/>
        <v>0.15</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8"/>
      <c r="C292" s="24">
        <f t="shared" si="53"/>
        <v>1</v>
      </c>
      <c r="D292" s="717"/>
      <c r="E292" s="24">
        <f t="shared" si="54"/>
        <v>0.15</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8"/>
      <c r="C293" s="24">
        <f t="shared" si="53"/>
        <v>1</v>
      </c>
      <c r="D293" s="717"/>
      <c r="E293" s="24">
        <f t="shared" si="54"/>
        <v>0.15</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8"/>
      <c r="C294" s="24">
        <f t="shared" si="53"/>
        <v>1</v>
      </c>
      <c r="D294" s="717"/>
      <c r="E294" s="24">
        <f t="shared" si="54"/>
        <v>0.15</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8"/>
      <c r="C295" s="24">
        <f t="shared" si="53"/>
        <v>1</v>
      </c>
      <c r="D295" s="717"/>
      <c r="E295" s="24">
        <f t="shared" si="54"/>
        <v>0.15</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8"/>
      <c r="C296" s="24">
        <f t="shared" si="53"/>
        <v>1</v>
      </c>
      <c r="D296" s="717"/>
      <c r="E296" s="24">
        <f t="shared" si="54"/>
        <v>0.15</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8"/>
      <c r="C297" s="24">
        <f t="shared" si="53"/>
        <v>1</v>
      </c>
      <c r="D297" s="717"/>
      <c r="E297" s="24">
        <f t="shared" si="54"/>
        <v>0.15</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8"/>
      <c r="C298" s="24">
        <f t="shared" si="53"/>
        <v>1</v>
      </c>
      <c r="D298" s="717"/>
      <c r="E298" s="24">
        <f t="shared" si="54"/>
        <v>0.15</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8"/>
      <c r="C299" s="24">
        <f t="shared" si="53"/>
        <v>1</v>
      </c>
      <c r="D299" s="717"/>
      <c r="E299" s="24">
        <f t="shared" si="54"/>
        <v>0.15</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8"/>
      <c r="C300" s="24">
        <f t="shared" si="53"/>
        <v>1</v>
      </c>
      <c r="D300" s="717"/>
      <c r="E300" s="24">
        <f t="shared" si="54"/>
        <v>0.15</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8"/>
      <c r="C301" s="24">
        <f t="shared" si="53"/>
        <v>1</v>
      </c>
      <c r="D301" s="717"/>
      <c r="E301" s="24">
        <f t="shared" si="54"/>
        <v>0.15</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8"/>
      <c r="C302" s="24">
        <f t="shared" si="53"/>
        <v>1</v>
      </c>
      <c r="D302" s="717"/>
      <c r="E302" s="24">
        <f t="shared" si="54"/>
        <v>0.15</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8"/>
      <c r="C303" s="24">
        <f t="shared" si="53"/>
        <v>1</v>
      </c>
      <c r="D303" s="717"/>
      <c r="E303" s="24">
        <f t="shared" si="54"/>
        <v>0.15</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8"/>
      <c r="C304" s="24">
        <f t="shared" si="53"/>
        <v>1</v>
      </c>
      <c r="D304" s="717"/>
      <c r="E304" s="24">
        <f t="shared" si="54"/>
        <v>0.15</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8"/>
      <c r="C305" s="24">
        <f t="shared" si="53"/>
        <v>1</v>
      </c>
      <c r="D305" s="717"/>
      <c r="E305" s="24">
        <f t="shared" si="54"/>
        <v>0.15</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8"/>
      <c r="C306" s="24">
        <f t="shared" si="53"/>
        <v>1</v>
      </c>
      <c r="D306" s="717"/>
      <c r="E306" s="24">
        <f t="shared" si="54"/>
        <v>0.15</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8"/>
      <c r="C307" s="24">
        <f t="shared" si="53"/>
        <v>1</v>
      </c>
      <c r="D307" s="717"/>
      <c r="E307" s="24">
        <f t="shared" si="54"/>
        <v>0.15</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8"/>
      <c r="C308" s="24">
        <f t="shared" si="53"/>
        <v>1</v>
      </c>
      <c r="D308" s="717"/>
      <c r="E308" s="24">
        <f t="shared" si="54"/>
        <v>0.15</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8"/>
      <c r="C309" s="24">
        <f t="shared" si="53"/>
        <v>1</v>
      </c>
      <c r="D309" s="717"/>
      <c r="E309" s="24">
        <f t="shared" si="54"/>
        <v>0.15</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8"/>
      <c r="C310" s="24">
        <f t="shared" si="53"/>
        <v>1</v>
      </c>
      <c r="D310" s="717"/>
      <c r="E310" s="24">
        <f t="shared" si="54"/>
        <v>0.15</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8"/>
      <c r="C311" s="24">
        <f t="shared" si="53"/>
        <v>1</v>
      </c>
      <c r="D311" s="717"/>
      <c r="E311" s="24">
        <f t="shared" si="54"/>
        <v>0.15</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8"/>
      <c r="C312" s="24">
        <f t="shared" si="53"/>
        <v>1</v>
      </c>
      <c r="D312" s="717"/>
      <c r="E312" s="24">
        <f t="shared" si="54"/>
        <v>0.15</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8"/>
      <c r="C313" s="24">
        <f t="shared" si="53"/>
        <v>1</v>
      </c>
      <c r="D313" s="717"/>
      <c r="E313" s="24">
        <f t="shared" si="54"/>
        <v>0.15</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8"/>
      <c r="C314" s="24">
        <f t="shared" si="53"/>
        <v>1</v>
      </c>
      <c r="D314" s="717"/>
      <c r="E314" s="24">
        <f t="shared" si="54"/>
        <v>0.15</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8"/>
      <c r="C315" s="24">
        <f t="shared" si="53"/>
        <v>1</v>
      </c>
      <c r="D315" s="717"/>
      <c r="E315" s="24">
        <f t="shared" si="54"/>
        <v>0.15</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8"/>
      <c r="C316" s="24">
        <f t="shared" si="53"/>
        <v>1</v>
      </c>
      <c r="D316" s="717"/>
      <c r="E316" s="24">
        <f t="shared" si="54"/>
        <v>0.15</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8"/>
      <c r="C317" s="24">
        <f t="shared" si="53"/>
        <v>1</v>
      </c>
      <c r="D317" s="717"/>
      <c r="E317" s="24">
        <f t="shared" si="54"/>
        <v>0.15</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8"/>
      <c r="C318" s="24">
        <f t="shared" si="53"/>
        <v>1</v>
      </c>
      <c r="D318" s="717"/>
      <c r="E318" s="24">
        <f t="shared" si="54"/>
        <v>0.15</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8"/>
      <c r="C319" s="24">
        <f t="shared" si="53"/>
        <v>1</v>
      </c>
      <c r="D319" s="717"/>
      <c r="E319" s="24">
        <f t="shared" si="54"/>
        <v>0.15</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8"/>
      <c r="C320" s="24">
        <f t="shared" si="53"/>
        <v>1</v>
      </c>
      <c r="D320" s="717"/>
      <c r="E320" s="24">
        <f t="shared" si="54"/>
        <v>0.15</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8"/>
      <c r="C321" s="24">
        <f t="shared" si="53"/>
        <v>1</v>
      </c>
      <c r="D321" s="717"/>
      <c r="E321" s="24">
        <f t="shared" si="54"/>
        <v>0.15</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8"/>
      <c r="C322" s="24">
        <f t="shared" si="53"/>
        <v>1</v>
      </c>
      <c r="D322" s="717"/>
      <c r="E322" s="24">
        <f t="shared" si="54"/>
        <v>0.15</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8"/>
      <c r="C323" s="24">
        <f t="shared" si="53"/>
        <v>1</v>
      </c>
      <c r="D323" s="717"/>
      <c r="E323" s="24">
        <f t="shared" si="54"/>
        <v>0.15</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8"/>
      <c r="C324" s="24">
        <f t="shared" si="53"/>
        <v>1</v>
      </c>
      <c r="D324" s="717"/>
      <c r="E324" s="24">
        <f t="shared" si="54"/>
        <v>0.15</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8"/>
      <c r="C325" s="24">
        <f t="shared" si="53"/>
        <v>1</v>
      </c>
      <c r="D325" s="717"/>
      <c r="E325" s="24">
        <f t="shared" si="54"/>
        <v>0.15</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8"/>
      <c r="C326" s="24">
        <f t="shared" si="53"/>
        <v>1</v>
      </c>
      <c r="D326" s="717"/>
      <c r="E326" s="24">
        <f t="shared" si="54"/>
        <v>0.15</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8"/>
      <c r="C327" s="24">
        <f t="shared" si="53"/>
        <v>1</v>
      </c>
      <c r="D327" s="717"/>
      <c r="E327" s="24">
        <f t="shared" si="54"/>
        <v>0.15</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8"/>
      <c r="C328" s="24">
        <f t="shared" si="53"/>
        <v>1</v>
      </c>
      <c r="D328" s="717"/>
      <c r="E328" s="24">
        <f t="shared" si="54"/>
        <v>0.15</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8"/>
      <c r="C329" s="24">
        <f t="shared" si="53"/>
        <v>1</v>
      </c>
      <c r="D329" s="717"/>
      <c r="E329" s="24">
        <f t="shared" si="54"/>
        <v>0.15</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8"/>
      <c r="C330" s="24">
        <f t="shared" si="53"/>
        <v>1</v>
      </c>
      <c r="D330" s="717"/>
      <c r="E330" s="24">
        <f t="shared" si="54"/>
        <v>0.15</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8"/>
      <c r="C331" s="24">
        <f t="shared" si="53"/>
        <v>1</v>
      </c>
      <c r="D331" s="717"/>
      <c r="E331" s="24">
        <f t="shared" si="54"/>
        <v>0.15</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8"/>
      <c r="C332" s="24">
        <f t="shared" si="53"/>
        <v>1</v>
      </c>
      <c r="D332" s="717"/>
      <c r="E332" s="24">
        <f t="shared" si="54"/>
        <v>0.15</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8"/>
      <c r="C333" s="24">
        <f t="shared" si="53"/>
        <v>1</v>
      </c>
      <c r="D333" s="717"/>
      <c r="E333" s="24">
        <f t="shared" si="54"/>
        <v>0.15</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8"/>
      <c r="C334" s="24">
        <f t="shared" si="53"/>
        <v>1</v>
      </c>
      <c r="D334" s="717"/>
      <c r="E334" s="24">
        <f t="shared" si="54"/>
        <v>0.15</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8"/>
      <c r="C335" s="24">
        <f t="shared" si="53"/>
        <v>1</v>
      </c>
      <c r="D335" s="717"/>
      <c r="E335" s="24">
        <f t="shared" si="54"/>
        <v>0.15</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8"/>
      <c r="C336" s="24">
        <f t="shared" si="53"/>
        <v>1</v>
      </c>
      <c r="D336" s="717"/>
      <c r="E336" s="24">
        <f t="shared" si="54"/>
        <v>0.15</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8"/>
      <c r="C337" s="24">
        <f t="shared" si="53"/>
        <v>1</v>
      </c>
      <c r="D337" s="717"/>
      <c r="E337" s="24">
        <f t="shared" si="54"/>
        <v>0.15</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8"/>
      <c r="C338" s="24">
        <f t="shared" si="53"/>
        <v>1</v>
      </c>
      <c r="D338" s="717"/>
      <c r="E338" s="24">
        <f t="shared" si="54"/>
        <v>0.15</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8"/>
      <c r="C339" s="24">
        <f t="shared" si="53"/>
        <v>1</v>
      </c>
      <c r="D339" s="717"/>
      <c r="E339" s="24">
        <f t="shared" si="54"/>
        <v>0.15</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8"/>
      <c r="C340" s="24">
        <f t="shared" si="53"/>
        <v>1</v>
      </c>
      <c r="D340" s="717"/>
      <c r="E340" s="24">
        <f t="shared" si="54"/>
        <v>0.15</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8"/>
      <c r="C341" s="24">
        <f t="shared" si="53"/>
        <v>1</v>
      </c>
      <c r="D341" s="717"/>
      <c r="E341" s="24">
        <f t="shared" si="54"/>
        <v>0.15</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8"/>
      <c r="C342" s="24">
        <f t="shared" si="53"/>
        <v>1</v>
      </c>
      <c r="D342" s="717"/>
      <c r="E342" s="24">
        <f t="shared" si="54"/>
        <v>0.15</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8"/>
      <c r="C343" s="24">
        <f t="shared" si="53"/>
        <v>1</v>
      </c>
      <c r="D343" s="717"/>
      <c r="E343" s="24">
        <f t="shared" si="54"/>
        <v>0.15</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8"/>
      <c r="C344" s="24">
        <f t="shared" si="53"/>
        <v>1</v>
      </c>
      <c r="D344" s="717"/>
      <c r="E344" s="24">
        <f t="shared" si="54"/>
        <v>0.15</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8"/>
      <c r="C345" s="24">
        <f t="shared" si="53"/>
        <v>1</v>
      </c>
      <c r="D345" s="717"/>
      <c r="E345" s="24">
        <f t="shared" si="54"/>
        <v>0.15</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8"/>
      <c r="C346" s="24">
        <f t="shared" ref="C346:C409" si="64">IF(B346="",1,(LOOKUP(B346,$3:$3,$4:$4)-LOOKUP($B$24,$3:$3,$4:$4)+100)/100)</f>
        <v>1</v>
      </c>
      <c r="D346" s="717"/>
      <c r="E346" s="24">
        <f t="shared" ref="E346:E409" si="65">(SUMIF($5:$5,D346,$6:$6)-SUMIF($5:$5,$D$24,$6:$6)+100)/100</f>
        <v>0.15</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8"/>
      <c r="C347" s="24">
        <f t="shared" si="64"/>
        <v>1</v>
      </c>
      <c r="D347" s="717"/>
      <c r="E347" s="24">
        <f t="shared" si="65"/>
        <v>0.15</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8"/>
      <c r="C348" s="24">
        <f t="shared" si="64"/>
        <v>1</v>
      </c>
      <c r="D348" s="717"/>
      <c r="E348" s="24">
        <f t="shared" si="65"/>
        <v>0.15</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8"/>
      <c r="C349" s="24">
        <f t="shared" si="64"/>
        <v>1</v>
      </c>
      <c r="D349" s="717"/>
      <c r="E349" s="24">
        <f t="shared" si="65"/>
        <v>0.15</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8"/>
      <c r="C350" s="24">
        <f t="shared" si="64"/>
        <v>1</v>
      </c>
      <c r="D350" s="717"/>
      <c r="E350" s="24">
        <f t="shared" si="65"/>
        <v>0.15</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8"/>
      <c r="C351" s="24">
        <f t="shared" si="64"/>
        <v>1</v>
      </c>
      <c r="D351" s="717"/>
      <c r="E351" s="24">
        <f t="shared" si="65"/>
        <v>0.15</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8"/>
      <c r="C352" s="24">
        <f t="shared" si="64"/>
        <v>1</v>
      </c>
      <c r="D352" s="717"/>
      <c r="E352" s="24">
        <f t="shared" si="65"/>
        <v>0.15</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8"/>
      <c r="C353" s="24">
        <f t="shared" si="64"/>
        <v>1</v>
      </c>
      <c r="D353" s="717"/>
      <c r="E353" s="24">
        <f t="shared" si="65"/>
        <v>0.15</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8"/>
      <c r="C354" s="24">
        <f t="shared" si="64"/>
        <v>1</v>
      </c>
      <c r="D354" s="717"/>
      <c r="E354" s="24">
        <f t="shared" si="65"/>
        <v>0.15</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8"/>
      <c r="C355" s="24">
        <f t="shared" si="64"/>
        <v>1</v>
      </c>
      <c r="D355" s="717"/>
      <c r="E355" s="24">
        <f t="shared" si="65"/>
        <v>0.15</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8"/>
      <c r="C356" s="24">
        <f t="shared" si="64"/>
        <v>1</v>
      </c>
      <c r="D356" s="717"/>
      <c r="E356" s="24">
        <f t="shared" si="65"/>
        <v>0.15</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8"/>
      <c r="C357" s="24">
        <f t="shared" si="64"/>
        <v>1</v>
      </c>
      <c r="D357" s="717"/>
      <c r="E357" s="24">
        <f t="shared" si="65"/>
        <v>0.15</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8"/>
      <c r="C358" s="24">
        <f t="shared" si="64"/>
        <v>1</v>
      </c>
      <c r="D358" s="717"/>
      <c r="E358" s="24">
        <f t="shared" si="65"/>
        <v>0.15</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8"/>
      <c r="C359" s="24">
        <f t="shared" si="64"/>
        <v>1</v>
      </c>
      <c r="D359" s="717"/>
      <c r="E359" s="24">
        <f t="shared" si="65"/>
        <v>0.15</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8"/>
      <c r="C360" s="24">
        <f t="shared" si="64"/>
        <v>1</v>
      </c>
      <c r="D360" s="717"/>
      <c r="E360" s="24">
        <f t="shared" si="65"/>
        <v>0.15</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8"/>
      <c r="C361" s="24">
        <f t="shared" si="64"/>
        <v>1</v>
      </c>
      <c r="D361" s="717"/>
      <c r="E361" s="24">
        <f t="shared" si="65"/>
        <v>0.15</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8"/>
      <c r="C362" s="24">
        <f t="shared" si="64"/>
        <v>1</v>
      </c>
      <c r="D362" s="717"/>
      <c r="E362" s="24">
        <f t="shared" si="65"/>
        <v>0.15</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8"/>
      <c r="C363" s="24">
        <f t="shared" si="64"/>
        <v>1</v>
      </c>
      <c r="D363" s="717"/>
      <c r="E363" s="24">
        <f t="shared" si="65"/>
        <v>0.15</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8"/>
      <c r="C364" s="24">
        <f t="shared" si="64"/>
        <v>1</v>
      </c>
      <c r="D364" s="717"/>
      <c r="E364" s="24">
        <f t="shared" si="65"/>
        <v>0.15</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8"/>
      <c r="C365" s="24">
        <f t="shared" si="64"/>
        <v>1</v>
      </c>
      <c r="D365" s="717"/>
      <c r="E365" s="24">
        <f t="shared" si="65"/>
        <v>0.15</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8"/>
      <c r="C366" s="24">
        <f t="shared" si="64"/>
        <v>1</v>
      </c>
      <c r="D366" s="717"/>
      <c r="E366" s="24">
        <f t="shared" si="65"/>
        <v>0.15</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8"/>
      <c r="C367" s="24">
        <f t="shared" si="64"/>
        <v>1</v>
      </c>
      <c r="D367" s="717"/>
      <c r="E367" s="24">
        <f t="shared" si="65"/>
        <v>0.15</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8"/>
      <c r="C368" s="24">
        <f t="shared" si="64"/>
        <v>1</v>
      </c>
      <c r="D368" s="717"/>
      <c r="E368" s="24">
        <f t="shared" si="65"/>
        <v>0.15</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8"/>
      <c r="C369" s="24">
        <f t="shared" si="64"/>
        <v>1</v>
      </c>
      <c r="D369" s="717"/>
      <c r="E369" s="24">
        <f t="shared" si="65"/>
        <v>0.15</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8"/>
      <c r="C370" s="24">
        <f t="shared" si="64"/>
        <v>1</v>
      </c>
      <c r="D370" s="717"/>
      <c r="E370" s="24">
        <f t="shared" si="65"/>
        <v>0.15</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8"/>
      <c r="C371" s="24">
        <f t="shared" si="64"/>
        <v>1</v>
      </c>
      <c r="D371" s="717"/>
      <c r="E371" s="24">
        <f t="shared" si="65"/>
        <v>0.15</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8"/>
      <c r="C372" s="24">
        <f t="shared" si="64"/>
        <v>1</v>
      </c>
      <c r="D372" s="717"/>
      <c r="E372" s="24">
        <f t="shared" si="65"/>
        <v>0.15</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8"/>
      <c r="C373" s="24">
        <f t="shared" si="64"/>
        <v>1</v>
      </c>
      <c r="D373" s="717"/>
      <c r="E373" s="24">
        <f t="shared" si="65"/>
        <v>0.15</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8"/>
      <c r="C374" s="24">
        <f t="shared" si="64"/>
        <v>1</v>
      </c>
      <c r="D374" s="717"/>
      <c r="E374" s="24">
        <f t="shared" si="65"/>
        <v>0.15</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8"/>
      <c r="C375" s="24">
        <f t="shared" si="64"/>
        <v>1</v>
      </c>
      <c r="D375" s="717"/>
      <c r="E375" s="24">
        <f t="shared" si="65"/>
        <v>0.15</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8"/>
      <c r="C376" s="24">
        <f t="shared" si="64"/>
        <v>1</v>
      </c>
      <c r="D376" s="717"/>
      <c r="E376" s="24">
        <f t="shared" si="65"/>
        <v>0.15</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8"/>
      <c r="C377" s="24">
        <f t="shared" si="64"/>
        <v>1</v>
      </c>
      <c r="D377" s="717"/>
      <c r="E377" s="24">
        <f t="shared" si="65"/>
        <v>0.15</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8"/>
      <c r="C378" s="24">
        <f t="shared" si="64"/>
        <v>1</v>
      </c>
      <c r="D378" s="717"/>
      <c r="E378" s="24">
        <f t="shared" si="65"/>
        <v>0.15</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8"/>
      <c r="C379" s="24">
        <f t="shared" si="64"/>
        <v>1</v>
      </c>
      <c r="D379" s="717"/>
      <c r="E379" s="24">
        <f t="shared" si="65"/>
        <v>0.15</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8"/>
      <c r="C380" s="24">
        <f t="shared" si="64"/>
        <v>1</v>
      </c>
      <c r="D380" s="717"/>
      <c r="E380" s="24">
        <f t="shared" si="65"/>
        <v>0.15</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8"/>
      <c r="C381" s="24">
        <f t="shared" si="64"/>
        <v>1</v>
      </c>
      <c r="D381" s="717"/>
      <c r="E381" s="24">
        <f t="shared" si="65"/>
        <v>0.15</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8"/>
      <c r="C382" s="24">
        <f t="shared" si="64"/>
        <v>1</v>
      </c>
      <c r="D382" s="717"/>
      <c r="E382" s="24">
        <f t="shared" si="65"/>
        <v>0.15</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8"/>
      <c r="C383" s="24">
        <f t="shared" si="64"/>
        <v>1</v>
      </c>
      <c r="D383" s="717"/>
      <c r="E383" s="24">
        <f t="shared" si="65"/>
        <v>0.15</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8"/>
      <c r="C384" s="24">
        <f t="shared" si="64"/>
        <v>1</v>
      </c>
      <c r="D384" s="717"/>
      <c r="E384" s="24">
        <f t="shared" si="65"/>
        <v>0.15</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8"/>
      <c r="C385" s="24">
        <f t="shared" si="64"/>
        <v>1</v>
      </c>
      <c r="D385" s="717"/>
      <c r="E385" s="24">
        <f t="shared" si="65"/>
        <v>0.15</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8"/>
      <c r="C386" s="24">
        <f t="shared" si="64"/>
        <v>1</v>
      </c>
      <c r="D386" s="717"/>
      <c r="E386" s="24">
        <f t="shared" si="65"/>
        <v>0.15</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8"/>
      <c r="C387" s="24">
        <f t="shared" si="64"/>
        <v>1</v>
      </c>
      <c r="D387" s="717"/>
      <c r="E387" s="24">
        <f t="shared" si="65"/>
        <v>0.15</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8"/>
      <c r="C388" s="24">
        <f t="shared" si="64"/>
        <v>1</v>
      </c>
      <c r="D388" s="717"/>
      <c r="E388" s="24">
        <f t="shared" si="65"/>
        <v>0.15</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8"/>
      <c r="C389" s="24">
        <f t="shared" si="64"/>
        <v>1</v>
      </c>
      <c r="D389" s="717"/>
      <c r="E389" s="24">
        <f t="shared" si="65"/>
        <v>0.15</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8"/>
      <c r="C390" s="24">
        <f t="shared" si="64"/>
        <v>1</v>
      </c>
      <c r="D390" s="717"/>
      <c r="E390" s="24">
        <f t="shared" si="65"/>
        <v>0.15</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8"/>
      <c r="C391" s="24">
        <f t="shared" si="64"/>
        <v>1</v>
      </c>
      <c r="D391" s="717"/>
      <c r="E391" s="24">
        <f t="shared" si="65"/>
        <v>0.15</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8"/>
      <c r="C392" s="24">
        <f t="shared" si="64"/>
        <v>1</v>
      </c>
      <c r="D392" s="717"/>
      <c r="E392" s="24">
        <f t="shared" si="65"/>
        <v>0.15</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8"/>
      <c r="C393" s="24">
        <f t="shared" si="64"/>
        <v>1</v>
      </c>
      <c r="D393" s="717"/>
      <c r="E393" s="24">
        <f t="shared" si="65"/>
        <v>0.15</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8"/>
      <c r="C394" s="24">
        <f t="shared" si="64"/>
        <v>1</v>
      </c>
      <c r="D394" s="717"/>
      <c r="E394" s="24">
        <f t="shared" si="65"/>
        <v>0.15</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8"/>
      <c r="C395" s="24">
        <f t="shared" si="64"/>
        <v>1</v>
      </c>
      <c r="D395" s="717"/>
      <c r="E395" s="24">
        <f t="shared" si="65"/>
        <v>0.15</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8"/>
      <c r="C396" s="24">
        <f t="shared" si="64"/>
        <v>1</v>
      </c>
      <c r="D396" s="717"/>
      <c r="E396" s="24">
        <f t="shared" si="65"/>
        <v>0.15</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8"/>
      <c r="C397" s="24">
        <f t="shared" si="64"/>
        <v>1</v>
      </c>
      <c r="D397" s="717"/>
      <c r="E397" s="24">
        <f t="shared" si="65"/>
        <v>0.15</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8"/>
      <c r="C398" s="24">
        <f t="shared" si="64"/>
        <v>1</v>
      </c>
      <c r="D398" s="717"/>
      <c r="E398" s="24">
        <f t="shared" si="65"/>
        <v>0.15</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8"/>
      <c r="C399" s="24">
        <f t="shared" si="64"/>
        <v>1</v>
      </c>
      <c r="D399" s="717"/>
      <c r="E399" s="24">
        <f t="shared" si="65"/>
        <v>0.15</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8"/>
      <c r="C400" s="24">
        <f t="shared" si="64"/>
        <v>1</v>
      </c>
      <c r="D400" s="717"/>
      <c r="E400" s="24">
        <f t="shared" si="65"/>
        <v>0.15</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8"/>
      <c r="C401" s="24">
        <f t="shared" si="64"/>
        <v>1</v>
      </c>
      <c r="D401" s="717"/>
      <c r="E401" s="24">
        <f t="shared" si="65"/>
        <v>0.15</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8"/>
      <c r="C402" s="24">
        <f t="shared" si="64"/>
        <v>1</v>
      </c>
      <c r="D402" s="717"/>
      <c r="E402" s="24">
        <f t="shared" si="65"/>
        <v>0.15</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8"/>
      <c r="C403" s="24">
        <f t="shared" si="64"/>
        <v>1</v>
      </c>
      <c r="D403" s="717"/>
      <c r="E403" s="24">
        <f t="shared" si="65"/>
        <v>0.15</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8"/>
      <c r="C404" s="24">
        <f t="shared" si="64"/>
        <v>1</v>
      </c>
      <c r="D404" s="717"/>
      <c r="E404" s="24">
        <f t="shared" si="65"/>
        <v>0.15</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8"/>
      <c r="C405" s="24">
        <f t="shared" si="64"/>
        <v>1</v>
      </c>
      <c r="D405" s="717"/>
      <c r="E405" s="24">
        <f t="shared" si="65"/>
        <v>0.15</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8"/>
      <c r="C406" s="24">
        <f t="shared" si="64"/>
        <v>1</v>
      </c>
      <c r="D406" s="717"/>
      <c r="E406" s="24">
        <f t="shared" si="65"/>
        <v>0.15</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8"/>
      <c r="C407" s="24">
        <f t="shared" si="64"/>
        <v>1</v>
      </c>
      <c r="D407" s="717"/>
      <c r="E407" s="24">
        <f t="shared" si="65"/>
        <v>0.15</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8"/>
      <c r="C408" s="24">
        <f t="shared" si="64"/>
        <v>1</v>
      </c>
      <c r="D408" s="717"/>
      <c r="E408" s="24">
        <f t="shared" si="65"/>
        <v>0.15</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8"/>
      <c r="C409" s="24">
        <f t="shared" si="64"/>
        <v>1</v>
      </c>
      <c r="D409" s="717"/>
      <c r="E409" s="24">
        <f t="shared" si="65"/>
        <v>0.15</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8"/>
      <c r="C410" s="24">
        <f t="shared" ref="C410:C473" si="74">IF(B410="",1,(LOOKUP(B410,$3:$3,$4:$4)-LOOKUP($B$24,$3:$3,$4:$4)+100)/100)</f>
        <v>1</v>
      </c>
      <c r="D410" s="717"/>
      <c r="E410" s="24">
        <f t="shared" ref="E410:E473" si="75">(SUMIF($5:$5,D410,$6:$6)-SUMIF($5:$5,$D$24,$6:$6)+100)/100</f>
        <v>0.15</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8"/>
      <c r="C411" s="24">
        <f t="shared" si="74"/>
        <v>1</v>
      </c>
      <c r="D411" s="717"/>
      <c r="E411" s="24">
        <f t="shared" si="75"/>
        <v>0.15</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8"/>
      <c r="C412" s="24">
        <f t="shared" si="74"/>
        <v>1</v>
      </c>
      <c r="D412" s="717"/>
      <c r="E412" s="24">
        <f t="shared" si="75"/>
        <v>0.15</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8"/>
      <c r="C413" s="24">
        <f t="shared" si="74"/>
        <v>1</v>
      </c>
      <c r="D413" s="717"/>
      <c r="E413" s="24">
        <f t="shared" si="75"/>
        <v>0.15</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8"/>
      <c r="C414" s="24">
        <f t="shared" si="74"/>
        <v>1</v>
      </c>
      <c r="D414" s="717"/>
      <c r="E414" s="24">
        <f t="shared" si="75"/>
        <v>0.15</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8"/>
      <c r="C415" s="24">
        <f t="shared" si="74"/>
        <v>1</v>
      </c>
      <c r="D415" s="717"/>
      <c r="E415" s="24">
        <f t="shared" si="75"/>
        <v>0.15</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8"/>
      <c r="C416" s="24">
        <f t="shared" si="74"/>
        <v>1</v>
      </c>
      <c r="D416" s="717"/>
      <c r="E416" s="24">
        <f t="shared" si="75"/>
        <v>0.15</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8"/>
      <c r="C417" s="24">
        <f t="shared" si="74"/>
        <v>1</v>
      </c>
      <c r="D417" s="717"/>
      <c r="E417" s="24">
        <f t="shared" si="75"/>
        <v>0.15</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8"/>
      <c r="C418" s="24">
        <f t="shared" si="74"/>
        <v>1</v>
      </c>
      <c r="D418" s="717"/>
      <c r="E418" s="24">
        <f t="shared" si="75"/>
        <v>0.15</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8"/>
      <c r="C419" s="24">
        <f t="shared" si="74"/>
        <v>1</v>
      </c>
      <c r="D419" s="717"/>
      <c r="E419" s="24">
        <f t="shared" si="75"/>
        <v>0.15</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8"/>
      <c r="C420" s="24">
        <f t="shared" si="74"/>
        <v>1</v>
      </c>
      <c r="D420" s="717"/>
      <c r="E420" s="24">
        <f t="shared" si="75"/>
        <v>0.15</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8"/>
      <c r="C421" s="24">
        <f t="shared" si="74"/>
        <v>1</v>
      </c>
      <c r="D421" s="717"/>
      <c r="E421" s="24">
        <f t="shared" si="75"/>
        <v>0.15</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8"/>
      <c r="C422" s="24">
        <f t="shared" si="74"/>
        <v>1</v>
      </c>
      <c r="D422" s="717"/>
      <c r="E422" s="24">
        <f t="shared" si="75"/>
        <v>0.15</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8"/>
      <c r="C423" s="24">
        <f t="shared" si="74"/>
        <v>1</v>
      </c>
      <c r="D423" s="717"/>
      <c r="E423" s="24">
        <f t="shared" si="75"/>
        <v>0.15</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8"/>
      <c r="C424" s="24">
        <f t="shared" si="74"/>
        <v>1</v>
      </c>
      <c r="D424" s="717"/>
      <c r="E424" s="24">
        <f t="shared" si="75"/>
        <v>0.15</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8"/>
      <c r="C425" s="24">
        <f t="shared" si="74"/>
        <v>1</v>
      </c>
      <c r="D425" s="717"/>
      <c r="E425" s="24">
        <f t="shared" si="75"/>
        <v>0.15</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8"/>
      <c r="C426" s="24">
        <f t="shared" si="74"/>
        <v>1</v>
      </c>
      <c r="D426" s="717"/>
      <c r="E426" s="24">
        <f t="shared" si="75"/>
        <v>0.15</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8"/>
      <c r="C427" s="24">
        <f t="shared" si="74"/>
        <v>1</v>
      </c>
      <c r="D427" s="717"/>
      <c r="E427" s="24">
        <f t="shared" si="75"/>
        <v>0.15</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8"/>
      <c r="C428" s="24">
        <f t="shared" si="74"/>
        <v>1</v>
      </c>
      <c r="D428" s="717"/>
      <c r="E428" s="24">
        <f t="shared" si="75"/>
        <v>0.15</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8"/>
      <c r="C429" s="24">
        <f t="shared" si="74"/>
        <v>1</v>
      </c>
      <c r="D429" s="717"/>
      <c r="E429" s="24">
        <f t="shared" si="75"/>
        <v>0.15</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8"/>
      <c r="C430" s="24">
        <f t="shared" si="74"/>
        <v>1</v>
      </c>
      <c r="D430" s="717"/>
      <c r="E430" s="24">
        <f t="shared" si="75"/>
        <v>0.15</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8"/>
      <c r="C431" s="24">
        <f t="shared" si="74"/>
        <v>1</v>
      </c>
      <c r="D431" s="717"/>
      <c r="E431" s="24">
        <f t="shared" si="75"/>
        <v>0.15</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8"/>
      <c r="C432" s="24">
        <f t="shared" si="74"/>
        <v>1</v>
      </c>
      <c r="D432" s="717"/>
      <c r="E432" s="24">
        <f t="shared" si="75"/>
        <v>0.15</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8"/>
      <c r="C433" s="24">
        <f t="shared" si="74"/>
        <v>1</v>
      </c>
      <c r="D433" s="717"/>
      <c r="E433" s="24">
        <f t="shared" si="75"/>
        <v>0.15</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8"/>
      <c r="C434" s="24">
        <f t="shared" si="74"/>
        <v>1</v>
      </c>
      <c r="D434" s="717"/>
      <c r="E434" s="24">
        <f t="shared" si="75"/>
        <v>0.15</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8"/>
      <c r="C435" s="24">
        <f t="shared" si="74"/>
        <v>1</v>
      </c>
      <c r="D435" s="717"/>
      <c r="E435" s="24">
        <f t="shared" si="75"/>
        <v>0.15</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8"/>
      <c r="C436" s="24">
        <f t="shared" si="74"/>
        <v>1</v>
      </c>
      <c r="D436" s="717"/>
      <c r="E436" s="24">
        <f t="shared" si="75"/>
        <v>0.15</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8"/>
      <c r="C437" s="24">
        <f t="shared" si="74"/>
        <v>1</v>
      </c>
      <c r="D437" s="717"/>
      <c r="E437" s="24">
        <f t="shared" si="75"/>
        <v>0.15</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8"/>
      <c r="C438" s="24">
        <f t="shared" si="74"/>
        <v>1</v>
      </c>
      <c r="D438" s="717"/>
      <c r="E438" s="24">
        <f t="shared" si="75"/>
        <v>0.15</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8"/>
      <c r="C439" s="24">
        <f t="shared" si="74"/>
        <v>1</v>
      </c>
      <c r="D439" s="717"/>
      <c r="E439" s="24">
        <f t="shared" si="75"/>
        <v>0.15</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8"/>
      <c r="C440" s="24">
        <f t="shared" si="74"/>
        <v>1</v>
      </c>
      <c r="D440" s="717"/>
      <c r="E440" s="24">
        <f t="shared" si="75"/>
        <v>0.15</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8"/>
      <c r="C441" s="24">
        <f t="shared" si="74"/>
        <v>1</v>
      </c>
      <c r="D441" s="717"/>
      <c r="E441" s="24">
        <f t="shared" si="75"/>
        <v>0.15</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8"/>
      <c r="C442" s="24">
        <f t="shared" si="74"/>
        <v>1</v>
      </c>
      <c r="D442" s="717"/>
      <c r="E442" s="24">
        <f t="shared" si="75"/>
        <v>0.15</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8"/>
      <c r="C443" s="24">
        <f t="shared" si="74"/>
        <v>1</v>
      </c>
      <c r="D443" s="717"/>
      <c r="E443" s="24">
        <f t="shared" si="75"/>
        <v>0.15</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8"/>
      <c r="C444" s="24">
        <f t="shared" si="74"/>
        <v>1</v>
      </c>
      <c r="D444" s="717"/>
      <c r="E444" s="24">
        <f t="shared" si="75"/>
        <v>0.15</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8"/>
      <c r="C445" s="24">
        <f t="shared" si="74"/>
        <v>1</v>
      </c>
      <c r="D445" s="717"/>
      <c r="E445" s="24">
        <f t="shared" si="75"/>
        <v>0.15</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8"/>
      <c r="C446" s="24">
        <f t="shared" si="74"/>
        <v>1</v>
      </c>
      <c r="D446" s="717"/>
      <c r="E446" s="24">
        <f t="shared" si="75"/>
        <v>0.15</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8"/>
      <c r="C447" s="24">
        <f t="shared" si="74"/>
        <v>1</v>
      </c>
      <c r="D447" s="717"/>
      <c r="E447" s="24">
        <f t="shared" si="75"/>
        <v>0.15</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8"/>
      <c r="C448" s="24">
        <f t="shared" si="74"/>
        <v>1</v>
      </c>
      <c r="D448" s="717"/>
      <c r="E448" s="24">
        <f t="shared" si="75"/>
        <v>0.15</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8"/>
      <c r="C449" s="24">
        <f t="shared" si="74"/>
        <v>1</v>
      </c>
      <c r="D449" s="717"/>
      <c r="E449" s="24">
        <f t="shared" si="75"/>
        <v>0.15</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8"/>
      <c r="C450" s="24">
        <f t="shared" si="74"/>
        <v>1</v>
      </c>
      <c r="D450" s="717"/>
      <c r="E450" s="24">
        <f t="shared" si="75"/>
        <v>0.15</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8"/>
      <c r="C451" s="24">
        <f t="shared" si="74"/>
        <v>1</v>
      </c>
      <c r="D451" s="717"/>
      <c r="E451" s="24">
        <f t="shared" si="75"/>
        <v>0.15</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8"/>
      <c r="C452" s="24">
        <f t="shared" si="74"/>
        <v>1</v>
      </c>
      <c r="D452" s="717"/>
      <c r="E452" s="24">
        <f t="shared" si="75"/>
        <v>0.15</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8"/>
      <c r="C453" s="24">
        <f t="shared" si="74"/>
        <v>1</v>
      </c>
      <c r="D453" s="717"/>
      <c r="E453" s="24">
        <f t="shared" si="75"/>
        <v>0.15</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8"/>
      <c r="C454" s="24">
        <f t="shared" si="74"/>
        <v>1</v>
      </c>
      <c r="D454" s="717"/>
      <c r="E454" s="24">
        <f t="shared" si="75"/>
        <v>0.15</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8"/>
      <c r="C455" s="24">
        <f t="shared" si="74"/>
        <v>1</v>
      </c>
      <c r="D455" s="717"/>
      <c r="E455" s="24">
        <f t="shared" si="75"/>
        <v>0.15</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8"/>
      <c r="C456" s="24">
        <f t="shared" si="74"/>
        <v>1</v>
      </c>
      <c r="D456" s="717"/>
      <c r="E456" s="24">
        <f t="shared" si="75"/>
        <v>0.15</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8"/>
      <c r="C457" s="24">
        <f t="shared" si="74"/>
        <v>1</v>
      </c>
      <c r="D457" s="717"/>
      <c r="E457" s="24">
        <f t="shared" si="75"/>
        <v>0.15</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8"/>
      <c r="C458" s="24">
        <f t="shared" si="74"/>
        <v>1</v>
      </c>
      <c r="D458" s="717"/>
      <c r="E458" s="24">
        <f t="shared" si="75"/>
        <v>0.15</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8"/>
      <c r="C459" s="24">
        <f t="shared" si="74"/>
        <v>1</v>
      </c>
      <c r="D459" s="717"/>
      <c r="E459" s="24">
        <f t="shared" si="75"/>
        <v>0.15</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8"/>
      <c r="C460" s="24">
        <f t="shared" si="74"/>
        <v>1</v>
      </c>
      <c r="D460" s="717"/>
      <c r="E460" s="24">
        <f t="shared" si="75"/>
        <v>0.15</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8"/>
      <c r="C461" s="24">
        <f t="shared" si="74"/>
        <v>1</v>
      </c>
      <c r="D461" s="717"/>
      <c r="E461" s="24">
        <f t="shared" si="75"/>
        <v>0.15</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8"/>
      <c r="C462" s="24">
        <f t="shared" si="74"/>
        <v>1</v>
      </c>
      <c r="D462" s="717"/>
      <c r="E462" s="24">
        <f t="shared" si="75"/>
        <v>0.15</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8"/>
      <c r="C463" s="24">
        <f t="shared" si="74"/>
        <v>1</v>
      </c>
      <c r="D463" s="717"/>
      <c r="E463" s="24">
        <f t="shared" si="75"/>
        <v>0.15</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8"/>
      <c r="C464" s="24">
        <f t="shared" si="74"/>
        <v>1</v>
      </c>
      <c r="D464" s="717"/>
      <c r="E464" s="24">
        <f t="shared" si="75"/>
        <v>0.15</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8"/>
      <c r="C465" s="24">
        <f t="shared" si="74"/>
        <v>1</v>
      </c>
      <c r="D465" s="717"/>
      <c r="E465" s="24">
        <f t="shared" si="75"/>
        <v>0.15</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8"/>
      <c r="C466" s="24">
        <f t="shared" si="74"/>
        <v>1</v>
      </c>
      <c r="D466" s="717"/>
      <c r="E466" s="24">
        <f t="shared" si="75"/>
        <v>0.15</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8"/>
      <c r="C467" s="24">
        <f t="shared" si="74"/>
        <v>1</v>
      </c>
      <c r="D467" s="717"/>
      <c r="E467" s="24">
        <f t="shared" si="75"/>
        <v>0.15</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8"/>
      <c r="C468" s="24">
        <f t="shared" si="74"/>
        <v>1</v>
      </c>
      <c r="D468" s="717"/>
      <c r="E468" s="24">
        <f t="shared" si="75"/>
        <v>0.15</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8"/>
      <c r="C469" s="24">
        <f t="shared" si="74"/>
        <v>1</v>
      </c>
      <c r="D469" s="717"/>
      <c r="E469" s="24">
        <f t="shared" si="75"/>
        <v>0.15</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8"/>
      <c r="C470" s="24">
        <f t="shared" si="74"/>
        <v>1</v>
      </c>
      <c r="D470" s="717"/>
      <c r="E470" s="24">
        <f t="shared" si="75"/>
        <v>0.15</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8"/>
      <c r="C471" s="24">
        <f t="shared" si="74"/>
        <v>1</v>
      </c>
      <c r="D471" s="717"/>
      <c r="E471" s="24">
        <f t="shared" si="75"/>
        <v>0.15</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8"/>
      <c r="C472" s="24">
        <f t="shared" si="74"/>
        <v>1</v>
      </c>
      <c r="D472" s="717"/>
      <c r="E472" s="24">
        <f t="shared" si="75"/>
        <v>0.15</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8"/>
      <c r="C473" s="24">
        <f t="shared" si="74"/>
        <v>1</v>
      </c>
      <c r="D473" s="717"/>
      <c r="E473" s="24">
        <f t="shared" si="75"/>
        <v>0.15</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8"/>
      <c r="C474" s="24">
        <f t="shared" ref="C474:C524" si="85">IF(B474="",1,(LOOKUP(B474,$3:$3,$4:$4)-LOOKUP($B$24,$3:$3,$4:$4)+100)/100)</f>
        <v>1</v>
      </c>
      <c r="D474" s="717"/>
      <c r="E474" s="24">
        <f t="shared" ref="E474:E524" si="86">(SUMIF($5:$5,D474,$6:$6)-SUMIF($5:$5,$D$24,$6:$6)+100)/100</f>
        <v>0.15</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8"/>
      <c r="C475" s="24">
        <f t="shared" si="85"/>
        <v>1</v>
      </c>
      <c r="D475" s="717"/>
      <c r="E475" s="24">
        <f t="shared" si="86"/>
        <v>0.15</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8"/>
      <c r="C476" s="24">
        <f t="shared" si="85"/>
        <v>1</v>
      </c>
      <c r="D476" s="717"/>
      <c r="E476" s="24">
        <f t="shared" si="86"/>
        <v>0.15</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8"/>
      <c r="C477" s="24">
        <f t="shared" si="85"/>
        <v>1</v>
      </c>
      <c r="D477" s="717"/>
      <c r="E477" s="24">
        <f t="shared" si="86"/>
        <v>0.15</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8"/>
      <c r="C478" s="24">
        <f t="shared" si="85"/>
        <v>1</v>
      </c>
      <c r="D478" s="717"/>
      <c r="E478" s="24">
        <f t="shared" si="86"/>
        <v>0.15</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8"/>
      <c r="C479" s="24">
        <f t="shared" si="85"/>
        <v>1</v>
      </c>
      <c r="D479" s="717"/>
      <c r="E479" s="24">
        <f t="shared" si="86"/>
        <v>0.15</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8"/>
      <c r="C480" s="24">
        <f t="shared" si="85"/>
        <v>1</v>
      </c>
      <c r="D480" s="717"/>
      <c r="E480" s="24">
        <f t="shared" si="86"/>
        <v>0.15</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8"/>
      <c r="C481" s="24">
        <f t="shared" si="85"/>
        <v>1</v>
      </c>
      <c r="D481" s="717"/>
      <c r="E481" s="24">
        <f t="shared" si="86"/>
        <v>0.15</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8"/>
      <c r="C482" s="24">
        <f t="shared" si="85"/>
        <v>1</v>
      </c>
      <c r="D482" s="717"/>
      <c r="E482" s="24">
        <f t="shared" si="86"/>
        <v>0.15</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8"/>
      <c r="C483" s="24">
        <f t="shared" si="85"/>
        <v>1</v>
      </c>
      <c r="D483" s="717"/>
      <c r="E483" s="24">
        <f t="shared" si="86"/>
        <v>0.15</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8"/>
      <c r="C484" s="24">
        <f t="shared" si="85"/>
        <v>1</v>
      </c>
      <c r="D484" s="717"/>
      <c r="E484" s="24">
        <f t="shared" si="86"/>
        <v>0.15</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8"/>
      <c r="C485" s="24">
        <f t="shared" si="85"/>
        <v>1</v>
      </c>
      <c r="D485" s="717"/>
      <c r="E485" s="24">
        <f t="shared" si="86"/>
        <v>0.15</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8"/>
      <c r="C486" s="24">
        <f t="shared" si="85"/>
        <v>1</v>
      </c>
      <c r="D486" s="717"/>
      <c r="E486" s="24">
        <f t="shared" si="86"/>
        <v>0.15</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8"/>
      <c r="C487" s="24">
        <f t="shared" si="85"/>
        <v>1</v>
      </c>
      <c r="D487" s="717"/>
      <c r="E487" s="24">
        <f t="shared" si="86"/>
        <v>0.15</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8"/>
      <c r="C488" s="24">
        <f t="shared" si="85"/>
        <v>1</v>
      </c>
      <c r="D488" s="717"/>
      <c r="E488" s="24">
        <f t="shared" si="86"/>
        <v>0.15</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8"/>
      <c r="C489" s="24">
        <f t="shared" si="85"/>
        <v>1</v>
      </c>
      <c r="D489" s="717"/>
      <c r="E489" s="24">
        <f t="shared" si="86"/>
        <v>0.15</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8"/>
      <c r="C490" s="24">
        <f t="shared" si="85"/>
        <v>1</v>
      </c>
      <c r="D490" s="717"/>
      <c r="E490" s="24">
        <f t="shared" si="86"/>
        <v>0.15</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8"/>
      <c r="C491" s="24">
        <f t="shared" si="85"/>
        <v>1</v>
      </c>
      <c r="D491" s="717"/>
      <c r="E491" s="24">
        <f t="shared" si="86"/>
        <v>0.15</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8"/>
      <c r="C492" s="24">
        <f t="shared" si="85"/>
        <v>1</v>
      </c>
      <c r="D492" s="717"/>
      <c r="E492" s="24">
        <f t="shared" si="86"/>
        <v>0.15</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8"/>
      <c r="C493" s="24">
        <f t="shared" si="85"/>
        <v>1</v>
      </c>
      <c r="D493" s="717"/>
      <c r="E493" s="24">
        <f t="shared" si="86"/>
        <v>0.15</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8"/>
      <c r="C494" s="24">
        <f t="shared" si="85"/>
        <v>1</v>
      </c>
      <c r="D494" s="717"/>
      <c r="E494" s="24">
        <f t="shared" si="86"/>
        <v>0.15</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8"/>
      <c r="C495" s="24">
        <f t="shared" si="85"/>
        <v>1</v>
      </c>
      <c r="D495" s="717"/>
      <c r="E495" s="24">
        <f t="shared" si="86"/>
        <v>0.15</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8"/>
      <c r="C496" s="24">
        <f t="shared" si="85"/>
        <v>1</v>
      </c>
      <c r="D496" s="717"/>
      <c r="E496" s="24">
        <f t="shared" si="86"/>
        <v>0.15</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8"/>
      <c r="C497" s="24">
        <f t="shared" si="85"/>
        <v>1</v>
      </c>
      <c r="D497" s="717"/>
      <c r="E497" s="24">
        <f t="shared" si="86"/>
        <v>0.15</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8"/>
      <c r="C498" s="24">
        <f t="shared" si="85"/>
        <v>1</v>
      </c>
      <c r="D498" s="717"/>
      <c r="E498" s="24">
        <f t="shared" si="86"/>
        <v>0.15</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8"/>
      <c r="C499" s="24">
        <f t="shared" si="85"/>
        <v>1</v>
      </c>
      <c r="D499" s="717"/>
      <c r="E499" s="24">
        <f t="shared" si="86"/>
        <v>0.15</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8"/>
      <c r="C500" s="24">
        <f t="shared" si="85"/>
        <v>1</v>
      </c>
      <c r="D500" s="717"/>
      <c r="E500" s="24">
        <f t="shared" si="86"/>
        <v>0.15</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8"/>
      <c r="C501" s="24">
        <f t="shared" si="85"/>
        <v>1</v>
      </c>
      <c r="D501" s="717"/>
      <c r="E501" s="24">
        <f t="shared" si="86"/>
        <v>0.15</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8"/>
      <c r="C502" s="24">
        <f t="shared" si="85"/>
        <v>1</v>
      </c>
      <c r="D502" s="717"/>
      <c r="E502" s="24">
        <f t="shared" si="86"/>
        <v>0.15</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8"/>
      <c r="C503" s="24">
        <f t="shared" si="85"/>
        <v>1</v>
      </c>
      <c r="D503" s="717"/>
      <c r="E503" s="24">
        <f t="shared" si="86"/>
        <v>0.15</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8"/>
      <c r="C504" s="24">
        <f t="shared" si="85"/>
        <v>1</v>
      </c>
      <c r="D504" s="717"/>
      <c r="E504" s="24">
        <f t="shared" si="86"/>
        <v>0.15</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8"/>
      <c r="C505" s="24">
        <f t="shared" si="85"/>
        <v>1</v>
      </c>
      <c r="D505" s="717"/>
      <c r="E505" s="24">
        <f t="shared" si="86"/>
        <v>0.15</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8"/>
      <c r="C506" s="24">
        <f t="shared" si="85"/>
        <v>1</v>
      </c>
      <c r="D506" s="717"/>
      <c r="E506" s="24">
        <f t="shared" si="86"/>
        <v>0.15</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8"/>
      <c r="C507" s="24">
        <f t="shared" si="85"/>
        <v>1</v>
      </c>
      <c r="D507" s="717"/>
      <c r="E507" s="24">
        <f t="shared" si="86"/>
        <v>0.15</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8"/>
      <c r="C508" s="24">
        <f t="shared" si="85"/>
        <v>1</v>
      </c>
      <c r="D508" s="717"/>
      <c r="E508" s="24">
        <f t="shared" si="86"/>
        <v>0.15</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8"/>
      <c r="C509" s="24">
        <f t="shared" si="85"/>
        <v>1</v>
      </c>
      <c r="D509" s="717"/>
      <c r="E509" s="24">
        <f t="shared" si="86"/>
        <v>0.15</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8"/>
      <c r="C510" s="24">
        <f t="shared" si="85"/>
        <v>1</v>
      </c>
      <c r="D510" s="717"/>
      <c r="E510" s="24">
        <f t="shared" si="86"/>
        <v>0.15</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8"/>
      <c r="C511" s="24">
        <f t="shared" si="85"/>
        <v>1</v>
      </c>
      <c r="D511" s="717"/>
      <c r="E511" s="24">
        <f t="shared" si="86"/>
        <v>0.15</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8"/>
      <c r="C512" s="24">
        <f t="shared" si="85"/>
        <v>1</v>
      </c>
      <c r="D512" s="717"/>
      <c r="E512" s="24">
        <f t="shared" si="86"/>
        <v>0.15</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8"/>
      <c r="C513" s="24">
        <f t="shared" si="85"/>
        <v>1</v>
      </c>
      <c r="D513" s="717"/>
      <c r="E513" s="24">
        <f t="shared" si="86"/>
        <v>0.15</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8"/>
      <c r="C514" s="24">
        <f t="shared" si="85"/>
        <v>1</v>
      </c>
      <c r="D514" s="717"/>
      <c r="E514" s="24">
        <f t="shared" si="86"/>
        <v>0.15</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8"/>
      <c r="C515" s="24">
        <f t="shared" si="85"/>
        <v>1</v>
      </c>
      <c r="D515" s="717"/>
      <c r="E515" s="24">
        <f t="shared" si="86"/>
        <v>0.15</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8"/>
      <c r="C516" s="24">
        <f t="shared" si="85"/>
        <v>1</v>
      </c>
      <c r="D516" s="717"/>
      <c r="E516" s="24">
        <f t="shared" si="86"/>
        <v>0.15</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8"/>
      <c r="C517" s="24">
        <f t="shared" si="85"/>
        <v>1</v>
      </c>
      <c r="D517" s="717"/>
      <c r="E517" s="24">
        <f t="shared" si="86"/>
        <v>0.15</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8"/>
      <c r="C518" s="24">
        <f t="shared" si="85"/>
        <v>1</v>
      </c>
      <c r="D518" s="717"/>
      <c r="E518" s="24">
        <f t="shared" si="86"/>
        <v>0.15</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8"/>
      <c r="C519" s="24">
        <f t="shared" si="85"/>
        <v>1</v>
      </c>
      <c r="D519" s="717"/>
      <c r="E519" s="24">
        <f t="shared" si="86"/>
        <v>0.15</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8"/>
      <c r="C520" s="24">
        <f t="shared" si="85"/>
        <v>1</v>
      </c>
      <c r="D520" s="717"/>
      <c r="E520" s="24">
        <f t="shared" si="86"/>
        <v>0.15</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8"/>
      <c r="C521" s="24">
        <f t="shared" si="85"/>
        <v>1</v>
      </c>
      <c r="D521" s="717"/>
      <c r="E521" s="24">
        <f t="shared" si="86"/>
        <v>0.15</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8"/>
      <c r="C522" s="24">
        <f t="shared" si="85"/>
        <v>1</v>
      </c>
      <c r="D522" s="717"/>
      <c r="E522" s="24">
        <f t="shared" si="86"/>
        <v>0.15</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8"/>
      <c r="C523" s="24">
        <f t="shared" si="85"/>
        <v>1</v>
      </c>
      <c r="D523" s="717"/>
      <c r="E523" s="24">
        <f t="shared" si="86"/>
        <v>0.15</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8"/>
      <c r="C524" s="24">
        <f t="shared" si="85"/>
        <v>1</v>
      </c>
      <c r="D524" s="717"/>
      <c r="E524" s="24">
        <f t="shared" si="86"/>
        <v>0.15</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1"/>
      <c r="B4" s="2979" t="s">
        <v>1626</v>
      </c>
      <c r="C4" s="2979"/>
      <c r="D4" s="2979"/>
      <c r="E4" s="1961"/>
    </row>
    <row r="5" spans="1:5" ht="16.5" thickTop="1">
      <c r="A5" s="1959"/>
      <c r="B5" s="2977" t="s">
        <v>1618</v>
      </c>
      <c r="C5" s="1962" t="s">
        <v>1619</v>
      </c>
      <c r="D5" s="1040">
        <f ca="1">结果表!H101</f>
        <v>1090</v>
      </c>
      <c r="E5" s="1959"/>
    </row>
    <row r="6" spans="1:5" ht="15.75">
      <c r="A6" s="1959"/>
      <c r="B6" s="2977"/>
      <c r="C6" s="1962" t="s">
        <v>1620</v>
      </c>
      <c r="D6" s="1040" t="str">
        <f ca="1">NUMBERSTRING(INT(D5*10000),2)&amp;"元整"</f>
        <v>壹仟零玖拾万元整</v>
      </c>
      <c r="E6" s="1959"/>
    </row>
    <row r="7" spans="1:5" ht="15.75">
      <c r="A7" s="1959"/>
      <c r="B7" s="2982"/>
      <c r="C7" s="1963" t="s">
        <v>1621</v>
      </c>
      <c r="D7" s="1041">
        <f ca="1">结果表!H102</f>
        <v>350</v>
      </c>
      <c r="E7" s="1959"/>
    </row>
    <row r="8" spans="1:5" ht="15.75">
      <c r="A8" s="1959"/>
      <c r="B8" s="2983" t="str">
        <f>结果表!E103</f>
        <v>2.估价师知悉的法定优先受偿款</v>
      </c>
      <c r="C8" s="1964" t="s">
        <v>1622</v>
      </c>
      <c r="D8" s="1041">
        <f>结果表!H103</f>
        <v>0</v>
      </c>
      <c r="E8" s="1959"/>
    </row>
    <row r="9" spans="1:5" ht="15.75">
      <c r="A9" s="1959"/>
      <c r="B9" s="298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6" t="str">
        <f>结果表!E107</f>
        <v>3.房地产抵押价值</v>
      </c>
      <c r="C13" s="1967" t="s">
        <v>1619</v>
      </c>
      <c r="D13" s="1043">
        <f ca="1">结果表!H107</f>
        <v>1090</v>
      </c>
      <c r="E13" s="1959"/>
    </row>
    <row r="14" spans="1:5" ht="15.75">
      <c r="A14" s="1959"/>
      <c r="B14" s="2977"/>
      <c r="C14" s="1962" t="s">
        <v>1620</v>
      </c>
      <c r="D14" s="1040" t="str">
        <f ca="1">NUMBERSTRING(INT(D13*10000),2)&amp;"元整"</f>
        <v>壹仟零玖拾万元整</v>
      </c>
      <c r="E14" s="1959"/>
    </row>
    <row r="15" spans="1:5" ht="15">
      <c r="A15" s="1959"/>
      <c r="B15" s="2982"/>
      <c r="C15" s="1963" t="s">
        <v>1630</v>
      </c>
      <c r="D15" s="1052">
        <f ca="1">结果表!H108</f>
        <v>350</v>
      </c>
      <c r="E15" s="1959"/>
    </row>
    <row r="16" spans="1:5" ht="15">
      <c r="A16" s="1959"/>
      <c r="B16" s="2983" t="str">
        <f>结果表!E109</f>
        <v>——</v>
      </c>
      <c r="C16" s="1967" t="s">
        <v>1631</v>
      </c>
      <c r="D16" s="1968" t="str">
        <f>结果表!H109</f>
        <v>——</v>
      </c>
      <c r="E16" s="1959"/>
    </row>
    <row r="17" spans="1:5" ht="15.75">
      <c r="A17" s="1959"/>
      <c r="B17" s="2984"/>
      <c r="C17" s="1962" t="s">
        <v>1632</v>
      </c>
      <c r="D17" s="1040" t="e">
        <f>NUMBERSTRING(INT(D16*10000),2)&amp;"元整"</f>
        <v>#VALUE!</v>
      </c>
      <c r="E17" s="1959"/>
    </row>
    <row r="18" spans="1:5" ht="15">
      <c r="A18" s="1959"/>
      <c r="B18" s="2985"/>
      <c r="C18" s="1963" t="s">
        <v>1621</v>
      </c>
      <c r="D18" s="1052" t="str">
        <f>结果表!H110</f>
        <v>——</v>
      </c>
      <c r="E18" s="1959"/>
    </row>
    <row r="19" spans="1:5" ht="15.75">
      <c r="A19" s="1959"/>
      <c r="B19" s="2976" t="str">
        <f>结果表!E111</f>
        <v>——</v>
      </c>
      <c r="C19" s="1967" t="s">
        <v>1619</v>
      </c>
      <c r="D19" s="1041" t="str">
        <f>结果表!H111</f>
        <v>——</v>
      </c>
      <c r="E19" s="1959"/>
    </row>
    <row r="20" spans="1:5" ht="15.75">
      <c r="A20" s="1959"/>
      <c r="B20" s="2977"/>
      <c r="C20" s="1962" t="s">
        <v>1632</v>
      </c>
      <c r="D20" s="1040" t="e">
        <f>NUMBERSTRING(INT(D19*10000),2)&amp;"元整"</f>
        <v>#VALUE!</v>
      </c>
      <c r="E20" s="1959"/>
    </row>
    <row r="21" spans="1:5" ht="15.75" thickBot="1">
      <c r="A21" s="1959"/>
      <c r="B21" s="297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37993</v>
      </c>
      <c r="C2" s="2" t="s">
        <v>133</v>
      </c>
      <c r="D2" s="242"/>
      <c r="E2" s="242"/>
      <c r="F2" s="242"/>
      <c r="G2" s="242"/>
    </row>
    <row r="3" spans="1:7" s="243" customFormat="1" ht="18" customHeight="1" thickBot="1">
      <c r="A3" s="246" t="s">
        <v>85</v>
      </c>
      <c r="B3" s="247">
        <f ca="1">ROUND(B2*10000/'数据-汇总表'!E3,0)</f>
        <v>12194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430</v>
      </c>
      <c r="F9" s="264"/>
      <c r="G9" s="269"/>
    </row>
    <row r="10" spans="1:7" s="257" customFormat="1" ht="13.5" customHeight="1">
      <c r="A10" s="950" t="s">
        <v>801</v>
      </c>
      <c r="B10" s="267" t="s">
        <v>94</v>
      </c>
      <c r="C10" s="268">
        <f>ROUND(D10*E10/10000,0)</f>
        <v>1340</v>
      </c>
      <c r="D10" s="1032">
        <f>'数据-汇总表'!E6</f>
        <v>31156.999999999996</v>
      </c>
      <c r="E10" s="268">
        <f>'数据-取费表'!B28</f>
        <v>430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623</v>
      </c>
      <c r="D19" s="1036">
        <f>'数据-汇总表'!E3</f>
        <v>31156.999999999996</v>
      </c>
      <c r="E19" s="254">
        <f>'数据-取费表'!B31</f>
        <v>200</v>
      </c>
      <c r="F19" s="274"/>
      <c r="G19" s="1" t="s">
        <v>1071</v>
      </c>
    </row>
    <row r="20" spans="1:7" s="257" customFormat="1" ht="13.5" customHeight="1">
      <c r="A20" s="948" t="s">
        <v>1054</v>
      </c>
      <c r="B20" s="253" t="s">
        <v>104</v>
      </c>
      <c r="C20" s="275">
        <f>ROUND((C5+C19)*F20,0)</f>
        <v>425</v>
      </c>
      <c r="D20" s="275"/>
      <c r="E20" s="275"/>
      <c r="F20" s="276">
        <f>'数据-取费表'!B37</f>
        <v>0.02</v>
      </c>
      <c r="G20" s="1289" t="s">
        <v>1065</v>
      </c>
    </row>
    <row r="21" spans="1:7" s="257" customFormat="1" ht="13.5" customHeight="1">
      <c r="A21" s="948" t="s">
        <v>1056</v>
      </c>
      <c r="B21" s="253" t="s">
        <v>105</v>
      </c>
      <c r="C21" s="278">
        <f>F21</f>
        <v>0.02</v>
      </c>
      <c r="D21" s="279" t="s">
        <v>126</v>
      </c>
      <c r="E21" s="275"/>
      <c r="F21" s="276">
        <f>'数据-取费表'!B38</f>
        <v>0.02</v>
      </c>
      <c r="G21" s="277" t="s">
        <v>106</v>
      </c>
    </row>
    <row r="22" spans="1:7" s="257" customFormat="1" ht="13.5" customHeight="1">
      <c r="A22" s="948" t="s">
        <v>786</v>
      </c>
      <c r="B22" s="253" t="s">
        <v>107</v>
      </c>
      <c r="C22" s="1354">
        <f ca="1">ROUND(SUM(C23:C25),0)</f>
        <v>1546</v>
      </c>
      <c r="D22" s="278">
        <f ca="1">C26</f>
        <v>6.9999999999999999E-4</v>
      </c>
      <c r="E22" s="279" t="s">
        <v>126</v>
      </c>
      <c r="F22" s="280">
        <f ca="1">'数据-取费表'!B40</f>
        <v>4.7500000000000001E-2</v>
      </c>
      <c r="G22" s="1289" t="str">
        <f>IF('数据-取费表'!B22&lt;=1,"单利计息","复利计息")</f>
        <v>复利计息</v>
      </c>
    </row>
    <row r="23" spans="1:7" s="257" customFormat="1" ht="13.5" customHeight="1">
      <c r="A23" s="951" t="s">
        <v>794</v>
      </c>
      <c r="B23" s="258" t="s">
        <v>1058</v>
      </c>
      <c r="C23" s="1355">
        <f ca="1">ROUND(IF('数据-取费表'!B22&lt;=1,C5*F22*'数据-取费表'!B23,C5*(POWER((1+F22),'数据-取费表'!B23)-1)),0)</f>
        <v>1486</v>
      </c>
      <c r="D23" s="281"/>
      <c r="E23" s="281"/>
      <c r="F23" s="282"/>
      <c r="G23" s="283" t="s">
        <v>108</v>
      </c>
    </row>
    <row r="24" spans="1:7" s="257" customFormat="1" ht="13.5" customHeight="1">
      <c r="A24" s="951" t="s">
        <v>792</v>
      </c>
      <c r="B24" s="258" t="s">
        <v>1053</v>
      </c>
      <c r="C24" s="1355">
        <f ca="1">ROUND(IF('数据-取费表'!B22&lt;=1,C19*F22*('数据-取费表'!B19/2+'数据-取费表'!B21),C19*(POWER((1+F22),('数据-取费表'!B19/2+'数据-取费表'!B21))-1)),0)</f>
        <v>45</v>
      </c>
      <c r="D24" s="281"/>
      <c r="E24" s="281"/>
      <c r="F24" s="282"/>
      <c r="G24" s="283" t="s">
        <v>109</v>
      </c>
    </row>
    <row r="25" spans="1:7" s="257" customFormat="1" ht="24">
      <c r="A25" s="951" t="s">
        <v>793</v>
      </c>
      <c r="B25" s="258" t="s">
        <v>1055</v>
      </c>
      <c r="C25" s="1355">
        <f ca="1">ROUND(IF('数据-取费表'!B22&lt;=1,C20*F22*'数据-取费表'!B23/2,C20*(POWER((1+F22),'数据-取费表'!B23/2)-1)),0)</f>
        <v>15</v>
      </c>
      <c r="D25" s="281"/>
      <c r="E25" s="284"/>
      <c r="F25" s="282"/>
      <c r="G25" s="285" t="s">
        <v>110</v>
      </c>
    </row>
    <row r="26" spans="1:7" s="257" customFormat="1">
      <c r="A26" s="951" t="s">
        <v>795</v>
      </c>
      <c r="B26" s="258" t="s">
        <v>1057</v>
      </c>
      <c r="C26" s="281">
        <f ca="1">ROUND(IF('数据-取费表'!B22&lt;=1,F21*F22*'数据-取费表'!B23/2,F21*(POWER((1+F22),'数据-取费表'!B23/2)-1)),4)</f>
        <v>6.9999999999999999E-4</v>
      </c>
      <c r="D26" s="281"/>
      <c r="E26" s="284"/>
      <c r="F26" s="282"/>
      <c r="G26" s="286"/>
    </row>
    <row r="27" spans="1:7" s="257" customFormat="1" ht="24.75">
      <c r="A27" s="948" t="s">
        <v>787</v>
      </c>
      <c r="B27" s="287" t="s">
        <v>112</v>
      </c>
      <c r="C27" s="288">
        <f>C28</f>
        <v>2166</v>
      </c>
      <c r="D27" s="278">
        <f>C29</f>
        <v>2E-3</v>
      </c>
      <c r="E27" s="279" t="s">
        <v>126</v>
      </c>
      <c r="F27" s="289">
        <f>'数据-取费表'!Q16</f>
        <v>0.1</v>
      </c>
      <c r="G27" s="290" t="s">
        <v>1066</v>
      </c>
    </row>
    <row r="28" spans="1:7" s="257" customFormat="1" ht="13.5" customHeight="1">
      <c r="A28" s="951" t="s">
        <v>794</v>
      </c>
      <c r="B28" s="291" t="s">
        <v>1059</v>
      </c>
      <c r="C28" s="292">
        <f>ROUND((C5+C19+C20)*F27*'数据-取费表'!B21/'数据-取费表'!B20,0)</f>
        <v>2166</v>
      </c>
      <c r="D28" s="278"/>
      <c r="E28" s="279"/>
      <c r="F28" s="289"/>
      <c r="G28" s="290"/>
    </row>
    <row r="29" spans="1:7" s="257" customFormat="1" ht="13.5" customHeight="1">
      <c r="A29" s="951" t="s">
        <v>792</v>
      </c>
      <c r="B29" s="291" t="s">
        <v>1060</v>
      </c>
      <c r="C29" s="281">
        <f>ROUND(C21*F27*'数据-取费表'!B21/'数据-取费表'!B20,4)</f>
        <v>2E-3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27429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8436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7477</v>
      </c>
      <c r="D34" s="260"/>
      <c r="E34" s="263"/>
      <c r="F34" s="300">
        <f>IF('数据-取费表'!B24=0,1,'数据-取费表'!N16)</f>
        <v>1</v>
      </c>
      <c r="G34" s="262" t="s">
        <v>116</v>
      </c>
    </row>
    <row r="35" spans="1:7" ht="13.5" customHeight="1">
      <c r="A35" s="951" t="s">
        <v>796</v>
      </c>
      <c r="B35" s="258" t="s">
        <v>60</v>
      </c>
      <c r="C35" s="263">
        <f>ROUND(C34*F35,0)</f>
        <v>224</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623</v>
      </c>
      <c r="D37" s="260">
        <f>'数据-汇总表'!E3</f>
        <v>31156.999999999996</v>
      </c>
      <c r="E37" s="292">
        <f>'数据-取费表'!B35</f>
        <v>200</v>
      </c>
      <c r="F37" s="302"/>
      <c r="G37" s="304" t="s">
        <v>119</v>
      </c>
    </row>
    <row r="38" spans="1:7" ht="13.5" customHeight="1">
      <c r="A38" s="951" t="s">
        <v>799</v>
      </c>
      <c r="B38" s="258" t="s">
        <v>63</v>
      </c>
      <c r="C38" s="263">
        <f>ROUND(C34*F38,0)</f>
        <v>112</v>
      </c>
      <c r="D38" s="263"/>
      <c r="E38" s="263"/>
      <c r="F38" s="302">
        <f>'数据-取费表'!B36</f>
        <v>1.4999999999999999E-2</v>
      </c>
      <c r="G38" s="262" t="s">
        <v>117</v>
      </c>
    </row>
    <row r="39" spans="1:7" s="257" customFormat="1" ht="13.5" customHeight="1">
      <c r="A39" s="948" t="s">
        <v>783</v>
      </c>
      <c r="B39" s="253" t="s">
        <v>104</v>
      </c>
      <c r="C39" s="275">
        <f>ROUND(C33*F20,0)</f>
        <v>169</v>
      </c>
      <c r="D39" s="275"/>
      <c r="E39" s="275"/>
      <c r="F39" s="276"/>
      <c r="G39" s="1289" t="s">
        <v>1068</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305</v>
      </c>
      <c r="D41" s="278">
        <f ca="1">C44</f>
        <v>6.9999999999999999E-4</v>
      </c>
      <c r="E41" s="279" t="s">
        <v>129</v>
      </c>
      <c r="F41" s="280"/>
      <c r="G41" s="1289" t="str">
        <f>IF('数据-取费表'!B22&lt;=1,"单利计息","复利计息")</f>
        <v>复利计息</v>
      </c>
    </row>
    <row r="42" spans="1:7" ht="13.5" customHeight="1">
      <c r="A42" s="951" t="s">
        <v>794</v>
      </c>
      <c r="B42" s="258" t="s">
        <v>1058</v>
      </c>
      <c r="C42" s="281">
        <f ca="1">ROUND(IF('数据-取费表'!B22&lt;=1,C33*F22*'数据-取费表'!B21/2,C33*(POWER((1+F22),'数据-取费表'!B21/2)-1)),0)</f>
        <v>299</v>
      </c>
      <c r="D42" s="281"/>
      <c r="E42" s="281"/>
      <c r="F42" s="282"/>
      <c r="G42" s="3158" t="s">
        <v>121</v>
      </c>
    </row>
    <row r="43" spans="1:7" ht="13.5" customHeight="1">
      <c r="A43" s="951" t="s">
        <v>792</v>
      </c>
      <c r="B43" s="258" t="s">
        <v>1061</v>
      </c>
      <c r="C43" s="281">
        <f ca="1">ROUND(IF('数据-取费表'!B22&lt;=1,C39*F22*'数据-取费表'!B21/2,C39*(POWER((1+F22),'数据-取费表'!B21/2)-1)),0)</f>
        <v>6</v>
      </c>
      <c r="D43" s="281"/>
      <c r="E43" s="281"/>
      <c r="F43" s="282"/>
      <c r="G43" s="3159"/>
    </row>
    <row r="44" spans="1:7" ht="13.5" customHeight="1">
      <c r="A44" s="951" t="s">
        <v>793</v>
      </c>
      <c r="B44" s="258" t="s">
        <v>1063</v>
      </c>
      <c r="C44" s="281">
        <f ca="1">ROUND(IF('数据-取费表'!B22&lt;=1,C40*F22*'数据-取费表'!B21/2,C40*(POWER((1+F22),'数据-取费表'!B21/2)-1)),4)</f>
        <v>6.9999999999999999E-4</v>
      </c>
      <c r="D44" s="281"/>
      <c r="E44" s="281"/>
      <c r="F44" s="282"/>
      <c r="G44" s="3160"/>
    </row>
    <row r="45" spans="1:7" s="257" customFormat="1" ht="13.5" customHeight="1">
      <c r="A45" s="948" t="s">
        <v>786</v>
      </c>
      <c r="B45" s="287" t="s">
        <v>112</v>
      </c>
      <c r="C45" s="288">
        <f>C46</f>
        <v>861</v>
      </c>
      <c r="D45" s="278">
        <f>C47</f>
        <v>2E-3</v>
      </c>
      <c r="E45" s="279" t="s">
        <v>129</v>
      </c>
      <c r="F45" s="289"/>
      <c r="G45" s="290" t="s">
        <v>1069</v>
      </c>
    </row>
    <row r="46" spans="1:7" s="257" customFormat="1" ht="13.5" customHeight="1">
      <c r="A46" s="951" t="s">
        <v>794</v>
      </c>
      <c r="B46" s="291" t="s">
        <v>1062</v>
      </c>
      <c r="C46" s="292">
        <f>ROUND((C33+C39)*F27,0)</f>
        <v>861</v>
      </c>
      <c r="D46" s="306"/>
      <c r="E46" s="279"/>
      <c r="F46" s="289"/>
      <c r="G46" s="290"/>
    </row>
    <row r="47" spans="1:7" s="257" customFormat="1" ht="13.5" customHeight="1">
      <c r="A47" s="951" t="s">
        <v>792</v>
      </c>
      <c r="B47" s="291" t="s">
        <v>1064</v>
      </c>
      <c r="C47" s="281">
        <f>ROUND(C40*F27,4)</f>
        <v>2E-3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10564</v>
      </c>
      <c r="D49" s="275"/>
      <c r="E49" s="275"/>
      <c r="F49" s="307"/>
      <c r="G49" s="277" t="s">
        <v>1070</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10564</v>
      </c>
      <c r="D51" s="275"/>
      <c r="E51" s="275"/>
      <c r="F51" s="307"/>
      <c r="G51" s="277" t="s">
        <v>64</v>
      </c>
    </row>
    <row r="52" spans="1:7" s="251" customFormat="1" ht="16.5" thickBot="1">
      <c r="A52" s="308" t="s">
        <v>65</v>
      </c>
      <c r="B52" s="309"/>
      <c r="C52" s="310">
        <f ca="1">C31+C51</f>
        <v>37993</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3" t="s">
        <v>156</v>
      </c>
      <c r="B1" s="3293"/>
      <c r="C1" s="3293"/>
      <c r="D1" s="3293"/>
      <c r="E1" s="3293"/>
      <c r="F1" s="329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4" t="s">
        <v>169</v>
      </c>
      <c r="B2" s="3294"/>
      <c r="C2" s="3294"/>
      <c r="D2" s="3294"/>
      <c r="E2" s="3294"/>
      <c r="F2" s="329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43405</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G35" sqref="G35"/>
    </sheetView>
  </sheetViews>
  <sheetFormatPr defaultColWidth="9" defaultRowHeight="13.5"/>
  <cols>
    <col min="1" max="2" width="9" style="1015"/>
    <col min="3" max="3" width="40.75" style="1015" customWidth="1"/>
    <col min="4" max="4" width="16.5" style="1015" hidden="1" customWidth="1"/>
    <col min="5" max="5" width="14.125" style="2963" customWidth="1"/>
    <col min="6" max="6" width="21.5" style="2947" customWidth="1"/>
    <col min="7" max="7" width="12.75" style="1015" bestFit="1" customWidth="1"/>
    <col min="8" max="9" width="9" style="1015"/>
    <col min="10" max="10" width="16.5" style="1015" customWidth="1"/>
    <col min="11" max="11" width="9" style="1015"/>
    <col min="12" max="12" width="17.5" style="1015" customWidth="1"/>
    <col min="13" max="16384" width="9" style="1015"/>
  </cols>
  <sheetData>
    <row r="1" spans="1:12" ht="20.25">
      <c r="A1" s="3298" t="s">
        <v>3061</v>
      </c>
      <c r="B1" s="3298"/>
      <c r="C1" s="3298"/>
      <c r="D1" s="3298"/>
      <c r="E1" s="3298"/>
    </row>
    <row r="2" spans="1:12">
      <c r="A2" s="2948"/>
      <c r="B2" s="2948"/>
      <c r="C2" s="2949" t="s">
        <v>3062</v>
      </c>
      <c r="D2" s="2949" t="s">
        <v>3063</v>
      </c>
      <c r="E2" s="2949" t="s">
        <v>3064</v>
      </c>
      <c r="F2" s="2950" t="s">
        <v>3065</v>
      </c>
      <c r="G2" s="1015" t="s">
        <v>3066</v>
      </c>
      <c r="I2" s="2972"/>
      <c r="J2" s="2972" t="s">
        <v>3119</v>
      </c>
      <c r="K2" s="2972" t="s">
        <v>3120</v>
      </c>
      <c r="L2" s="2972" t="s">
        <v>3121</v>
      </c>
    </row>
    <row r="3" spans="1:12">
      <c r="A3" s="3299" t="s">
        <v>1373</v>
      </c>
      <c r="B3" s="3299" t="s">
        <v>3067</v>
      </c>
      <c r="C3" s="2951" t="s">
        <v>3068</v>
      </c>
      <c r="D3" s="2951">
        <v>287.93</v>
      </c>
      <c r="E3" s="2952">
        <v>287.93</v>
      </c>
      <c r="F3" s="2953">
        <f>E3*38000</f>
        <v>10941340</v>
      </c>
      <c r="G3" s="2954">
        <f>F3/E3</f>
        <v>38000</v>
      </c>
      <c r="I3" s="2972" t="s">
        <v>3116</v>
      </c>
      <c r="J3" s="2972">
        <v>49006.73</v>
      </c>
      <c r="K3" s="2972">
        <v>19251</v>
      </c>
      <c r="L3" s="2972">
        <f>ROUND(E9/J3*K3,0)</f>
        <v>3592</v>
      </c>
    </row>
    <row r="4" spans="1:12">
      <c r="A4" s="3299"/>
      <c r="B4" s="3299"/>
      <c r="C4" s="2955" t="s">
        <v>3069</v>
      </c>
      <c r="D4" s="2951">
        <v>486.52</v>
      </c>
      <c r="E4" s="2952">
        <v>486.52</v>
      </c>
      <c r="F4" s="2953">
        <f t="shared" ref="F4:F8" si="0">E4*38000</f>
        <v>18487760</v>
      </c>
      <c r="G4" s="2954">
        <f t="shared" ref="G4:G22" si="1">F4/E4</f>
        <v>38000</v>
      </c>
      <c r="I4" s="2972" t="s">
        <v>3117</v>
      </c>
      <c r="J4" s="2972">
        <v>47451.96</v>
      </c>
      <c r="K4" s="2972">
        <v>18233</v>
      </c>
      <c r="L4" s="2972">
        <f>ROUND(E16/J4*K4,0)</f>
        <v>3403</v>
      </c>
    </row>
    <row r="5" spans="1:12">
      <c r="A5" s="3299"/>
      <c r="B5" s="3299"/>
      <c r="C5" s="2951" t="s">
        <v>3070</v>
      </c>
      <c r="D5" s="2951">
        <v>308.27</v>
      </c>
      <c r="E5" s="2952">
        <v>308.27</v>
      </c>
      <c r="F5" s="2953">
        <f t="shared" si="0"/>
        <v>11714260</v>
      </c>
      <c r="G5" s="2954">
        <f t="shared" si="1"/>
        <v>38000</v>
      </c>
      <c r="I5" s="2972" t="s">
        <v>3118</v>
      </c>
      <c r="J5" s="2972">
        <v>69279.39</v>
      </c>
      <c r="K5" s="2972">
        <v>26981</v>
      </c>
      <c r="L5" s="2972">
        <f>ROUND(E23/J5*K5,0)</f>
        <v>5124</v>
      </c>
    </row>
    <row r="6" spans="1:12">
      <c r="A6" s="3299"/>
      <c r="B6" s="3299"/>
      <c r="C6" s="2956" t="s">
        <v>3071</v>
      </c>
      <c r="D6" s="2957">
        <v>3880.12</v>
      </c>
      <c r="E6" s="2958">
        <v>3877.92</v>
      </c>
      <c r="F6" s="2953">
        <f t="shared" si="0"/>
        <v>147360960</v>
      </c>
      <c r="G6" s="2954">
        <f t="shared" si="1"/>
        <v>38000</v>
      </c>
      <c r="I6" s="2972"/>
      <c r="J6" s="2972">
        <f>SUM(J3:J5)</f>
        <v>165738.08000000002</v>
      </c>
      <c r="K6" s="2972">
        <f>SUM(K3:K5)</f>
        <v>64465</v>
      </c>
      <c r="L6" s="2972">
        <f>SUM(L3:L5)</f>
        <v>12119</v>
      </c>
    </row>
    <row r="7" spans="1:12">
      <c r="A7" s="3299"/>
      <c r="B7" s="3299"/>
      <c r="C7" s="2951" t="s">
        <v>3072</v>
      </c>
      <c r="D7" s="2951">
        <v>126.11</v>
      </c>
      <c r="E7" s="2952">
        <v>125.89</v>
      </c>
      <c r="F7" s="2953">
        <f t="shared" si="0"/>
        <v>4783820</v>
      </c>
      <c r="G7" s="2954">
        <f t="shared" si="1"/>
        <v>38000</v>
      </c>
    </row>
    <row r="8" spans="1:12">
      <c r="A8" s="3299"/>
      <c r="B8" s="3299"/>
      <c r="C8" s="2956" t="s">
        <v>3073</v>
      </c>
      <c r="D8" s="2957">
        <v>4181.3100000000004</v>
      </c>
      <c r="E8" s="2958">
        <v>4057.57</v>
      </c>
      <c r="F8" s="2953">
        <f t="shared" si="0"/>
        <v>154187660</v>
      </c>
      <c r="G8" s="2954">
        <f t="shared" si="1"/>
        <v>38000</v>
      </c>
    </row>
    <row r="9" spans="1:12">
      <c r="A9" s="3299"/>
      <c r="B9" s="2949"/>
      <c r="C9" s="2955"/>
      <c r="D9" s="2959"/>
      <c r="E9" s="2971">
        <f>SUM(E3:E8)</f>
        <v>9144.1</v>
      </c>
      <c r="F9" s="2953"/>
      <c r="G9" s="2954"/>
    </row>
    <row r="10" spans="1:12">
      <c r="A10" s="3299"/>
      <c r="B10" s="3299" t="s">
        <v>3074</v>
      </c>
      <c r="C10" s="2951" t="s">
        <v>3075</v>
      </c>
      <c r="D10" s="2951">
        <v>389.56</v>
      </c>
      <c r="E10" s="2952">
        <v>391.06</v>
      </c>
      <c r="F10" s="2953">
        <f>E10*37500</f>
        <v>14664750</v>
      </c>
      <c r="G10" s="2954">
        <f t="shared" si="1"/>
        <v>37500</v>
      </c>
    </row>
    <row r="11" spans="1:12">
      <c r="A11" s="3299"/>
      <c r="B11" s="3299"/>
      <c r="C11" s="2951" t="s">
        <v>3076</v>
      </c>
      <c r="D11" s="2951">
        <v>198.65</v>
      </c>
      <c r="E11" s="2952">
        <v>198.69</v>
      </c>
      <c r="F11" s="2953">
        <f t="shared" ref="F11:F22" si="2">E11*37500</f>
        <v>7450875</v>
      </c>
      <c r="G11" s="2954">
        <f t="shared" si="1"/>
        <v>37500</v>
      </c>
    </row>
    <row r="12" spans="1:12">
      <c r="A12" s="3299"/>
      <c r="B12" s="3299"/>
      <c r="C12" s="2951" t="s">
        <v>3077</v>
      </c>
      <c r="D12" s="2951">
        <v>252.4</v>
      </c>
      <c r="E12" s="2952">
        <v>252.28</v>
      </c>
      <c r="F12" s="2953">
        <f t="shared" si="2"/>
        <v>9460500</v>
      </c>
      <c r="G12" s="2954">
        <f t="shared" si="1"/>
        <v>37500</v>
      </c>
    </row>
    <row r="13" spans="1:12">
      <c r="A13" s="3299"/>
      <c r="B13" s="3299"/>
      <c r="C13" s="2957" t="s">
        <v>3078</v>
      </c>
      <c r="D13" s="2957">
        <v>4563.7</v>
      </c>
      <c r="E13" s="2958">
        <v>4563.7</v>
      </c>
      <c r="F13" s="2953">
        <f t="shared" si="2"/>
        <v>171138750</v>
      </c>
      <c r="G13" s="2954">
        <f t="shared" si="1"/>
        <v>37500</v>
      </c>
    </row>
    <row r="14" spans="1:12">
      <c r="A14" s="3299"/>
      <c r="B14" s="3299"/>
      <c r="C14" s="2951" t="s">
        <v>3079</v>
      </c>
      <c r="D14" s="2951">
        <v>169.71</v>
      </c>
      <c r="E14" s="2952">
        <v>169.35</v>
      </c>
      <c r="F14" s="2953">
        <f t="shared" si="2"/>
        <v>6350625</v>
      </c>
      <c r="G14" s="2954">
        <f t="shared" si="1"/>
        <v>37500</v>
      </c>
    </row>
    <row r="15" spans="1:12">
      <c r="A15" s="3299"/>
      <c r="B15" s="3299"/>
      <c r="C15" s="2957" t="s">
        <v>3080</v>
      </c>
      <c r="D15" s="2957">
        <v>3280.14</v>
      </c>
      <c r="E15" s="2958">
        <v>3280.14</v>
      </c>
      <c r="F15" s="2953">
        <f t="shared" si="2"/>
        <v>123005250</v>
      </c>
      <c r="G15" s="2954">
        <f t="shared" si="1"/>
        <v>37500</v>
      </c>
    </row>
    <row r="16" spans="1:12">
      <c r="A16" s="3299"/>
      <c r="B16" s="2949"/>
      <c r="C16" s="2951"/>
      <c r="D16" s="2959"/>
      <c r="E16" s="2960">
        <f>SUM(E10:E15)</f>
        <v>8855.2199999999993</v>
      </c>
      <c r="F16" s="2953"/>
      <c r="G16" s="2954"/>
    </row>
    <row r="17" spans="1:7">
      <c r="A17" s="3299"/>
      <c r="B17" s="3299" t="s">
        <v>3081</v>
      </c>
      <c r="C17" s="2951" t="s">
        <v>3082</v>
      </c>
      <c r="D17" s="2951">
        <v>1063.44</v>
      </c>
      <c r="E17" s="2952">
        <v>1062.28</v>
      </c>
      <c r="F17" s="2953">
        <f t="shared" si="2"/>
        <v>39835500</v>
      </c>
      <c r="G17" s="2954">
        <f t="shared" si="1"/>
        <v>37500</v>
      </c>
    </row>
    <row r="18" spans="1:7">
      <c r="A18" s="3299"/>
      <c r="B18" s="3299"/>
      <c r="C18" s="2951" t="s">
        <v>3083</v>
      </c>
      <c r="D18" s="2951">
        <v>779.42</v>
      </c>
      <c r="E18" s="2952">
        <v>779.42</v>
      </c>
      <c r="F18" s="2953">
        <f t="shared" si="2"/>
        <v>29228250</v>
      </c>
      <c r="G18" s="2954">
        <f t="shared" si="1"/>
        <v>37500</v>
      </c>
    </row>
    <row r="19" spans="1:7">
      <c r="A19" s="3299"/>
      <c r="B19" s="3299"/>
      <c r="C19" s="2951" t="s">
        <v>3084</v>
      </c>
      <c r="D19" s="2951">
        <v>767.82</v>
      </c>
      <c r="E19" s="2952">
        <v>767.82</v>
      </c>
      <c r="F19" s="2953">
        <f t="shared" si="2"/>
        <v>28793250.000000004</v>
      </c>
      <c r="G19" s="2954">
        <f t="shared" si="1"/>
        <v>37500</v>
      </c>
    </row>
    <row r="20" spans="1:7">
      <c r="A20" s="3299"/>
      <c r="B20" s="3299"/>
      <c r="C20" s="2957" t="s">
        <v>3085</v>
      </c>
      <c r="D20" s="2957">
        <v>4364.13</v>
      </c>
      <c r="E20" s="2958">
        <v>4363.4399999999996</v>
      </c>
      <c r="F20" s="2953">
        <f t="shared" si="2"/>
        <v>163628999.99999997</v>
      </c>
      <c r="G20" s="2954">
        <f t="shared" si="1"/>
        <v>37500</v>
      </c>
    </row>
    <row r="21" spans="1:7">
      <c r="A21" s="3299"/>
      <c r="B21" s="3299"/>
      <c r="C21" s="2951" t="s">
        <v>3086</v>
      </c>
      <c r="D21" s="2951">
        <v>1117.47</v>
      </c>
      <c r="E21" s="2952">
        <v>1117.5999999999999</v>
      </c>
      <c r="F21" s="2953">
        <f t="shared" si="2"/>
        <v>41910000</v>
      </c>
      <c r="G21" s="2954">
        <f t="shared" si="1"/>
        <v>37500</v>
      </c>
    </row>
    <row r="22" spans="1:7">
      <c r="A22" s="3299"/>
      <c r="B22" s="3299"/>
      <c r="C22" s="2957" t="s">
        <v>3087</v>
      </c>
      <c r="D22" s="2957">
        <v>5067.12</v>
      </c>
      <c r="E22" s="2958">
        <v>5067.12</v>
      </c>
      <c r="F22" s="2953">
        <f t="shared" si="2"/>
        <v>190017000</v>
      </c>
      <c r="G22" s="2954">
        <f t="shared" si="1"/>
        <v>37500</v>
      </c>
    </row>
    <row r="23" spans="1:7">
      <c r="A23" s="2949"/>
      <c r="B23" s="2949"/>
      <c r="C23" s="2951"/>
      <c r="D23" s="2959"/>
      <c r="E23" s="2960">
        <f>SUM(E17:E22)</f>
        <v>13157.68</v>
      </c>
      <c r="F23" s="2953"/>
      <c r="G23" s="2954"/>
    </row>
    <row r="24" spans="1:7">
      <c r="A24" s="3297" t="s">
        <v>3088</v>
      </c>
      <c r="B24" s="3297"/>
      <c r="C24" s="3297"/>
      <c r="D24" s="2961">
        <f>SUM(D3:D22)</f>
        <v>31283.819999999996</v>
      </c>
      <c r="E24" s="2962">
        <f>E9+E16+E23</f>
        <v>31157</v>
      </c>
      <c r="F24" s="2953">
        <f>SUM(F3:F22)</f>
        <v>1172959550</v>
      </c>
    </row>
  </sheetData>
  <mergeCells count="6">
    <mergeCell ref="A24:C24"/>
    <mergeCell ref="A1:E1"/>
    <mergeCell ref="A3:A22"/>
    <mergeCell ref="B3:B8"/>
    <mergeCell ref="B10:B15"/>
    <mergeCell ref="B17:B2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0" workbookViewId="0">
      <selection activeCell="C32" sqref="C3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4" t="s">
        <v>1634</v>
      </c>
      <c r="E3" s="1044" t="s">
        <v>1640</v>
      </c>
      <c r="F3" s="1044" t="s">
        <v>1634</v>
      </c>
      <c r="G3" s="1044" t="s">
        <v>1635</v>
      </c>
      <c r="H3" s="1044" t="s">
        <v>1634</v>
      </c>
      <c r="I3" s="1044" t="s">
        <v>1635</v>
      </c>
    </row>
    <row r="4" spans="1:9" ht="45">
      <c r="A4" s="1973" t="str">
        <f>项目基本情况!S2</f>
        <v>上海市浦东新区惠南镇惠南颐景园出让国有建设用地使用权及在建建筑物房地产</v>
      </c>
      <c r="B4" s="1044">
        <f>项目基本情况!C17</f>
        <v>31156.999999999996</v>
      </c>
      <c r="C4" s="1044">
        <f>项目基本情况!C18</f>
        <v>12119</v>
      </c>
      <c r="D4" s="1044" t="e">
        <f ca="1">结果表!D118</f>
        <v>#REF!</v>
      </c>
      <c r="E4" s="1044" t="e">
        <f ca="1">结果表!E118</f>
        <v>#REF!</v>
      </c>
      <c r="F4" s="1044" t="e">
        <f ca="1">结果表!F118</f>
        <v>#REF!</v>
      </c>
      <c r="G4" s="1044" t="e">
        <f ca="1">结果表!G118</f>
        <v>#REF!</v>
      </c>
      <c r="H4" s="1044">
        <f ca="1">结果表!H118</f>
        <v>1090</v>
      </c>
      <c r="I4" s="1044">
        <f ca="1">结果表!I118</f>
        <v>350</v>
      </c>
    </row>
    <row r="5" spans="1:9" ht="30" customHeight="1">
      <c r="A5" s="2988" t="s">
        <v>1636</v>
      </c>
      <c r="B5" s="2988"/>
      <c r="C5" s="2988"/>
      <c r="D5" s="2989" t="e">
        <f ca="1">结果表!D119</f>
        <v>#REF!</v>
      </c>
      <c r="E5" s="2989"/>
      <c r="F5" s="2989" t="e">
        <f ca="1">结果表!F119</f>
        <v>#REF!</v>
      </c>
      <c r="G5" s="2989"/>
      <c r="H5" s="2989" t="str">
        <f ca="1">结果表!H119</f>
        <v>壹仟零玖拾万元整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1090</v>
      </c>
      <c r="E8" s="2990"/>
      <c r="F8" s="2990"/>
      <c r="G8" s="2990"/>
      <c r="H8" s="2990"/>
      <c r="I8" s="2990"/>
    </row>
    <row r="9" spans="1:9" ht="15">
      <c r="A9" s="2988" t="s">
        <v>1636</v>
      </c>
      <c r="B9" s="2988"/>
      <c r="C9" s="2988"/>
      <c r="D9" s="2989" t="str">
        <f ca="1">结果表!D123</f>
        <v>壹仟零玖拾万元整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7" t="s">
        <v>1658</v>
      </c>
      <c r="B1" s="2997"/>
      <c r="C1" s="2997"/>
      <c r="D1" s="2997"/>
    </row>
    <row r="2" spans="1:4" ht="18">
      <c r="A2" s="2998" t="s">
        <v>1642</v>
      </c>
      <c r="B2" s="2998"/>
      <c r="C2" s="2998"/>
      <c r="D2" s="2998"/>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8" t="s">
        <v>1648</v>
      </c>
      <c r="B6" s="2998"/>
      <c r="C6" s="2998"/>
      <c r="D6" s="2998"/>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（1）根据估价对象《不动产权证书》复印件、，截至价值时点，估价对象抵押权未见登记。</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1" t="s">
        <v>1665</v>
      </c>
      <c r="B15" s="3006" t="s">
        <v>136</v>
      </c>
      <c r="C15" s="3007"/>
    </row>
    <row r="16" spans="1:7" ht="13.5">
      <c r="A16" s="3012"/>
      <c r="B16" s="3006" t="s">
        <v>69</v>
      </c>
      <c r="C16" s="3007"/>
    </row>
    <row r="17" spans="1:3" ht="13.5">
      <c r="A17" s="3012"/>
      <c r="B17" s="3009" t="s">
        <v>1666</v>
      </c>
      <c r="C17" s="2000" t="s">
        <v>1665</v>
      </c>
    </row>
    <row r="18" spans="1:3" ht="13.5">
      <c r="A18" s="3012"/>
      <c r="B18" s="3009"/>
      <c r="C18" s="2000" t="s">
        <v>1667</v>
      </c>
    </row>
    <row r="19" spans="1:3" ht="13.5">
      <c r="A19" s="3012"/>
      <c r="B19" s="3009"/>
      <c r="C19" s="2000" t="s">
        <v>1668</v>
      </c>
    </row>
    <row r="20" spans="1:3" ht="13.5">
      <c r="A20" s="3013"/>
      <c r="B20" s="3008" t="s">
        <v>1669</v>
      </c>
      <c r="C20" s="3007"/>
    </row>
    <row r="21" spans="1:3" ht="13.5">
      <c r="A21" s="2001" t="s">
        <v>1670</v>
      </c>
      <c r="B21" s="2002"/>
      <c r="C21" s="2003"/>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0" t="s">
        <v>1676</v>
      </c>
    </row>
    <row r="26" spans="1:3" ht="13.5">
      <c r="A26" s="3010"/>
      <c r="B26" s="3009"/>
      <c r="C26" s="2000" t="s">
        <v>1677</v>
      </c>
    </row>
    <row r="27" spans="1:3" ht="13.5">
      <c r="A27" s="3010"/>
      <c r="B27" s="3009"/>
      <c r="C27" s="2000" t="s">
        <v>1678</v>
      </c>
    </row>
    <row r="28" spans="1:3" ht="13.5">
      <c r="A28" s="3010"/>
      <c r="B28" s="3009"/>
      <c r="C28" s="2000" t="s">
        <v>1679</v>
      </c>
    </row>
    <row r="29" spans="1:3" ht="13.5">
      <c r="A29" s="3010"/>
      <c r="B29" s="3009"/>
      <c r="C29" s="2000" t="s">
        <v>1680</v>
      </c>
    </row>
    <row r="30" spans="1:3" ht="13.5">
      <c r="A30" s="3010"/>
      <c r="B30" s="3009"/>
      <c r="C30" s="2000" t="s">
        <v>1681</v>
      </c>
    </row>
    <row r="31" spans="1:3" ht="13.5">
      <c r="A31" s="3010"/>
      <c r="B31" s="3009"/>
      <c r="C31" s="2000" t="s">
        <v>1682</v>
      </c>
    </row>
    <row r="32" spans="1:3" ht="13.5">
      <c r="A32" s="3010"/>
      <c r="B32" s="3009"/>
      <c r="C32" s="2000" t="s">
        <v>1683</v>
      </c>
    </row>
    <row r="33" spans="1:3" ht="13.5">
      <c r="A33" s="3010"/>
      <c r="B33" s="300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43468</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9"/>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3040</v>
      </c>
      <c r="B14" s="1022">
        <f ca="1">IF(C14&lt;B2,"已过期",1120040230)</f>
        <v>1120040230</v>
      </c>
      <c r="C14" s="2344">
        <v>43835</v>
      </c>
      <c r="D14" s="2347" t="s">
        <v>3040</v>
      </c>
      <c r="E14" s="1022">
        <f ca="1">IF(F14&lt;B2,"已过期",98030020)</f>
        <v>98030020</v>
      </c>
      <c r="F14" s="1030">
        <v>47118</v>
      </c>
    </row>
    <row r="15" spans="1:6" ht="24" customHeight="1">
      <c r="A15" s="1703" t="s">
        <v>3041</v>
      </c>
      <c r="B15" s="1022">
        <f ca="1">IF(C15&lt;B2,"已过期",1120070085)</f>
        <v>1120070085</v>
      </c>
      <c r="C15" s="2344">
        <v>43814</v>
      </c>
      <c r="D15" s="2348" t="s">
        <v>3041</v>
      </c>
      <c r="E15" s="1022">
        <f ca="1">IF(F15&lt;B2,"已过期",2004110128)</f>
        <v>2004110128</v>
      </c>
      <c r="F15" s="1023">
        <v>47118</v>
      </c>
    </row>
    <row r="16" spans="1:6" ht="24" customHeight="1">
      <c r="A16" s="1702" t="s">
        <v>3042</v>
      </c>
      <c r="B16" s="1022">
        <f ca="1">IF(C16&lt;B2,"已过期",1120140022)</f>
        <v>1120140022</v>
      </c>
      <c r="C16" s="2939">
        <v>44029</v>
      </c>
      <c r="D16" s="2347" t="s">
        <v>3042</v>
      </c>
      <c r="E16" s="1022">
        <f ca="1">IF(F16&lt;B2,"已过期",2008110059)</f>
        <v>2008110059</v>
      </c>
      <c r="F16" s="1030">
        <v>47177</v>
      </c>
    </row>
    <row r="17" spans="1:7" ht="24" customHeight="1">
      <c r="A17" s="1702"/>
      <c r="B17" s="1022"/>
      <c r="C17" s="2344"/>
      <c r="D17" s="2347" t="s">
        <v>3043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9">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14" t="s">
        <v>843</v>
      </c>
      <c r="B25" s="3014"/>
      <c r="C25" s="3014"/>
      <c r="D25" s="3014"/>
      <c r="E25" s="3014"/>
      <c r="F25" s="3014"/>
      <c r="G25" s="3014"/>
    </row>
    <row r="26" spans="1:7" s="1025" customFormat="1" ht="24" customHeight="1">
      <c r="A26" s="3015" t="s">
        <v>844</v>
      </c>
      <c r="B26" s="3015"/>
      <c r="C26" s="3016"/>
      <c r="D26" s="3017" t="s">
        <v>845</v>
      </c>
      <c r="E26" s="3015"/>
      <c r="F26" s="3015"/>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典型户型修正!Print_Area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2019-01-02T07:51:12Z</cp:lastPrinted>
  <dcterms:created xsi:type="dcterms:W3CDTF">2015-07-13T07:17:23Z</dcterms:created>
  <dcterms:modified xsi:type="dcterms:W3CDTF">2019-01-03T03:38:26Z</dcterms:modified>
</cp:coreProperties>
</file>