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 yWindow="96" windowWidth="11808" windowHeight="10932"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F41" i="15" l="1"/>
  <c r="E13" i="1"/>
  <c r="C6" i="11"/>
  <c r="E45" i="1" l="1"/>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6" i="52" s="1"/>
  <c r="B64" i="60" s="1"/>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6" i="61"/>
  <c r="E2" i="36"/>
  <c r="D4" i="61"/>
  <c r="C20" i="57"/>
  <c r="F4" i="61"/>
  <c r="F6" i="61"/>
  <c r="F5" i="61"/>
  <c r="D20" i="57"/>
  <c r="F3" i="61"/>
  <c r="E2" i="11"/>
  <c r="D5" i="61"/>
  <c r="E2" i="35"/>
  <c r="C19" i="57"/>
  <c r="F7" i="61"/>
  <c r="E2" i="37"/>
  <c r="D3" i="61"/>
  <c r="E2" i="33"/>
  <c r="E2" i="21"/>
  <c r="D19" i="57"/>
  <c r="D7" i="61"/>
  <c r="H23" i="31"/>
  <c r="E2" i="34"/>
  <c r="C5" i="11" l="1"/>
  <c r="C13" i="12"/>
  <c r="C114" i="57"/>
  <c r="H109" i="57" s="1"/>
  <c r="C110" i="57"/>
  <c r="H104" i="57" s="1"/>
  <c r="A12" i="52"/>
  <c r="B67" i="60" s="1"/>
  <c r="D42" i="50"/>
  <c r="D43" i="5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D19" i="50" l="1"/>
  <c r="B32" i="60" s="1"/>
  <c r="F67" i="39"/>
  <c r="G67" i="39" s="1"/>
  <c r="D69" i="39"/>
  <c r="C7" i="43"/>
  <c r="S9" i="59"/>
  <c r="B8" i="59"/>
  <c r="U9" i="59"/>
  <c r="E8" i="59"/>
  <c r="V9" i="59"/>
  <c r="F8"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W7" i="35"/>
  <c r="F69" i="39"/>
  <c r="G69" i="39"/>
  <c r="H67" i="39"/>
  <c r="F7" i="59"/>
  <c r="E7" i="59"/>
  <c r="B7" i="59"/>
  <c r="H7" i="36"/>
  <c r="U7"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B7" i="36" l="1"/>
  <c r="T36" i="36" s="1"/>
  <c r="G36" i="36" s="1"/>
  <c r="H69" i="39"/>
  <c r="I67" i="3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I69" i="39" l="1"/>
  <c r="J67" i="39"/>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K67" i="39" l="1"/>
  <c r="J69" i="39"/>
  <c r="D11" i="59"/>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L67" i="39" l="1"/>
  <c r="K69" i="39"/>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20" i="9"/>
  <c r="C19" i="9"/>
  <c r="C101" i="9" l="1"/>
  <c r="C102" i="9"/>
  <c r="C98" i="57"/>
  <c r="E98" i="57" s="1"/>
  <c r="E99" i="57" s="1"/>
  <c r="M67" i="39"/>
  <c r="L69" i="39"/>
  <c r="C7" i="59"/>
  <c r="D8" i="59"/>
  <c r="D9" i="59"/>
  <c r="T9" i="5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N67" i="39" l="1"/>
  <c r="M69" i="39"/>
  <c r="C6" i="59"/>
  <c r="D7" i="59"/>
  <c r="O63" i="57"/>
  <c r="O62" i="57"/>
  <c r="L62" i="40"/>
  <c r="K64" i="40"/>
  <c r="E52" i="21"/>
  <c r="F52" i="21" s="1"/>
  <c r="E53" i="21"/>
  <c r="F53" i="21" s="1"/>
  <c r="C48" i="21"/>
  <c r="C49" i="21"/>
  <c r="B2" i="21" s="1"/>
  <c r="B3" i="21" s="1"/>
  <c r="L59" i="34"/>
  <c r="C47" i="15"/>
  <c r="J41" i="15"/>
  <c r="J42" i="15" s="1"/>
  <c r="Q54" i="15"/>
  <c r="C43" i="15"/>
  <c r="Q65" i="15"/>
  <c r="Q45" i="15"/>
  <c r="Q51" i="15" s="1"/>
  <c r="Q63" i="15"/>
  <c r="N69" i="39" l="1"/>
  <c r="O67" i="39"/>
  <c r="O69" i="39" s="1"/>
  <c r="D6" i="59"/>
  <c r="C5" i="59"/>
  <c r="D35" i="9"/>
  <c r="D34" i="9" s="1"/>
  <c r="L64" i="40"/>
  <c r="M62" i="40"/>
  <c r="M59" i="34"/>
  <c r="N59" i="34" s="1"/>
  <c r="O59" i="34" s="1"/>
  <c r="H7" i="34" s="1"/>
  <c r="L58" i="15"/>
  <c r="L61" i="15" s="1"/>
  <c r="J7" i="39" l="1"/>
  <c r="H7" i="39"/>
  <c r="F7" i="39"/>
  <c r="T5" i="59"/>
  <c r="D5" i="59"/>
  <c r="M20" i="43"/>
  <c r="Q64" i="15"/>
  <c r="Q73" i="15" s="1"/>
  <c r="L47" i="15"/>
  <c r="F7" i="34"/>
  <c r="S7" i="34" s="1"/>
  <c r="J7" i="34"/>
  <c r="W7" i="34" s="1"/>
  <c r="M64" i="40"/>
  <c r="N62" i="40"/>
  <c r="AB7" i="34"/>
  <c r="T49" i="34" s="1"/>
  <c r="G49" i="34" s="1"/>
  <c r="U7" i="34"/>
  <c r="Q55" i="15"/>
  <c r="Q60" i="15" s="1"/>
  <c r="D55" i="9"/>
  <c r="N53" i="9" s="1"/>
  <c r="D56" i="9"/>
  <c r="N54" i="9" s="1"/>
  <c r="D59" i="9"/>
  <c r="N55" i="9" s="1"/>
  <c r="AA7" i="39" l="1"/>
  <c r="R47" i="39" s="1"/>
  <c r="S7" i="39"/>
  <c r="U7" i="39"/>
  <c r="AB7" i="39"/>
  <c r="T47" i="39" s="1"/>
  <c r="G47" i="39" s="1"/>
  <c r="G51" i="39" s="1"/>
  <c r="H51" i="39" s="1"/>
  <c r="AC7" i="39"/>
  <c r="V47" i="39" s="1"/>
  <c r="I47" i="39" s="1"/>
  <c r="I51" i="39" s="1"/>
  <c r="J51" i="39" s="1"/>
  <c r="W7" i="39"/>
  <c r="AA7" i="34"/>
  <c r="R49" i="34" s="1"/>
  <c r="B2" i="15"/>
  <c r="B3" i="15"/>
  <c r="AC7" i="34"/>
  <c r="V49" i="34" s="1"/>
  <c r="I49" i="34" s="1"/>
  <c r="G54" i="34" s="1"/>
  <c r="H54" i="34" s="1"/>
  <c r="E49" i="34"/>
  <c r="E53" i="34" s="1"/>
  <c r="F53" i="34" s="1"/>
  <c r="R50" i="34"/>
  <c r="O62" i="40"/>
  <c r="O64" i="40" s="1"/>
  <c r="N64" i="40"/>
  <c r="G53" i="34"/>
  <c r="H53" i="34" s="1"/>
  <c r="D19" i="9"/>
  <c r="D20" i="9"/>
  <c r="D102" i="9" l="1"/>
  <c r="G20" i="9"/>
  <c r="C32" i="9" s="1"/>
  <c r="C35" i="9" s="1"/>
  <c r="C34" i="9" s="1"/>
  <c r="D101" i="9"/>
  <c r="G19" i="9"/>
  <c r="D22" i="9"/>
  <c r="E54" i="34"/>
  <c r="F54" i="34" s="1"/>
  <c r="G52" i="39"/>
  <c r="H52" i="39" s="1"/>
  <c r="R48" i="39"/>
  <c r="E47" i="39"/>
  <c r="I53" i="34"/>
  <c r="J53" i="34" s="1"/>
  <c r="I54" i="34"/>
  <c r="J54" i="34" s="1"/>
  <c r="C50" i="34"/>
  <c r="B2" i="34" s="1"/>
  <c r="B3" i="34" s="1"/>
  <c r="C49" i="34"/>
  <c r="H7" i="40"/>
  <c r="J7" i="40"/>
  <c r="F7" i="40"/>
  <c r="E52" i="39" l="1"/>
  <c r="F52" i="39" s="1"/>
  <c r="E51" i="39"/>
  <c r="F51" i="39" s="1"/>
  <c r="C47" i="39"/>
  <c r="C48" i="39"/>
  <c r="I52" i="39"/>
  <c r="J52" i="39" s="1"/>
  <c r="AC7" i="40"/>
  <c r="V42" i="40" s="1"/>
  <c r="I42" i="40" s="1"/>
  <c r="I46" i="40" s="1"/>
  <c r="J46" i="40" s="1"/>
  <c r="W7" i="40"/>
  <c r="S7" i="40"/>
  <c r="AA7" i="40"/>
  <c r="R42" i="40" s="1"/>
  <c r="R43" i="40" s="1"/>
  <c r="AB7" i="40"/>
  <c r="T42" i="40" s="1"/>
  <c r="G42" i="40" s="1"/>
  <c r="G46" i="40" s="1"/>
  <c r="H46" i="40" s="1"/>
  <c r="U7" i="40"/>
  <c r="B61" i="39" l="1"/>
  <c r="F61" i="39" s="1"/>
  <c r="B57" i="39"/>
  <c r="F57" i="39" s="1"/>
  <c r="B63" i="39"/>
  <c r="F63" i="39" s="1"/>
  <c r="B60" i="39"/>
  <c r="F60" i="39" s="1"/>
  <c r="B62" i="39"/>
  <c r="F62" i="39" s="1"/>
  <c r="B58" i="39"/>
  <c r="F58" i="39" s="1"/>
  <c r="B56" i="39"/>
  <c r="F56" i="39" s="1"/>
  <c r="F65" i="39" s="1"/>
  <c r="B2" i="39" s="1"/>
  <c r="B3" i="39" s="1"/>
  <c r="B64" i="39"/>
  <c r="F64" i="39" s="1"/>
  <c r="B59" i="39"/>
  <c r="F59" i="3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16" i="50"/>
  <c r="B30" i="60" s="1"/>
  <c r="D8" i="52"/>
  <c r="D5" i="52"/>
  <c r="B39" i="60" s="1"/>
  <c r="D44" i="50"/>
  <c r="E4" i="52"/>
  <c r="B38" i="60" s="1"/>
  <c r="D30" i="50"/>
  <c r="D9" i="50"/>
  <c r="B21" i="60" s="1"/>
  <c r="H5" i="52"/>
  <c r="D28" i="50"/>
  <c r="D29" i="50"/>
  <c r="F5" i="52"/>
  <c r="B42" i="60" s="1"/>
  <c r="D7" i="50"/>
  <c r="B19" i="60" s="1"/>
  <c r="D8" i="50"/>
  <c r="B22" i="60" s="1"/>
  <c r="M67" i="9"/>
  <c r="N67" i="9" s="1"/>
  <c r="M66" i="9"/>
  <c r="N66" i="9" s="1"/>
  <c r="M68" i="9"/>
  <c r="N68" i="9" s="1"/>
  <c r="N49" i="9"/>
  <c r="M65" i="9" s="1"/>
  <c r="N65" i="9" s="1"/>
  <c r="E121" i="9"/>
  <c r="D121" i="9" s="1"/>
  <c r="D122" i="9" s="1"/>
  <c r="G121" i="9"/>
  <c r="F121" i="9" s="1"/>
  <c r="F122" i="9" s="1"/>
  <c r="I121" i="9"/>
  <c r="D107" i="9" s="1"/>
  <c r="M63" i="9" l="1"/>
  <c r="N63" i="9" s="1"/>
  <c r="N69" i="9" s="1"/>
  <c r="O69" i="9" s="1"/>
  <c r="M64" i="9"/>
  <c r="N64" i="9" s="1"/>
  <c r="H121" i="9"/>
  <c r="I103" i="9"/>
  <c r="C104" i="9"/>
  <c r="D14" i="62" l="1"/>
  <c r="D106" i="9"/>
  <c r="D112" i="9" s="1"/>
  <c r="C103" i="9"/>
  <c r="H122" i="9"/>
  <c r="I102" i="9"/>
  <c r="D117" i="9" l="1"/>
  <c r="I115" i="9" s="1"/>
  <c r="D113" i="9"/>
  <c r="I111" i="9" s="1"/>
  <c r="D126" i="9" s="1"/>
  <c r="I110" i="9"/>
  <c r="D125" i="9" s="1"/>
  <c r="G14" i="62" s="1"/>
  <c r="B6" i="62" s="1"/>
  <c r="D45" i="9"/>
  <c r="N48" i="9"/>
  <c r="B5" i="62"/>
  <c r="E14" i="62"/>
  <c r="F14" i="62"/>
  <c r="D6" i="62" l="1"/>
  <c r="C6" i="62"/>
  <c r="C5" i="62"/>
  <c r="D5" i="62"/>
  <c r="C93" i="9"/>
  <c r="C86" i="9" s="1"/>
  <c r="C72" i="9"/>
  <c r="C85" i="9"/>
  <c r="D52" i="9"/>
  <c r="C64" i="9"/>
  <c r="C63" i="9" s="1"/>
  <c r="C67" i="9" s="1"/>
  <c r="C68" i="9" s="1"/>
  <c r="D54" i="9" s="1"/>
  <c r="D53" i="9"/>
  <c r="D48" i="9" s="1"/>
  <c r="N52" i="9" s="1"/>
  <c r="O57" i="9" s="1"/>
  <c r="C78" i="9"/>
  <c r="C73" i="9" s="1"/>
  <c r="C79" i="9" s="1"/>
  <c r="C80" i="9" l="1"/>
  <c r="E80" i="9" s="1"/>
  <c r="E81" i="9" s="1"/>
  <c r="O59" i="9"/>
  <c r="Q57" i="9"/>
  <c r="O58" i="9"/>
  <c r="C95" i="9"/>
  <c r="C81" i="9" l="1"/>
  <c r="C96" i="9"/>
  <c r="E96" i="9" s="1"/>
  <c r="E97" i="9" s="1"/>
  <c r="C97" i="9"/>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<sst xmlns="http://schemas.openxmlformats.org/spreadsheetml/2006/main" count="6905" uniqueCount="3046">
  <si>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</si>
  <si>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</si>
  <si>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</si>
  <si>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</si>
  <si>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</si>
  <si>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</si>
  <si>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</si>
  <si>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</si>
  <si>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</si>
  <si>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</si>
  <si>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</si>
  <si>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</si>
  <si>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</si>
  <si>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</si>
  <si>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</si>
  <si>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</si>
  <si>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</si>
  <si>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</si>
  <si>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</si>
  <si>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</si>
  <si>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</si>
  <si>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</si>
  <si>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</si>
  <si>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</si>
  <si>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</si>
  <si>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</si>
  <si>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</si>
  <si>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</si>
  <si>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</si>
  <si>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</si>
  <si>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</si>
  <si>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</si>
  <si>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</si>
  <si>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</si>
  <si>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</si>
  <si>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</si>
  <si>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</si>
  <si>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</si>
  <si>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</si>
  <si>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</si>
  <si>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</si>
  <si>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</si>
  <si>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</si>
  <si>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</si>
  <si>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</si>
  <si>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</si>
  <si>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</si>
  <si>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</si>
  <si>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</si>
  <si>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</si>
  <si>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</si>
  <si>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</si>
  <si>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</si>
  <si>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</si>
  <si>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</si>
  <si>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</si>
  <si>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</si>
  <si>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</si>
  <si>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</si>
  <si>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</si>
  <si>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</si>
  <si>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</si>
  <si>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</si>
  <si>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</si>
  <si>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</si>
  <si>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</si>
  <si>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</si>
  <si>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</si>
  <si>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</si>
  <si>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</si>
  <si>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</si>
  <si>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</si>
  <si>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</si>
  <si>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</si>
  <si>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</si>
  <si>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</si>
  <si>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</si>
  <si>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</si>
  <si>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</si>
  <si>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</si>
  <si>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</si>
  <si>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</si>
  <si>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</si>
  <si>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</si>
  <si>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</si>
  <si>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</si>
  <si>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</si>
  <si>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</si>
  <si>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</si>
  <si>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</si>
  <si>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</si>
  <si>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</si>
  <si>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</si>
  <si>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</si>
  <si>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</si>
  <si>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</si>
  <si>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</si>
  <si>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</si>
  <si>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</si>
  <si>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</si>
  <si>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</si>
  <si>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</si>
  <si>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</si>
  <si>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</si>
  <si>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</si>
  <si>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</si>
  <si>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</si>
  <si>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</si>
  <si>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</si>
  <si>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</si>
  <si>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</si>
  <si>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</si>
  <si>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</si>
  <si>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</si>
  <si>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</si>
  <si>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</si>
  <si>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</si>
  <si>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</si>
  <si>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</si>
  <si>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</si>
  <si>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</si>
  <si>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</si>
  <si>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</si>
  <si>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</si>
  <si>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</si>
  <si>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</si>
  <si>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</si>
  <si>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</si>
  <si>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</si>
  <si>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</si>
  <si>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</si>
  <si>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</si>
  <si>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</si>
  <si>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</si>
  <si>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</si>
  <si>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</si>
  <si>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</si>
  <si>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</si>
  <si>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</si>
  <si>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</si>
  <si>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</si>
  <si>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</si>
  <si>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</si>
  <si>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</si>
  <si>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</si>
  <si>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</si>
  <si>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</si>
  <si>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</si>
  <si>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</si>
  <si>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</si>
  <si>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</si>
  <si>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</si>
  <si>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</si>
  <si>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</si>
  <si>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</si>
  <si>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</si>
  <si>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</si>
  <si>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</si>
  <si>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</si>
  <si>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</si>
  <si>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</si>
  <si>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</si>
  <si>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</si>
  <si>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</si>
  <si>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</si>
  <si>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</si>
  <si>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</si>
  <si>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</si>
  <si>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</si>
  <si>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</si>
  <si>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</si>
  <si>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</si>
  <si>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</si>
  <si>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</si>
  <si>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</si>
  <si>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</si>
  <si>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</si>
  <si>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</si>
  <si>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</si>
  <si>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</si>
  <si>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</si>
  <si>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</si>
  <si>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</si>
  <si>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</si>
  <si>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</si>
  <si>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</si>
  <si>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</si>
  <si>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</si>
  <si>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</si>
  <si>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</si>
  <si>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</si>
  <si>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</si>
  <si>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</si>
  <si>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</si>
  <si>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</si>
  <si>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</si>
  <si>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</si>
  <si>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</si>
  <si>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</si>
  <si>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</si>
  <si>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</si>
  <si>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</si>
  <si>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</si>
  <si>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</si>
  <si>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</si>
  <si>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</si>
  <si>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</si>
  <si>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</si>
  <si>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</si>
  <si>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</si>
  <si>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</si>
  <si>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</si>
  <si>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</si>
  <si>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</si>
  <si>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</si>
  <si>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</si>
  <si>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</si>
  <si>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</si>
  <si>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</si>
  <si>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</si>
  <si>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</si>
  <si>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</si>
  <si>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</si>
  <si>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</si>
  <si>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</si>
  <si>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</si>
  <si>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</si>
  <si>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</si>
  <si>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</si>
  <si>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</si>
  <si>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</si>
  <si>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</si>
  <si>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</si>
  <si>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</si>
  <si>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</si>
  <si>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</si>
  <si>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</si>
  <si>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</si>
  <si>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</si>
  <si>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</si>
  <si>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</si>
  <si>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</si>
  <si>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</si>
  <si>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</si>
  <si>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</si>
  <si>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</si>
  <si>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</si>
  <si>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</si>
  <si>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</si>
  <si>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</si>
  <si>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</si>
  <si>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</si>
  <si>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</si>
  <si>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</si>
  <si>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</si>
  <si>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</si>
  <si>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</si>
  <si>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</si>
  <si>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</si>
  <si>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</si>
  <si>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</si>
  <si>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</si>
  <si>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</si>
  <si>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</si>
  <si>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</si>
  <si>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</si>
  <si>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</si>
  <si>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</si>
  <si>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</si>
  <si>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</si>
  <si>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</si>
  <si>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</si>
  <si>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</si>
  <si>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</si>
  <si>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</si>
  <si>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</si>
  <si>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</si>
  <si>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</si>
  <si>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</si>
  <si>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</si>
  <si>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</si>
  <si>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</si>
  <si>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</si>
  <si>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</si>
  <si>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</si>
  <si>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</si>
  <si>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</si>
  <si>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</si>
  <si>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</si>
  <si>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</si>
  <si>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</si>
  <si>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</si>
  <si>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</si>
  <si>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</si>
  <si>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</si>
  <si>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</si>
  <si>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</si>
  <si>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</si>
  <si>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</si>
  <si>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</si>
  <si>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</si>
  <si>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</si>
  <si>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</si>
  <si>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</si>
  <si>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</si>
  <si>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</si>
  <si>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</si>
  <si>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</si>
  <si>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</si>
  <si>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</si>
  <si>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</si>
  <si>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</si>
  <si>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</si>
  <si>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</si>
  <si>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</si>
  <si>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</si>
  <si>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</si>
  <si>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</si>
  <si>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</si>
  <si>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</si>
  <si>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</si>
  <si>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</si>
  <si>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</si>
  <si>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</si>
  <si>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</si>
  <si>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</si>
  <si>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</si>
  <si>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</si>
  <si>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</si>
  <si>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</si>
  <si>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</si>
  <si>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</si>
  <si>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</si>
  <si>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</si>
  <si>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</si>
  <si>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</si>
  <si>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</si>
  <si>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</si>
  <si>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</si>
  <si>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</si>
  <si>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</si>
  <si>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</si>
  <si>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</si>
  <si>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</si>
  <si>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</si>
  <si>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</si>
  <si>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</si>
  <si>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</si>
  <si>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</si>
  <si>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</si>
  <si>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</si>
  <si>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</si>
  <si>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</si>
  <si>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</si>
  <si>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</si>
  <si>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</si>
  <si>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</si>
  <si>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</si>
  <si>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</si>
  <si>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</si>
  <si>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</si>
  <si>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</si>
  <si>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</si>
  <si>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</si>
  <si>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</si>
  <si>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</si>
  <si>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</si>
  <si>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</si>
  <si>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</si>
  <si>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</si>
  <si>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</si>
  <si>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</si>
  <si>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</si>
  <si>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</si>
  <si>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</si>
  <si>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</si>
  <si>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</si>
  <si>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</si>
  <si>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</si>
  <si>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</si>
  <si>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</si>
  <si>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</si>
  <si>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</si>
  <si>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</si>
  <si>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</si>
  <si>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</si>
  <si>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</si>
  <si>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</si>
  <si>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</si>
  <si>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</si>
  <si>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</si>
  <si>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</si>
  <si>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</si>
  <si>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</si>
  <si>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</si>
  <si>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</si>
  <si>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</si>
  <si>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</si>
  <si>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</si>
  <si>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</si>
  <si>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</si>
  <si>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</si>
  <si>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</si>
  <si>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</si>
  <si>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</si>
  <si>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</si>
  <si>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</si>
  <si>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</si>
  <si>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</si>
  <si>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</si>
  <si>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</si>
  <si>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</si>
  <si>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</si>
  <si>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</si>
  <si>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</si>
  <si>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</si>
  <si>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</si>
  <si>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</si>
  <si>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</si>
  <si>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</si>
  <si>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</si>
  <si>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</si>
  <si>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</si>
  <si>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</si>
  <si>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</si>
  <si>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</si>
  <si>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</si>
  <si>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</si>
  <si>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</si>
  <si>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</si>
  <si>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</si>
  <si>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</si>
  <si>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</si>
  <si>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</si>
  <si>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</si>
  <si>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</si>
  <si>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</si>
  <si>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</si>
  <si>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</si>
  <si>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</si>
  <si>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</si>
  <si>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</si>
  <si>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</si>
  <si>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</si>
  <si>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</si>
  <si>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</si>
  <si>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</si>
  <si>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</si>
  <si>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</si>
  <si>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</si>
  <si>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</si>
  <si>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</si>
  <si>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</si>
  <si>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</si>
  <si>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</si>
  <si>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</si>
  <si>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</si>
  <si>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</si>
  <si>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</si>
  <si>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</si>
  <si>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</si>
  <si>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</si>
  <si>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</si>
  <si>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</si>
  <si>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</si>
  <si>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</si>
  <si>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</si>
  <si>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</si>
  <si>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</si>
  <si>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</si>
  <si>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</si>
  <si>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</si>
  <si>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</si>
  <si>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</si>
  <si>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</si>
  <si>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</si>
  <si>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</si>
  <si>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</si>
  <si>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</si>
  <si>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</si>
  <si>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</si>
  <si>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</si>
  <si>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</si>
  <si>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</si>
  <si>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</si>
  <si>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</si>
  <si>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</si>
  <si>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</si>
  <si>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</si>
  <si>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</si>
  <si>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</si>
  <si>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</si>
  <si>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</si>
  <si>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</si>
  <si>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</si>
  <si>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</si>
  <si>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</si>
  <si>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</si>
  <si>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</si>
  <si>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</si>
  <si>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</si>
  <si>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</si>
  <si>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</si>
  <si>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</si>
  <si>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</si>
  <si>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</si>
  <si>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</si>
  <si>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</si>
  <si>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</si>
  <si>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</si>
  <si>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</si>
  <si>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</si>
  <si>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</si>
  <si>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</si>
  <si>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</si>
  <si>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</si>
  <si>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</si>
  <si>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</si>
  <si>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</si>
  <si>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</si>
  <si>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</si>
  <si>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</si>
  <si>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</si>
  <si>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</si>
  <si>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</si>
  <si>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</si>
  <si>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</si>
  <si>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</si>
  <si>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</si>
  <si>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</si>
  <si>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</si>
  <si>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</si>
  <si>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</si>
  <si>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</si>
  <si>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</si>
  <si>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</si>
  <si>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</si>
  <si>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</si>
  <si>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</si>
  <si>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</si>
  <si>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</si>
  <si>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</si>
  <si>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</si>
  <si>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</si>
  <si>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</si>
  <si>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</si>
  <si>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</si>
  <si>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</si>
  <si>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</si>
  <si>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</si>
  <si>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</si>
  <si>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</si>
  <si>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</si>
  <si>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</si>
  <si>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</si>
  <si>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</si>
  <si>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</si>
  <si>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</si>
  <si>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</si>
  <si>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</si>
  <si>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</si>
  <si>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</si>
  <si>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</si>
  <si>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</si>
  <si>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</si>
  <si>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</si>
  <si>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</si>
  <si>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</si>
  <si>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</si>
  <si>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</si>
  <si>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</si>
  <si>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</si>
  <si>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</si>
  <si>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</si>
  <si>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</si>
  <si>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</si>
  <si>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</si>
  <si>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</si>
  <si>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</si>
  <si>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</si>
  <si>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</si>
  <si>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</si>
  <si>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</si>
  <si>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</si>
  <si>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</si>
  <si>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</si>
  <si>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</si>
  <si>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</si>
  <si>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</si>
  <si>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</si>
  <si>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</si>
  <si>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</si>
  <si>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</si>
  <si>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</si>
  <si>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</si>
  <si>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</si>
  <si>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</si>
  <si>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</si>
  <si>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</si>
  <si>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</si>
  <si>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</si>
  <si>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</si>
  <si>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</si>
  <si>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</si>
  <si>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</si>
  <si>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</si>
  <si>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</si>
  <si>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</si>
  <si>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</si>
  <si>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</si>
  <si>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</si>
  <si>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</si>
  <si>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</si>
  <si>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</si>
  <si>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</si>
  <si>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</si>
  <si>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</si>
  <si>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</si>
  <si>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</si>
  <si>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</si>
  <si>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</si>
  <si>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</si>
  <si>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</si>
  <si>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</si>
  <si>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</si>
  <si>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</si>
  <si>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</si>
  <si>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</si>
  <si>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</si>
  <si>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</si>
  <si>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</si>
  <si>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</si>
  <si>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</si>
  <si>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</si>
  <si>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</si>
  <si>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</si>
  <si>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</si>
  <si>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</si>
  <si>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</si>
  <si>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</si>
  <si>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</si>
  <si>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</si>
  <si>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</si>
  <si>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</si>
  <si>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</si>
  <si>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</si>
  <si>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</si>
  <si>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</si>
  <si>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</si>
  <si>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</si>
  <si>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</si>
  <si>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</si>
  <si>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</si>
  <si>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</si>
  <si>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</si>
  <si>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</si>
  <si>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</si>
  <si>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</si>
  <si>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</si>
  <si>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</si>
  <si>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</si>
  <si>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</si>
  <si>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</si>
  <si>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</si>
  <si>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</si>
  <si>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</si>
  <si>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</si>
  <si>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</si>
  <si>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</si>
  <si>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</si>
  <si>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</si>
  <si>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</si>
  <si>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</si>
  <si>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</si>
  <si>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</si>
  <si>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</si>
  <si>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</si>
  <si>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</si>
  <si>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</si>
  <si>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</si>
  <si>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</si>
  <si>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</si>
  <si>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</si>
  <si>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</si>
  <si>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</si>
  <si>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</si>
  <si>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</si>
  <si>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</si>
  <si>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</si>
  <si>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</si>
  <si>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</si>
  <si>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</si>
  <si>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</si>
  <si>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</si>
  <si>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</si>
  <si>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</si>
  <si>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</si>
  <si>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</si>
  <si>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</si>
  <si>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</si>
  <si>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</si>
  <si>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</si>
  <si>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</si>
  <si>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</si>
  <si>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</si>
  <si>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</si>
  <si>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</si>
  <si>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</si>
  <si>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</si>
  <si>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</si>
  <si>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</si>
  <si>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</si>
  <si>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</si>
  <si>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</si>
  <si>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</si>
  <si>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</si>
  <si>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</si>
  <si>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</si>
  <si>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</si>
  <si>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</si>
  <si>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</si>
  <si>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</si>
  <si>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</si>
  <si>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</si>
  <si>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</si>
  <si>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</si>
  <si>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</si>
  <si>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</si>
  <si>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</si>
  <si>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</si>
  <si>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</si>
  <si>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</si>
  <si>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</si>
  <si>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</si>
  <si>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</si>
  <si>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</si>
  <si>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</si>
  <si>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</si>
  <si>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</si>
  <si>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</si>
  <si>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</si>
  <si>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</si>
  <si>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</si>
  <si>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</si>
  <si>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</si>
  <si>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</si>
  <si>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</si>
  <si>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</si>
  <si>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</si>
  <si>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</si>
  <si>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</si>
  <si>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</si>
  <si>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</si>
  <si>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</si>
  <si>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</si>
  <si>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</si>
  <si>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</si>
  <si>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</si>
  <si>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</si>
  <si>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</si>
  <si>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</si>
  <si>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</si>
  <si>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</si>
  <si>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</si>
  <si>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</si>
  <si>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</si>
  <si>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</si>
  <si>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</si>
  <si>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</si>
  <si>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</si>
  <si>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</si>
  <si>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</si>
  <si>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</si>
  <si>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</si>
  <si>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</si>
  <si>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</si>
  <si>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</si>
  <si>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</si>
  <si>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</si>
  <si>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</si>
  <si>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</si>
  <si>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</si>
  <si>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</si>
  <si>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</si>
  <si>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</si>
  <si>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</si>
  <si>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</si>
  <si>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</si>
  <si>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</si>
  <si>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</si>
  <si>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</si>
  <si>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</si>
  <si>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</si>
  <si>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</si>
  <si>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</si>
  <si>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</si>
  <si>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</si>
  <si>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</si>
  <si>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</si>
  <si>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</si>
  <si>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</si>
  <si>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</si>
  <si>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</si>
  <si>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</si>
  <si>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</si>
  <si>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</si>
  <si>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</si>
  <si>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</si>
  <si>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</si>
  <si>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</si>
  <si>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</si>
  <si>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</si>
  <si>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</si>
  <si>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</si>
  <si>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</si>
  <si>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</si>
  <si>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</si>
  <si>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</si>
  <si>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</si>
  <si>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</si>
  <si>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</si>
  <si>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</si>
  <si>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</si>
  <si>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</si>
  <si>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</si>
  <si>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</si>
  <si>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</si>
  <si>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</si>
  <si>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</si>
  <si>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</si>
  <si>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</si>
  <si>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</si>
  <si>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</si>
  <si>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</si>
  <si>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</si>
  <si>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</si>
  <si>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</si>
  <si>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</si>
  <si>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</si>
  <si>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</si>
  <si>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</si>
  <si>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</si>
  <si>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</si>
  <si>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</si>
  <si>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</si>
  <si>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</si>
  <si>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</si>
  <si>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</si>
  <si>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</si>
  <si>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</si>
  <si>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</si>
  <si>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</si>
  <si>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</si>
  <si>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</si>
  <si>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</si>
  <si>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</si>
  <si>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</si>
  <si>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</si>
  <si>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</si>
  <si>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</si>
  <si>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</si>
  <si>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</si>
  <si>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</si>
  <si>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</si>
  <si>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</si>
  <si>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</si>
  <si>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</si>
  <si>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</si>
  <si>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</si>
  <si>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</si>
  <si>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</si>
  <si>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</si>
  <si>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</si>
  <si>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</si>
  <si>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</si>
  <si>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</si>
  <si>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</si>
  <si>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</si>
  <si>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</si>
  <si>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</si>
  <si>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</si>
  <si>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</si>
  <si>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</si>
  <si>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</si>
  <si>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</si>
  <si>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</si>
  <si>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</si>
  <si>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</si>
  <si>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</si>
  <si>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</si>
  <si>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</si>
  <si>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</si>
  <si>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</si>
  <si>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</si>
  <si>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</si>
  <si>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</si>
  <si>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</si>
  <si>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</si>
  <si>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</si>
  <si>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</si>
  <si>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</si>
  <si>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</si>
  <si>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</si>
  <si>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</si>
  <si>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</si>
  <si>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</si>
  <si>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</si>
  <si>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</si>
  <si>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</si>
  <si>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</si>
  <si>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</si>
  <si>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</si>
  <si>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</si>
  <si>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</si>
  <si>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</si>
  <si>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</si>
  <si>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</si>
  <si>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</si>
  <si>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</si>
  <si>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</si>
  <si>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</si>
  <si>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</si>
  <si>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</si>
  <si>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</si>
  <si>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</si>
  <si>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</si>
  <si>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</si>
  <si>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</si>
  <si>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</si>
  <si>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</si>
  <si>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</si>
  <si>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</si>
  <si>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</si>
  <si>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</si>
  <si>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</si>
  <si>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</si>
  <si>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</si>
  <si>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</si>
  <si>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</si>
  <si>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</si>
  <si>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</si>
  <si>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</si>
  <si>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</si>
  <si>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</si>
  <si>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</si>
  <si>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</si>
  <si>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</si>
  <si>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</si>
  <si>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</si>
  <si>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</si>
  <si>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</si>
  <si>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</si>
  <si>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</si>
  <si>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</si>
  <si>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</si>
  <si>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</si>
  <si>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</si>
  <si>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</si>
  <si>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</si>
  <si>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</si>
  <si>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</si>
  <si>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</si>
  <si>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</si>
  <si>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</si>
  <si>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</si>
  <si>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</si>
  <si>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</si>
  <si>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</si>
  <si>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</si>
  <si>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</si>
  <si>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</si>
  <si>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</si>
  <si>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</si>
  <si>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</si>
  <si>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</si>
  <si>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</si>
  <si>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</si>
  <si>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</si>
  <si>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</si>
  <si>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</si>
  <si>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</si>
  <si>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</si>
  <si>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</si>
  <si>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</si>
  <si>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</si>
  <si>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</si>
  <si>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</si>
  <si>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</si>
  <si>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</si>
  <si>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</si>
  <si>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</si>
  <si>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</si>
  <si>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</si>
  <si>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</si>
  <si>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</si>
  <si>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</si>
  <si>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</si>
  <si>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</si>
  <si>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</si>
  <si>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</si>
  <si>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</si>
  <si>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</si>
  <si>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</si>
  <si>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</si>
  <si>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</si>
  <si>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</si>
  <si>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</si>
  <si>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</si>
  <si>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</si>
  <si>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</si>
  <si>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</si>
  <si>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</si>
  <si>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</si>
  <si>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</si>
  <si>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</si>
  <si>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</si>
  <si>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</si>
  <si>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</si>
  <si>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</si>
  <si>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</si>
  <si>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</si>
  <si>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</si>
  <si>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</si>
  <si>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</si>
  <si>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</si>
  <si>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</si>
  <si>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</si>
  <si>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</si>
  <si>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</si>
  <si>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</si>
  <si>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</si>
  <si>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</si>
  <si>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</si>
  <si>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</si>
  <si>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</si>
  <si>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</si>
  <si>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</si>
  <si>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</si>
  <si>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</si>
  <si>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</si>
  <si>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</si>
  <si>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</si>
  <si>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</si>
  <si>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</si>
  <si>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</si>
  <si>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</si>
  <si>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</si>
  <si>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</si>
  <si>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</si>
  <si>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</si>
  <si>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</si>
  <si>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</si>
  <si>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</si>
  <si>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</si>
  <si>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</si>
  <si>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</si>
  <si>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</si>
  <si>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</si>
  <si>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</si>
  <si>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</si>
  <si>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</si>
  <si>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</si>
  <si>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</si>
  <si>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</si>
  <si>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</si>
  <si>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</si>
  <si>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</si>
  <si>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</si>
  <si>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</si>
  <si>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</si>
  <si>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</si>
  <si>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</si>
  <si>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</si>
  <si>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</si>
  <si>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</si>
  <si>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</si>
  <si>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</si>
  <si>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</si>
  <si>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</si>
  <si>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</si>
  <si>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</si>
  <si>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</si>
  <si>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</si>
  <si>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</si>
  <si>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</si>
  <si>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</si>
  <si>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</si>
  <si>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</si>
  <si>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</si>
  <si>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</si>
  <si>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</si>
  <si>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</si>
  <si>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</si>
  <si>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</si>
  <si>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</si>
  <si>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</si>
  <si>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</si>
  <si>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</si>
  <si>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</si>
  <si>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</si>
  <si>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</si>
  <si>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</si>
  <si>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</si>
  <si>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</si>
  <si>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</si>
  <si>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</si>
  <si>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</si>
  <si>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</si>
  <si>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</si>
  <si>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</si>
  <si>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</si>
  <si>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</si>
  <si>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</si>
  <si>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</si>
  <si>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</si>
  <si>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</si>
  <si>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</si>
  <si>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</si>
  <si>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</si>
  <si>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</si>
  <si>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</si>
  <si>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</si>
  <si>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</si>
  <si>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</si>
  <si>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</si>
  <si>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</si>
  <si>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</si>
  <si>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</si>
  <si>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</si>
  <si>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</si>
  <si>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</si>
  <si>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</si>
  <si>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</si>
  <si>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</si>
  <si>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</si>
  <si>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</si>
  <si>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</si>
  <si>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</si>
  <si>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</si>
  <si>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</si>
  <si>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</si>
  <si>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</si>
  <si>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</si>
  <si>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</si>
  <si>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</si>
  <si>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</si>
  <si>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</si>
  <si>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</si>
  <si>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</si>
  <si>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</si>
  <si>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</si>
  <si>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</si>
  <si>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</si>
  <si>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</si>
  <si>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</si>
  <si>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</si>
  <si>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</si>
  <si>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</si>
  <si>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</si>
  <si>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</si>
  <si>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</si>
  <si>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</si>
  <si>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</si>
  <si>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</si>
  <si>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</si>
  <si>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</si>
  <si>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</si>
  <si>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</si>
  <si>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</si>
  <si>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</si>
  <si>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</si>
  <si>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</si>
  <si>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</si>
  <si>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</si>
  <si>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</si>
  <si>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</si>
  <si>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</si>
  <si>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</si>
  <si>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</si>
  <si>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</si>
  <si>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</si>
  <si>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</si>
  <si>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</si>
  <si>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</si>
  <si>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</si>
  <si>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</si>
  <si>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</si>
  <si>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</si>
  <si>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</si>
  <si>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</si>
  <si>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</si>
  <si>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</si>
  <si>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</si>
  <si>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</si>
  <si>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</si>
  <si>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</si>
  <si>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</si>
  <si>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</si>
  <si>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</si>
  <si>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</si>
  <si>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</si>
  <si>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</si>
  <si>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</si>
  <si>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</si>
  <si>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</si>
  <si>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</si>
  <si>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</si>
  <si>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</si>
  <si>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</si>
  <si>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</si>
  <si>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</si>
  <si>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</si>
  <si>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</si>
  <si>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</si>
  <si>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</si>
  <si>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</si>
  <si>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</si>
  <si>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</si>
  <si>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</si>
  <si>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</si>
  <si>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</si>
  <si>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</si>
  <si>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</si>
  <si>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</si>
  <si>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</si>
  <si>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</si>
  <si>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</si>
  <si>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</si>
  <si>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</si>
  <si>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</si>
  <si>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</si>
  <si>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</si>
  <si>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</si>
  <si>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</si>
  <si>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</si>
  <si>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</si>
  <si>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</si>
  <si>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</si>
  <si>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</si>
  <si>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</si>
  <si>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</si>
  <si>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</si>
  <si>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</si>
  <si>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</si>
  <si>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</si>
  <si>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</si>
  <si>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</si>
  <si>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</si>
  <si>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</si>
  <si>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</si>
  <si>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</si>
  <si>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</si>
  <si>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</si>
  <si>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</si>
  <si>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</si>
  <si>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</si>
  <si>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</si>
  <si>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</si>
  <si>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</si>
  <si>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</si>
  <si>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</si>
  <si>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</si>
  <si>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</si>
  <si>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</si>
  <si>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</si>
  <si>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</si>
  <si>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</si>
  <si>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</si>
  <si>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</si>
  <si>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</si>
  <si>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</si>
  <si>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</si>
  <si>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</si>
  <si>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</si>
  <si>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</si>
  <si>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</si>
  <si>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</si>
  <si>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</si>
  <si>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</si>
  <si>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</si>
  <si>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</si>
  <si>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</si>
  <si>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</si>
  <si>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</si>
  <si>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</si>
  <si>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</si>
  <si>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</si>
  <si>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</si>
  <si>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</si>
  <si>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</si>
  <si>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</si>
  <si>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</si>
  <si>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</si>
  <si>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</si>
  <si>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</si>
  <si>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</si>
  <si>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</si>
  <si>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</si>
  <si>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</si>
  <si>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</si>
  <si>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</si>
  <si>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</si>
  <si>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</si>
  <si>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</si>
  <si>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</si>
  <si>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</si>
  <si>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</si>
  <si>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</si>
  <si>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</si>
  <si>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</si>
  <si>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</si>
  <si>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</si>
  <si>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</si>
  <si>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</si>
  <si>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</si>
  <si>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</si>
  <si>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</si>
  <si>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</si>
  <si>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</si>
  <si>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</si>
  <si>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</si>
  <si>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</si>
  <si>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</si>
  <si>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</si>
  <si>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</si>
  <si>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</si>
  <si>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</si>
  <si>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</si>
  <si>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</si>
  <si>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</si>
  <si>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</si>
  <si>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</si>
  <si>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</si>
  <si>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</si>
  <si>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</si>
  <si>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</si>
  <si>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</si>
  <si>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</si>
  <si>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</si>
  <si>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</si>
  <si>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</si>
  <si>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</si>
  <si>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</si>
  <si>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</si>
  <si>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</si>
  <si>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</si>
  <si>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</si>
  <si>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</si>
  <si>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</si>
  <si>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</si>
  <si>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</si>
  <si>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</si>
  <si>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</si>
  <si>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</si>
  <si>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</si>
  <si>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</si>
  <si>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</si>
  <si>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</si>
  <si>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</si>
  <si>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</si>
  <si>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</si>
  <si>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</si>
  <si>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</si>
  <si>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</si>
  <si>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</si>
  <si>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</si>
  <si>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</si>
  <si>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</si>
  <si>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</si>
  <si>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</si>
  <si>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</si>
  <si>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</si>
  <si>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</si>
  <si>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</si>
  <si>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</si>
  <si>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</si>
  <si>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</si>
  <si>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</si>
  <si>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</si>
  <si>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</si>
  <si>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</si>
  <si>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</si>
  <si>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</si>
  <si>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</si>
  <si>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</si>
  <si>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</si>
  <si>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</si>
  <si>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</si>
  <si>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</si>
  <si>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</si>
  <si>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</si>
  <si>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</si>
  <si>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</si>
  <si>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</si>
  <si>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</si>
  <si>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</si>
  <si>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</si>
  <si>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</si>
  <si>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</si>
  <si>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</si>
  <si>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</si>
  <si>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</si>
  <si>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</si>
  <si>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</si>
  <si>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</si>
  <si>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</si>
  <si>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</si>
  <si>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</si>
  <si>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</si>
  <si>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</si>
  <si>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</si>
  <si>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</si>
  <si>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</si>
  <si>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</si>
  <si>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</si>
  <si>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</si>
  <si>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</si>
  <si>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</si>
  <si>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</si>
  <si>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</si>
  <si>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</si>
  <si>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</si>
  <si>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</si>
  <si>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</si>
  <si>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</si>
  <si>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</si>
  <si>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</si>
  <si>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</si>
  <si>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</si>
  <si>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</si>
  <si>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</si>
  <si>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</si>
  <si>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</si>
  <si>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</si>
  <si>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</si>
  <si>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</si>
  <si>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</si>
  <si>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</si>
  <si>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</si>
  <si>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</si>
  <si>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</si>
  <si>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</si>
  <si>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</si>
  <si>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</si>
  <si>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</si>
  <si>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</si>
  <si>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</si>
  <si>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</si>
  <si>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</si>
  <si>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</si>
  <si>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</si>
  <si>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</si>
  <si>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</si>
  <si>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</si>
  <si>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</si>
  <si>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</si>
  <si>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</si>
  <si>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</si>
  <si>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</si>
  <si>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</si>
  <si>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</si>
  <si>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</si>
  <si>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</si>
  <si>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</si>
  <si>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</si>
  <si>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</si>
  <si>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</si>
  <si>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</si>
  <si>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</si>
  <si>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</si>
  <si>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</si>
  <si>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</si>
  <si>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</si>
  <si>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</si>
  <si>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</si>
  <si>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</si>
  <si>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</si>
  <si>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</si>
  <si>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</si>
  <si>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</si>
  <si>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</si>
  <si>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</si>
  <si>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</si>
  <si>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</si>
  <si>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</si>
  <si>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</si>
  <si>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</si>
  <si>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</si>
  <si>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</si>
  <si>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</si>
  <si>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</si>
  <si>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</si>
  <si>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</si>
  <si>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</si>
  <si>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</si>
  <si>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</si>
  <si>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</si>
  <si>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</si>
  <si>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</si>
  <si>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</si>
  <si>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</si>
  <si>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</si>
  <si>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</si>
  <si>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</si>
  <si>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</si>
  <si>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</si>
  <si>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</si>
  <si>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</si>
  <si>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</si>
  <si>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</si>
  <si>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</si>
  <si>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</si>
  <si>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</si>
  <si>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</si>
  <si>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</si>
  <si>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</si>
  <si>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</si>
  <si>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</si>
  <si>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</si>
  <si>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</si>
  <si>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</si>
  <si>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</si>
  <si>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</si>
  <si>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</si>
  <si>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</si>
  <si>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</si>
  <si>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</si>
  <si>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</si>
  <si>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</si>
  <si>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</si>
  <si>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</si>
  <si>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</si>
  <si>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</si>
  <si>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</si>
  <si>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</si>
  <si>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</si>
  <si>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</si>
  <si>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</si>
  <si>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</si>
  <si>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</si>
  <si>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</si>
  <si>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</si>
  <si>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</si>
  <si>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</si>
  <si>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</si>
  <si>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</si>
  <si>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</si>
  <si>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</si>
  <si>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</si>
  <si>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</si>
  <si>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</si>
  <si>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</si>
  <si>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</si>
  <si>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</si>
  <si>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</si>
  <si>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</si>
  <si>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</si>
  <si>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</si>
  <si>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</si>
  <si>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</si>
  <si>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</si>
  <si>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</si>
  <si>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</si>
  <si>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</si>
  <si>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</si>
  <si>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</si>
  <si>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</si>
  <si>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</si>
  <si>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</si>
  <si>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</si>
  <si>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</si>
  <si>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</si>
  <si>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</si>
  <si>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</si>
  <si>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</si>
  <si>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</si>
  <si>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</si>
  <si>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</si>
  <si>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</si>
  <si>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</si>
  <si>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</si>
  <si>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</si>
  <si>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</si>
  <si>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</si>
  <si>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</si>
  <si>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</si>
  <si>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</si>
  <si>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</si>
  <si>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</si>
  <si>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</si>
  <si>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</si>
  <si>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</si>
  <si>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</si>
  <si>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</si>
  <si>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</si>
  <si>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</si>
  <si>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</si>
  <si>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</si>
  <si>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</si>
  <si>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</si>
  <si>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</si>
  <si>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</si>
  <si>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</si>
  <si>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</si>
  <si>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</si>
  <si>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</si>
  <si>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</si>
  <si>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</si>
  <si>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</si>
  <si>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</si>
  <si>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</si>
  <si>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</si>
  <si>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</si>
  <si>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</si>
  <si>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</si>
  <si>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</si>
  <si>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</si>
  <si>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</si>
  <si>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</si>
  <si>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</si>
  <si>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</si>
  <si>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</si>
  <si>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</si>
  <si>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</si>
  <si>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</si>
  <si>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</si>
  <si>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</si>
  <si>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</si>
  <si>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</si>
  <si>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</si>
  <si>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</si>
  <si>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</si>
  <si>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</si>
  <si>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</si>
  <si>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</si>
  <si>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</si>
  <si>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</si>
  <si>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</si>
  <si>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</si>
  <si>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</si>
  <si>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</si>
  <si>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</si>
  <si>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</si>
  <si>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</si>
  <si>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</si>
  <si>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</si>
  <si>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</si>
  <si>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</si>
  <si>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</si>
  <si>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</si>
  <si>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</si>
  <si>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</si>
  <si>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</si>
  <si>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</si>
  <si>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</si>
  <si>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</si>
  <si>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</si>
  <si>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</si>
  <si>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</si>
  <si>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</si>
  <si>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</si>
  <si>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</si>
  <si>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</si>
  <si>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</si>
  <si>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</si>
  <si>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</si>
  <si>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</si>
  <si>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</si>
  <si>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</si>
  <si>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</si>
  <si>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</si>
  <si>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</si>
  <si>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</si>
  <si>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</si>
  <si>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</si>
  <si>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</si>
  <si>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</si>
  <si>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</si>
  <si>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</si>
  <si>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</si>
  <si>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</si>
  <si>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</si>
  <si>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</si>
  <si>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</si>
  <si>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</si>
  <si>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</si>
  <si>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</si>
  <si>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</si>
  <si>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</si>
  <si>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</si>
  <si>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</si>
  <si>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</si>
  <si>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</si>
  <si>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</si>
  <si>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</si>
  <si>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</si>
  <si>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</si>
  <si>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</si>
  <si>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</si>
  <si>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</si>
  <si>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</si>
  <si>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</si>
  <si>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</si>
  <si>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</si>
  <si>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</si>
  <si>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</si>
  <si>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</si>
  <si>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</si>
  <si>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</si>
  <si>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</si>
  <si>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</si>
  <si>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</si>
  <si>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</si>
  <si>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</si>
  <si>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</si>
  <si>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</si>
  <si>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</si>
  <si>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</si>
  <si>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</si>
  <si>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</si>
  <si>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</si>
  <si>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</si>
  <si>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</si>
  <si>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</si>
  <si>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</si>
  <si>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</si>
  <si>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</si>
  <si>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</si>
  <si>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</si>
  <si>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</si>
  <si>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</si>
  <si>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</si>
  <si>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</si>
  <si>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</si>
  <si>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</si>
  <si>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</si>
  <si>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</si>
  <si>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</si>
  <si>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</si>
  <si>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</si>
  <si>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</si>
  <si>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</si>
  <si>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</si>
  <si>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</si>
  <si>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</si>
  <si>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</si>
  <si>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</si>
  <si>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</si>
  <si>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</si>
  <si>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</si>
  <si>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</si>
  <si>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</si>
  <si>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</si>
  <si>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</si>
  <si>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</si>
  <si>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</si>
  <si>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</si>
  <si>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</si>
  <si>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</si>
  <si>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</si>
  <si>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</si>
  <si>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</si>
  <si>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</si>
  <si>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</si>
  <si>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</si>
  <si>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</si>
  <si>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</si>
  <si>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</si>
  <si>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</si>
  <si>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</si>
  <si>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</si>
  <si>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</si>
  <si>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</si>
  <si>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</si>
  <si>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</si>
  <si>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</si>
  <si>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</si>
  <si>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</si>
  <si>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</si>
  <si>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</si>
  <si>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</si>
  <si>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</si>
  <si>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</si>
  <si>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</si>
  <si>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</si>
  <si>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</si>
  <si>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</si>
  <si>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</si>
  <si>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</si>
  <si>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</si>
  <si>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</si>
  <si>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</si>
  <si>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</si>
  <si>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</si>
  <si>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</si>
  <si>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</si>
  <si>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</si>
  <si>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</si>
  <si>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</si>
  <si>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</si>
  <si>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</si>
  <si>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</si>
  <si>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</si>
  <si>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</si>
  <si>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</si>
  <si>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</si>
  <si>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</si>
  <si>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</si>
  <si>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</si>
  <si>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</si>
  <si>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</si>
  <si>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</si>
  <si>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</si>
  <si>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</si>
  <si>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</si>
  <si>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</si>
  <si>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</si>
  <si>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</si>
  <si>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</si>
  <si>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</si>
  <si>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</si>
  <si>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</si>
  <si>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</si>
  <si>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</si>
  <si>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</si>
  <si>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</si>
  <si>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</si>
  <si>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</si>
  <si>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</si>
  <si>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</si>
  <si>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</si>
  <si>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</si>
  <si>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</si>
  <si>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</si>
  <si>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</si>
  <si>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</si>
  <si>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</si>
  <si>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</si>
  <si>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</si>
  <si>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</si>
  <si>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</si>
  <si>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</si>
  <si>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</si>
  <si>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</si>
  <si>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</si>
  <si>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</si>
  <si>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</si>
  <si>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</si>
  <si>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</si>
  <si>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</si>
  <si>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</si>
  <si>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</si>
  <si>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</si>
  <si>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</si>
  <si>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</si>
  <si>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</si>
  <si>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</si>
  <si>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</si>
  <si>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</si>
  <si>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</si>
  <si>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</si>
  <si>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</si>
  <si>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</si>
  <si>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</si>
  <si>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</si>
  <si>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</si>
  <si>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</si>
  <si>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</si>
  <si>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</si>
  <si>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</si>
  <si>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</si>
  <si>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</si>
  <si>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</si>
  <si>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</si>
  <si>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</si>
  <si>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</si>
  <si>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</si>
  <si>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</si>
  <si>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</si>
  <si>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</si>
  <si>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</si>
  <si>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</si>
  <si>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</si>
  <si>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</si>
  <si>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</si>
  <si>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</si>
  <si>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</si>
  <si>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</si>
  <si>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</si>
  <si>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</si>
  <si>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</si>
  <si>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</si>
  <si>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</si>
  <si>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</si>
  <si>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</si>
  <si>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</si>
  <si>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</si>
  <si>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</si>
  <si>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</si>
  <si>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</si>
  <si>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</si>
  <si>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</si>
  <si>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</si>
  <si>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</si>
  <si>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</si>
  <si>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</si>
  <si>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</si>
  <si>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</si>
  <si>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</si>
  <si>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</si>
  <si>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</si>
  <si>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</si>
  <si>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</si>
  <si>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</si>
  <si>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</si>
  <si>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</si>
  <si>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</si>
  <si>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</si>
  <si>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</si>
  <si>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</si>
  <si>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</si>
  <si>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</si>
  <si>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</si>
  <si>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</si>
  <si>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</si>
  <si>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</si>
  <si>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</si>
  <si>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</si>
  <si>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</si>
  <si>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</si>
  <si>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</si>
  <si>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</si>
  <si>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</si>
  <si>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</si>
  <si>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</si>
  <si>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</si>
  <si>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</si>
  <si>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</si>
  <si>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</si>
  <si>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</si>
  <si>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</si>
  <si>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</si>
  <si>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</si>
  <si>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</si>
  <si>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</si>
  <si>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</si>
  <si>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</si>
  <si>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</si>
  <si>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</si>
  <si>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</si>
  <si>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</si>
  <si>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</si>
  <si>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</si>
  <si>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</si>
  <si>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</si>
  <si>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</si>
  <si>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</si>
  <si>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</si>
  <si>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</si>
  <si>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</si>
  <si>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</si>
  <si>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</si>
  <si>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</si>
  <si>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</si>
  <si>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</si>
  <si>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</si>
  <si>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</si>
  <si>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</si>
  <si>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</si>
  <si>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</si>
  <si>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</si>
  <si>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</si>
  <si>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</si>
  <si>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</si>
  <si>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</si>
  <si>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</si>
  <si>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</si>
  <si>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</si>
  <si>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</si>
  <si>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</si>
  <si>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</si>
  <si>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</si>
  <si>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</si>
  <si>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</si>
  <si>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</si>
  <si>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</si>
  <si>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</si>
  <si>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</si>
  <si>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</si>
  <si>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</si>
  <si>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</si>
  <si>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</si>
  <si>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</si>
  <si>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</si>
  <si>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</si>
  <si>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</si>
  <si>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</si>
  <si>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</si>
  <si>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</si>
  <si>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</si>
  <si>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</si>
  <si>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</si>
  <si>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</si>
  <si>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</si>
  <si>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</si>
  <si>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</si>
  <si>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</si>
  <si>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</si>
  <si>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</si>
  <si>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</si>
  <si>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</si>
  <si>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</si>
  <si>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</si>
  <si>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</si>
  <si>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</si>
  <si>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</si>
  <si>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</si>
  <si>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</si>
  <si>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</si>
  <si>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</si>
  <si>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</si>
  <si>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</si>
  <si>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</si>
  <si>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</si>
  <si>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</si>
  <si>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</si>
  <si>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</si>
  <si>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</si>
  <si>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</si>
  <si>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</si>
  <si>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</si>
  <si>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</si>
  <si>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</si>
  <si>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</si>
  <si>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</si>
  <si>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</si>
  <si>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</si>
  <si>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</si>
  <si>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</si>
  <si>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</si>
  <si>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</si>
  <si>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</si>
  <si>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</si>
  <si>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</si>
  <si>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</si>
  <si>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</si>
  <si>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</si>
  <si>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</si>
  <si>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</si>
  <si>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</si>
  <si>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</si>
  <si>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</si>
  <si>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</si>
  <si>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</si>
  <si>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</si>
  <si>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</si>
  <si>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</si>
  <si>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</si>
  <si>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</si>
  <si>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</si>
  <si>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</si>
  <si>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</si>
  <si>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</si>
  <si>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</si>
  <si>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</si>
  <si>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</si>
  <si>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</si>
  <si>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</si>
  <si>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</si>
  <si>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</si>
  <si>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</si>
  <si>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</si>
  <si>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</si>
  <si>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</si>
  <si>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</si>
  <si>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</si>
  <si>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</si>
  <si>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</si>
  <si>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</si>
  <si>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</si>
  <si>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</si>
  <si>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</si>
  <si>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</si>
  <si>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</si>
  <si>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</si>
  <si>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</si>
  <si>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</si>
  <si>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</si>
  <si>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</si>
  <si>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</si>
  <si>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</si>
  <si>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</si>
  <si>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</si>
  <si>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</si>
  <si>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</si>
  <si>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</si>
  <si>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</si>
  <si>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</si>
  <si>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</si>
  <si>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</si>
  <si>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</si>
  <si>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</si>
  <si>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</si>
  <si>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</si>
  <si>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</si>
  <si>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</si>
  <si>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</si>
  <si>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</si>
  <si>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</si>
  <si>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</si>
  <si>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</si>
  <si>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</si>
  <si>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</si>
  <si>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</si>
  <si>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</si>
  <si>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</si>
  <si>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</si>
  <si>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</si>
  <si>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</si>
  <si>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</si>
  <si>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</si>
  <si>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</si>
  <si>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</si>
  <si>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</si>
  <si>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</si>
  <si>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</si>
  <si>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</si>
  <si>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</si>
  <si>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</si>
  <si>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</si>
  <si>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</si>
  <si>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</si>
  <si>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</si>
  <si>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</si>
  <si>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</si>
  <si>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</si>
  <si>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</si>
  <si>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</si>
  <si>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</si>
  <si>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</si>
  <si>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</si>
  <si>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</si>
  <si>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</si>
  <si>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</si>
  <si>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</si>
  <si>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</si>
  <si>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</si>
  <si>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</si>
  <si>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</si>
  <si>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</si>
  <si>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</si>
  <si>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</si>
  <si>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</si>
  <si>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</si>
  <si>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</si>
  <si>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</si>
  <si>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</si>
  <si>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</si>
  <si>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</si>
  <si>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</si>
  <si>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</si>
  <si>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</si>
  <si>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</si>
  <si>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</si>
  <si>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</si>
  <si>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</si>
  <si>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</si>
  <si>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</si>
  <si>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</si>
  <si>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</si>
  <si>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</si>
  <si>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</si>
  <si>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</si>
  <si>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</si>
  <si>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</si>
  <si>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</si>
  <si>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</si>
  <si>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</si>
  <si>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</si>
  <si>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</si>
  <si>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</si>
  <si>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</si>
  <si>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</si>
  <si>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</si>
  <si>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</si>
  <si>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</si>
  <si>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</si>
  <si>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</si>
  <si>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</si>
  <si>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</si>
  <si>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</si>
  <si>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</si>
  <si>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</si>
  <si>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</si>
  <si>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</si>
  <si>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</si>
  <si>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</si>
  <si>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</si>
  <si>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</si>
  <si>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</si>
  <si>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</si>
  <si>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</si>
  <si>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</si>
  <si>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</si>
  <si>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</si>
  <si>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</si>
  <si>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</si>
  <si>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</si>
  <si>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</si>
  <si>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</si>
  <si>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</si>
  <si>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</si>
  <si>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</si>
  <si>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</si>
  <si>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</si>
  <si>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</si>
  <si>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</si>
  <si>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</si>
  <si>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</si>
  <si>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</si>
  <si>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</si>
  <si>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</si>
  <si>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</si>
  <si>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</si>
  <si>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</si>
  <si>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</si>
  <si>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</si>
  <si>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</si>
  <si>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</si>
  <si>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</si>
  <si>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</si>
  <si>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</si>
  <si>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</si>
  <si>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</si>
  <si>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</si>
  <si>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</si>
  <si>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</si>
  <si>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</si>
  <si>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</si>
  <si>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</si>
  <si>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</si>
  <si>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</si>
  <si>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</si>
  <si>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</si>
  <si>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</si>
  <si>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</si>
  <si>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</si>
  <si>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</si>
  <si>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</si>
  <si>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</si>
  <si>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</si>
  <si>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</si>
  <si>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</si>
  <si>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</si>
  <si>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</si>
  <si>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</si>
  <si>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</si>
  <si>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</si>
  <si>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</si>
  <si>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</si>
  <si>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</si>
  <si>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</si>
  <si>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</si>
  <si>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</si>
  <si>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</si>
  <si>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</si>
  <si>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</si>
  <si>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</si>
  <si>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</si>
  <si>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</si>
  <si>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</si>
  <si>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</si>
  <si>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</si>
  <si>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</si>
  <si>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</si>
  <si>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</si>
  <si>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</si>
  <si>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</si>
  <si>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</si>
  <si>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</si>
  <si>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</si>
  <si>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</si>
  <si>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</si>
  <si>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</si>
  <si>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</si>
  <si>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</si>
  <si>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</si>
  <si>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</si>
  <si>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</si>
  <si>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</si>
  <si>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</si>
  <si>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</si>
  <si>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</si>
  <si>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</si>
  <si>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</si>
  <si>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</si>
  <si>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</si>
  <si>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</si>
  <si>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</si>
  <si>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</si>
  <si>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</si>
  <si>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</si>
  <si>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</si>
  <si>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</si>
  <si>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</si>
  <si>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</si>
  <si>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</si>
  <si>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</si>
  <si>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</si>
  <si>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</si>
  <si>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</si>
  <si>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</si>
  <si>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</si>
  <si>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</si>
  <si>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</si>
  <si>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</si>
  <si>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</si>
  <si>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</si>
  <si>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</si>
  <si>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</si>
  <si>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</si>
  <si>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</si>
  <si>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</si>
  <si>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</si>
  <si>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</si>
  <si>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</si>
  <si>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</si>
  <si>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</si>
  <si>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</si>
  <si>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</si>
  <si>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</si>
  <si>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</si>
  <si>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</si>
  <si>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</si>
  <si>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</si>
  <si>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</si>
  <si>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</si>
  <si>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</si>
  <si>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</si>
  <si>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</si>
  <si>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</si>
  <si>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</si>
  <si>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</si>
  <si>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</si>
  <si>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</si>
  <si>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</si>
  <si>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</si>
  <si>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</si>
  <si>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</si>
  <si>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</si>
  <si>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</si>
  <si>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</si>
  <si>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</si>
  <si>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</si>
  <si>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</si>
  <si>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</si>
  <si>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</si>
  <si>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</si>
  <si>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</si>
  <si>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</si>
  <si>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</si>
  <si>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</si>
  <si>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</si>
  <si>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</si>
  <si>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</si>
  <si>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</si>
  <si>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</si>
  <si>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</si>
  <si>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</si>
  <si>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</si>
  <si>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</si>
  <si>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</si>
  <si>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</si>
  <si>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</si>
  <si>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</si>
  <si>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</si>
  <si>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</si>
  <si>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</si>
  <si>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</si>
  <si>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</si>
  <si>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</si>
  <si>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</si>
  <si>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</si>
  <si>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</si>
  <si>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</si>
  <si>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</si>
  <si>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</si>
  <si>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</si>
  <si>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</si>
  <si>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</si>
  <si>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</si>
  <si>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</si>
  <si>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</si>
  <si>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</si>
  <si>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</si>
  <si>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</si>
  <si>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</si>
  <si>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</si>
  <si>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</si>
  <si>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</si>
  <si>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</si>
  <si>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</si>
  <si>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</si>
  <si>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</si>
  <si>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</si>
  <si>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</si>
  <si>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</si>
  <si>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</si>
  <si>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</si>
  <si>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</si>
  <si>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</si>
  <si>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</si>
  <si>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</si>
  <si>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</si>
  <si>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</si>
  <si>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</si>
  <si>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</si>
  <si>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</si>
  <si>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</si>
  <si>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</si>
  <si>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</si>
  <si>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</si>
  <si>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</si>
  <si>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</si>
  <si>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</si>
  <si>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</si>
  <si>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</si>
  <si>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</si>
  <si>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</si>
  <si>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</si>
  <si>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</si>
  <si>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</si>
  <si>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</si>
  <si>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</si>
  <si>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</si>
  <si>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</si>
  <si>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</si>
  <si>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</si>
  <si>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</si>
  <si>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</si>
  <si>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</si>
  <si>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</si>
  <si>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</si>
  <si>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</si>
  <si>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</si>
  <si>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</si>
  <si>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</si>
  <si>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</si>
  <si>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</si>
  <si>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</si>
  <si>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</si>
  <si>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</si>
  <si>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</si>
  <si>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</si>
  <si>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</si>
  <si>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</si>
  <si>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</si>
  <si>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</si>
  <si>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</si>
  <si>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</si>
  <si>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</si>
  <si>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</si>
  <si>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</si>
  <si>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</si>
  <si>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</si>
  <si>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</si>
  <si>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</si>
  <si>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</si>
  <si>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</si>
  <si>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</si>
  <si>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</si>
  <si>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</si>
  <si>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</si>
  <si>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</si>
  <si>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</si>
  <si>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</si>
  <si>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</si>
  <si>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</si>
  <si>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</si>
  <si>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</si>
  <si>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</si>
  <si>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</si>
  <si>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</si>
  <si>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</si>
  <si>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</si>
  <si>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</si>
  <si>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</si>
  <si>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</si>
  <si>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</si>
  <si>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</si>
  <si>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</si>
  <si>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</si>
  <si>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</si>
  <si>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</si>
  <si>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</si>
  <si>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</si>
  <si>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</si>
  <si>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</si>
  <si>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</si>
  <si>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</si>
  <si>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</si>
  <si>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</si>
  <si>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</si>
  <si>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</si>
  <si>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</si>
  <si>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</si>
  <si>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</si>
  <si>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</si>
  <si>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</si>
  <si>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</si>
  <si>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</si>
  <si>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</si>
  <si>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</si>
  <si>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</si>
  <si>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</si>
  <si>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</si>
  <si>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</si>
  <si>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</si>
  <si>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</si>
  <si>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</si>
  <si>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</si>
  <si>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</si>
  <si>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</si>
  <si>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</si>
  <si>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</si>
  <si>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</si>
  <si>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</si>
  <si>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</si>
  <si>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</si>
  <si>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</si>
  <si>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</si>
  <si>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</si>
  <si>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</si>
  <si>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</si>
  <si>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</si>
  <si>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</si>
  <si>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</si>
  <si>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</si>
  <si>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</si>
  <si>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</si>
  <si>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</si>
  <si>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</si>
  <si>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</si>
  <si>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</si>
  <si>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</si>
  <si>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</si>
  <si>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</si>
  <si>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</si>
  <si>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</si>
  <si>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</si>
  <si>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</si>
  <si>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</si>
  <si>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</si>
  <si>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</si>
  <si>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</si>
  <si>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</si>
  <si>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</si>
  <si>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</si>
  <si>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</si>
  <si>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</si>
  <si>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</si>
  <si>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</si>
  <si>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</si>
  <si>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</si>
  <si>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</si>
  <si>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</si>
  <si>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</si>
  <si>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</si>
  <si>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</si>
  <si>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</si>
  <si>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</si>
  <si>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</si>
  <si>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</si>
  <si>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</si>
  <si>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</si>
  <si>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</si>
  <si>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</si>
  <si>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</si>
  <si>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</si>
  <si>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</si>
  <si>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</si>
  <si>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</si>
  <si>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</si>
  <si>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</si>
  <si>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</si>
  <si>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</si>
  <si>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</si>
  <si>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</si>
  <si>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</si>
  <si>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</si>
  <si>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</si>
  <si>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</si>
  <si>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</si>
  <si>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</si>
  <si>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</si>
  <si>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</si>
  <si>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</si>
  <si>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</si>
  <si>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</si>
  <si>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</si>
  <si>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</si>
  <si>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</si>
  <si>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</si>
  <si>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</si>
  <si>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</si>
  <si>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</si>
  <si>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</si>
  <si>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</si>
  <si>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</si>
  <si>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</si>
  <si>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</si>
  <si>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</si>
  <si>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</si>
  <si>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</si>
  <si>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</si>
  <si>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</si>
  <si>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</si>
  <si>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</si>
  <si>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</si>
  <si>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</si>
  <si>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</si>
  <si>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</si>
  <si>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</si>
  <si>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</si>
  <si>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</si>
  <si>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</si>
  <si>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</si>
  <si>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</si>
  <si>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</si>
  <si>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</si>
  <si>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</si>
  <si>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</si>
  <si>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</si>
  <si>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</si>
  <si>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</si>
  <si>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</si>
  <si>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</si>
  <si>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</si>
  <si>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</si>
  <si>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</si>
  <si>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</si>
  <si>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</si>
  <si>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</si>
  <si>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</si>
  <si>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</si>
  <si>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</si>
  <si>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</si>
  <si>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</si>
  <si>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</si>
  <si>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</si>
  <si>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</si>
  <si>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</si>
  <si>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</si>
  <si>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</si>
  <si>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</si>
  <si>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</si>
  <si>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</si>
  <si>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</si>
  <si>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</si>
  <si>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</si>
  <si>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</si>
  <si>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</si>
  <si>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</si>
  <si>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</si>
  <si>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</si>
  <si>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</si>
  <si>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</si>
  <si>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</si>
  <si>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</si>
  <si>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</si>
  <si>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</si>
  <si>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</si>
  <si>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</si>
  <si>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</si>
  <si>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</si>
  <si>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</si>
  <si>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</si>
  <si>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</si>
  <si>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</si>
  <si>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</si>
  <si>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</si>
  <si>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</si>
  <si>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</si>
  <si>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</si>
  <si>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</si>
  <si>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</si>
  <si>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</si>
  <si>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</si>
  <si>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</si>
  <si>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</si>
  <si>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</si>
  <si>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</si>
  <si>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</si>
  <si>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</si>
  <si>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</si>
  <si>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</si>
  <si>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</si>
  <si>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</si>
  <si>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</si>
  <si>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</si>
  <si>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</si>
  <si>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</si>
  <si>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</si>
  <si>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</si>
  <si>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</si>
  <si>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</si>
  <si>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</si>
  <si>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</si>
  <si>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</si>
  <si>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</si>
  <si>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</si>
  <si>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</si>
  <si>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</si>
  <si>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</si>
  <si>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</si>
  <si>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</si>
  <si>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</si>
  <si>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</si>
  <si>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</si>
  <si>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</si>
  <si>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</si>
  <si>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</si>
  <si>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</si>
  <si>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</si>
  <si>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</si>
  <si>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</si>
  <si>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</si>
  <si>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</si>
  <si>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</si>
  <si>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</si>
  <si>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</si>
  <si>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</si>
  <si>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</si>
  <si>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</si>
  <si>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</si>
  <si>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</si>
  <si>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</si>
  <si>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</si>
  <si>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</si>
  <si>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</si>
  <si>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</si>
  <si>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</si>
  <si>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</si>
  <si>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</si>
  <si>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</si>
  <si>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</si>
  <si>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</si>
  <si>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</si>
  <si>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</si>
  <si>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</si>
  <si>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</si>
  <si>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</si>
  <si>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</si>
  <si>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</si>
  <si>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</si>
  <si>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</si>
  <si>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</si>
  <si>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</si>
  <si>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</si>
  <si>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</si>
  <si>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</si>
  <si>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</si>
  <si>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</si>
  <si>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</si>
  <si>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</si>
  <si>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</si>
  <si>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</si>
  <si>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</si>
  <si>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</si>
  <si>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</si>
  <si>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</si>
  <si>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</si>
  <si>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</si>
  <si>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</si>
  <si>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</si>
  <si>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</si>
  <si>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</si>
  <si>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</si>
  <si>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</si>
  <si>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</si>
  <si>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</si>
  <si>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</si>
  <si>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</si>
  <si>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</si>
  <si>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</si>
  <si>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</si>
  <si>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</si>
  <si>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</si>
  <si>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</si>
  <si>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</si>
  <si>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</si>
  <si>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</si>
  <si>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</si>
  <si>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</si>
  <si>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</si>
  <si>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</si>
  <si>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</si>
  <si>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</si>
  <si>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</si>
  <si>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</si>
  <si>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</si>
  <si>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</si>
  <si>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</si>
  <si>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</si>
  <si>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</si>
  <si>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</si>
  <si>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</si>
  <si>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</si>
  <si>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</si>
  <si>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</si>
  <si>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</si>
  <si>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</si>
  <si>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</si>
  <si>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</si>
  <si>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</si>
  <si>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</si>
  <si>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</si>
  <si>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</si>
  <si>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</si>
  <si>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</si>
  <si>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</si>
  <si>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</si>
  <si>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</si>
  <si>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</si>
  <si>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</si>
  <si>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</si>
  <si>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</si>
  <si>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</si>
  <si>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</si>
  <si>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</si>
  <si>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</si>
  <si>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</si>
  <si>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</si>
  <si>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</si>
  <si>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</si>
  <si>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</si>
  <si>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</si>
  <si>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</si>
  <si>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</si>
  <si>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</si>
  <si>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</si>
  <si>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</si>
  <si>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</si>
  <si>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</si>
  <si>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</si>
  <si>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</si>
  <si>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</si>
  <si>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</si>
  <si>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</si>
  <si>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</si>
  <si>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</si>
  <si>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</si>
  <si>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</si>
  <si>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</si>
  <si>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</si>
  <si>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</si>
  <si>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</si>
  <si>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</si>
  <si>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</si>
  <si>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</si>
  <si>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</si>
  <si>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</si>
  <si>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</si>
  <si>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</si>
  <si>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</si>
  <si>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</si>
  <si>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</si>
  <si>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</si>
  <si>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</si>
  <si>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</si>
  <si>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</si>
  <si>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</si>
  <si>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</si>
  <si>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</si>
  <si>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</si>
  <si>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</si>
  <si>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</si>
  <si>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</si>
  <si>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</si>
  <si>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</si>
  <si>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</si>
  <si>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</si>
  <si>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</si>
  <si>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</si>
  <si>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</si>
  <si>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</si>
  <si>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</si>
  <si>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</si>
  <si>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</si>
  <si>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</si>
  <si>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</si>
  <si>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</si>
  <si>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</si>
  <si>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</si>
  <si>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</si>
  <si>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</si>
  <si>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</si>
  <si>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</si>
  <si>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</si>
  <si>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</si>
  <si>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</si>
  <si>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</si>
  <si>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</si>
  <si>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</si>
  <si>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</si>
  <si>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</si>
  <si>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</si>
  <si>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</si>
  <si>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</si>
  <si>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</si>
  <si>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</si>
  <si>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</si>
  <si>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</si>
  <si>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</si>
  <si>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</si>
  <si>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</si>
  <si>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</si>
  <si>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</si>
  <si>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</si>
  <si>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</si>
  <si>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</si>
  <si>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</si>
  <si>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</si>
  <si>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</si>
  <si>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</si>
  <si>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</si>
  <si>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</si>
  <si>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</si>
  <si>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</si>
  <si>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</si>
  <si>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</si>
  <si>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</si>
  <si>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</si>
  <si>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</si>
  <si>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</si>
  <si>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</si>
  <si>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</si>
  <si>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</si>
  <si>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</si>
  <si>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</si>
  <si>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</si>
  <si>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</si>
  <si>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</si>
  <si>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</si>
  <si>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</si>
  <si>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</si>
  <si>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</si>
  <si>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</si>
  <si>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</si>
  <si>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</si>
  <si>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</si>
  <si>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</si>
  <si>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</si>
  <si>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</si>
  <si>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</si>
  <si>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</si>
  <si>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</si>
  <si>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</si>
  <si>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</si>
  <si>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</si>
  <si>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</si>
  <si>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</si>
  <si>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</si>
  <si>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</si>
  <si>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</si>
  <si>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</si>
  <si>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</si>
  <si>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</si>
  <si>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</si>
  <si>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</si>
  <si>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</si>
  <si>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</si>
  <si>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</si>
  <si>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</si>
  <si>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</si>
  <si>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</si>
  <si>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</si>
  <si>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</si>
  <si>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</si>
  <si>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</si>
  <si>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</si>
  <si>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</si>
  <si>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</si>
  <si>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</si>
  <si>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</si>
  <si>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</si>
  <si>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</si>
  <si>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</si>
  <si>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</si>
  <si>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</si>
  <si>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</si>
  <si>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</si>
  <si>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</si>
  <si>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</si>
  <si>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</si>
  <si>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</si>
  <si>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</si>
  <si>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</si>
  <si>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</si>
  <si>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</si>
  <si>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</si>
  <si>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</si>
  <si>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</si>
  <si>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</si>
  <si>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</si>
  <si>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</si>
  <si>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</si>
  <si>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</si>
  <si>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</si>
  <si>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</si>
  <si>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</si>
  <si>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</si>
  <si>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</si>
  <si>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</si>
  <si>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</si>
  <si>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</si>
  <si>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</si>
  <si>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</si>
  <si>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</si>
  <si>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</si>
  <si>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</si>
  <si>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</si>
  <si>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</si>
  <si>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</si>
  <si>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</si>
  <si>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</si>
  <si>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</si>
  <si>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</si>
  <si>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</si>
  <si>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</si>
  <si>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</si>
  <si>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</si>
  <si>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</si>
  <si>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房地产抵押价值</t>
  </si>
  <si>
    <t>抵押</t>
  </si>
  <si>
    <t>万元</t>
  </si>
  <si>
    <t>楼面单价</t>
  </si>
  <si>
    <t>无租约</t>
  </si>
  <si>
    <t>利息：取LPR加浮动点数</t>
  </si>
  <si>
    <t>钢混</t>
  </si>
  <si>
    <t>非生产用房</t>
  </si>
  <si>
    <t>是</t>
  </si>
  <si>
    <t>未包含在土地购买价格中</t>
  </si>
  <si>
    <t>已包含在土地取得成本中</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</si>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</sst>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6391;&#29748;&#22269;&#384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基准地价修正 (2)"/>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C33">
            <v>23980</v>
          </cell>
          <cell r="D33">
            <v>246.81</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估价对象为北京市房地产，为XX所有。根据《》[]，估价对象建筑面积为246.81平方米。根据《》[]，估价对象（分摊）出让国有建设用地使用权面积为平方米。估价对象用途为。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2022年11月28日</v>
      </c>
    </row>
    <row r="10" spans="1:2">
      <c r="A10" s="1139" t="s">
        <v>865</v>
      </c>
      <c r="B10" s="1126" t="str">
        <f>'预评函-1'!A13</f>
        <v>本次估价的“房地产价值”是指在正常市场情况下，在价值时点2022年11月28日，估价对象规划用途为，假定未设立法定优先受偿款下的房地产市场价值。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本次评估采用的主估价方法为基准地价系数修正法和基准地价系数修正法。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246.81</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6.2" thickBot="1">
      <c r="A42" s="1140" t="s">
        <v>894</v>
      </c>
      <c r="B42" s="1128" t="str">
        <f>'预评函-2（2）'!F5</f>
        <v>零元整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f>'预评函-3'!A4</f>
        <v>0</v>
      </c>
    </row>
    <row r="53" spans="1:2">
      <c r="A53" s="1139" t="s">
        <v>904</v>
      </c>
      <c r="B53" s="1126">
        <f>'预评函-3'!B4</f>
        <v>0</v>
      </c>
    </row>
    <row r="54" spans="1:2">
      <c r="A54" s="1139" t="s">
        <v>905</v>
      </c>
      <c r="B54" s="1130">
        <f>'预评函-3'!A5</f>
        <v>0</v>
      </c>
    </row>
    <row r="55" spans="1:2" s="1136" customFormat="1" ht="16.2" thickBot="1">
      <c r="A55" s="1140" t="s">
        <v>906</v>
      </c>
      <c r="B55" s="1128">
        <f>'预评函-3'!B5</f>
        <v>0</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1.2">
      <c r="A62" s="1142" t="s">
        <v>1004</v>
      </c>
      <c r="B62" s="1126" t="e">
        <f>'预评函-2（1）'!D38</f>
        <v>#DIV/0!</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8"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8" thickTop="1">
      <c r="A2" s="1355" t="s">
        <v>1290</v>
      </c>
      <c r="B2" s="2510"/>
      <c r="C2" s="2809" t="s">
        <v>1291</v>
      </c>
      <c r="D2" s="2510">
        <v>44893</v>
      </c>
      <c r="E2" s="782"/>
      <c r="F2" s="782"/>
      <c r="G2" s="1121"/>
      <c r="H2" s="2821"/>
    </row>
    <row r="3" spans="1:17" ht="13.8"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3034</v>
      </c>
      <c r="E4" s="782"/>
      <c r="F4" s="782"/>
      <c r="G4" s="1121"/>
    </row>
    <row r="5" spans="1:17" ht="24">
      <c r="A5" s="1358" t="s">
        <v>1295</v>
      </c>
      <c r="B5" s="1359" t="s">
        <v>2480</v>
      </c>
      <c r="C5" s="2811" t="s">
        <v>1296</v>
      </c>
      <c r="D5" s="1361" t="s">
        <v>3033</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8" thickBot="1">
      <c r="A7" s="2814" t="s">
        <v>1300</v>
      </c>
      <c r="B7" s="2518" t="s">
        <v>3032</v>
      </c>
      <c r="C7" s="1453" t="str">
        <f>IF(B7="自然人","姓名","名称")</f>
        <v>姓名</v>
      </c>
      <c r="D7" s="1366" t="s">
        <v>2480</v>
      </c>
      <c r="E7" s="783"/>
      <c r="F7" s="783"/>
      <c r="G7" s="1122"/>
    </row>
    <row r="8" spans="1:17" ht="13.8"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8" thickBot="1">
      <c r="A10" s="3376"/>
      <c r="B10" s="259" t="s">
        <v>1307</v>
      </c>
      <c r="C10" s="3391"/>
      <c r="D10" s="3392"/>
      <c r="E10" s="2816" t="s">
        <v>1308</v>
      </c>
      <c r="F10" s="2524"/>
      <c r="G10" s="2525"/>
    </row>
    <row r="11" spans="1:17" ht="13.8" thickBot="1">
      <c r="A11" s="3376"/>
      <c r="B11" s="1370" t="s">
        <v>1309</v>
      </c>
      <c r="C11" s="3393"/>
      <c r="D11" s="3394"/>
      <c r="E11" s="769"/>
      <c r="F11" s="769"/>
      <c r="G11" s="788"/>
    </row>
    <row r="12" spans="1:17" ht="13.8" thickBot="1">
      <c r="A12" s="3380" t="s">
        <v>2587</v>
      </c>
      <c r="B12" s="2817" t="s">
        <v>1310</v>
      </c>
      <c r="C12" s="766">
        <v>246.81</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8"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8"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2"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2"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4" thickTop="1" thickBot="1">
      <c r="A25" s="786" t="s">
        <v>1330</v>
      </c>
      <c r="B25" s="769"/>
      <c r="C25" s="769"/>
      <c r="D25" s="769"/>
      <c r="E25" s="769"/>
      <c r="F25" s="769"/>
      <c r="G25" s="1246"/>
      <c r="K25" s="2822"/>
    </row>
    <row r="26" spans="1:66" s="794" customFormat="1" ht="13.8"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8"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6"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8"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24.6" thickBot="1">
      <c r="A37" s="762" t="s">
        <v>1356</v>
      </c>
      <c r="B37" s="756"/>
      <c r="C37" s="3387" t="s">
        <v>1357</v>
      </c>
      <c r="D37" s="3388"/>
      <c r="E37" s="760"/>
      <c r="F37" s="1391" t="s">
        <v>1358</v>
      </c>
      <c r="G37" s="756"/>
    </row>
    <row r="38" spans="1:7" ht="13.8"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ht="24">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8"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8" thickBot="1">
      <c r="A51" s="762" t="s">
        <v>1376</v>
      </c>
      <c r="B51" s="777"/>
      <c r="C51" s="3379" t="s">
        <v>1377</v>
      </c>
      <c r="D51" s="3382"/>
      <c r="E51" s="760"/>
      <c r="F51" s="769"/>
      <c r="G51" s="788"/>
    </row>
    <row r="52" spans="1:66">
      <c r="A52" s="762" t="s">
        <v>1355</v>
      </c>
      <c r="B52" s="756"/>
      <c r="C52" s="769"/>
      <c r="D52" s="769"/>
      <c r="E52" s="769"/>
      <c r="F52" s="769"/>
      <c r="G52" s="788"/>
    </row>
    <row r="53" spans="1:66" ht="24.6"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46.8">
      <c r="A3" s="3409"/>
      <c r="B3" s="3409"/>
      <c r="C3" s="3409"/>
      <c r="D3" s="3410"/>
      <c r="E3" s="341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E13" sqref="E13"/>
    </sheetView>
  </sheetViews>
  <sheetFormatPr defaultColWidth="13.77734375" defaultRowHeight="13.2"/>
  <cols>
    <col min="1" max="1" width="20.88671875" style="2607" customWidth="1"/>
    <col min="2" max="2" width="16.77734375" style="2552" customWidth="1"/>
    <col min="3" max="3" width="18.21875" style="2593" customWidth="1"/>
    <col min="4" max="4" width="34.109375" style="2608" customWidth="1"/>
    <col min="5" max="5" width="17.6640625" style="2608" customWidth="1"/>
    <col min="6" max="6" width="15.44140625" style="2551" customWidth="1"/>
    <col min="7" max="8" width="9.109375" style="2886" customWidth="1"/>
    <col min="9" max="9" width="15" style="2593" bestFit="1" customWidth="1"/>
    <col min="10" max="14" width="8.88671875" style="2593" customWidth="1"/>
    <col min="15" max="16" width="12.33203125" style="2593" customWidth="1"/>
    <col min="17" max="17" width="8.6640625" style="2593" customWidth="1"/>
    <col min="18" max="18" width="12.44140625" style="2593" customWidth="1"/>
    <col min="19" max="19" width="8.44140625" style="2593" customWidth="1"/>
    <col min="20" max="21" width="10.88671875" style="2593" customWidth="1"/>
    <col min="22" max="23" width="12.44140625" style="2593" customWidth="1"/>
    <col min="24" max="24" width="12.109375" style="2593" customWidth="1"/>
    <col min="25" max="25" width="7.44140625" style="2593" customWidth="1"/>
    <col min="26" max="26" width="6.33203125" style="2593" customWidth="1"/>
    <col min="27" max="32" width="6.77734375" style="2593" customWidth="1"/>
    <col min="33" max="33" width="6.44140625" style="2593" customWidth="1"/>
    <col min="34" max="36" width="7.21875" style="2593" customWidth="1"/>
    <col min="37" max="41" width="8" style="2593" customWidth="1"/>
    <col min="42" max="16384" width="13.77734375" style="2552"/>
  </cols>
  <sheetData>
    <row r="1" spans="1:41" ht="18" thickBot="1">
      <c r="A1" s="2840" t="s">
        <v>1379</v>
      </c>
      <c r="B1" s="905"/>
      <c r="D1" s="2551"/>
      <c r="E1" s="2551"/>
    </row>
    <row r="2" spans="1:41" s="2555" customFormat="1" ht="15" thickBot="1">
      <c r="A2" s="2841" t="s">
        <v>1380</v>
      </c>
      <c r="B2" s="2842">
        <f>项目基本情况!D2</f>
        <v>44893</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2"/>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 thickBot="1">
      <c r="A5" s="2558" t="s">
        <v>1384</v>
      </c>
      <c r="B5" s="2559">
        <f>项目基本情况!C12</f>
        <v>246.81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9"/>
      <c r="D7" s="2890"/>
      <c r="E7" s="2890"/>
      <c r="F7" s="2887"/>
      <c r="G7" s="2887"/>
      <c r="H7" s="2887"/>
    </row>
    <row r="8" spans="1:41" s="1613" customFormat="1" ht="13.8"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2643</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4">
      <c r="A11" s="2846" t="s">
        <v>1391</v>
      </c>
      <c r="B11" s="2566">
        <v>70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63796</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51.78</v>
      </c>
      <c r="C13" s="2885"/>
      <c r="D13" s="2851" t="s">
        <v>1397</v>
      </c>
      <c r="E13" s="2571">
        <f>成本法!C9</f>
        <v>39490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4">
      <c r="A14" s="2848" t="s">
        <v>1399</v>
      </c>
      <c r="B14" s="2852">
        <f>IF(ISERROR(ROUND(POWER(1+B15,B11-B13)*(POWER(1+B15,B13)-1)/(POWER(1+B15,B11)-1),3)),0,ROUND(POWER(1+B15,B11-B13)*(POWER(1+B15,B13)-1)/(POWER(1+B15,B11)-1),3))</f>
        <v>0.95099999999999996</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4">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987240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4"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ROUND(1-(2022-2008)/60,2)</f>
        <v>0.77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4">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4">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4">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 thickBot="1">
      <c r="A27" s="2869" t="s">
        <v>1419</v>
      </c>
      <c r="B27" s="2585">
        <v>2008</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0.2</v>
      </c>
      <c r="G28" s="2887"/>
      <c r="H28" s="2887"/>
      <c r="K28" s="1613"/>
      <c r="N28" s="1613"/>
    </row>
    <row r="29" spans="1:41" ht="14.4">
      <c r="A29" s="2871" t="s">
        <v>1421</v>
      </c>
      <c r="B29" s="2586" t="s">
        <v>3037</v>
      </c>
      <c r="D29" s="2853" t="s">
        <v>1423</v>
      </c>
      <c r="E29" s="2872">
        <f>E30+E31</f>
        <v>5.6000000000000001E-2</v>
      </c>
      <c r="F29" s="1238"/>
      <c r="G29" s="2887"/>
      <c r="H29" s="2887"/>
      <c r="K29" s="1613"/>
      <c r="N29" s="1613"/>
    </row>
    <row r="30" spans="1:41" ht="14.4">
      <c r="A30" s="2848" t="str">
        <f>IF(B29="租赁期内按合同租金","合同租金","市场租金")</f>
        <v>市场租金</v>
      </c>
      <c r="B30" s="2588">
        <v>6</v>
      </c>
      <c r="D30" s="2855" t="s">
        <v>1425</v>
      </c>
      <c r="E30" s="2589">
        <v>0.05</v>
      </c>
      <c r="F30" s="2874">
        <f>IF(B2&lt;DATE(2016,5,1),0,E30)</f>
        <v>0.05</v>
      </c>
      <c r="G30" s="2887"/>
      <c r="H30" s="2887"/>
      <c r="K30" s="1613"/>
      <c r="N30" s="1613"/>
    </row>
    <row r="31" spans="1:41" ht="14.4">
      <c r="A31" s="2848" t="s">
        <v>1424</v>
      </c>
      <c r="B31" s="2873">
        <f ca="1">存贷款利率!I1</f>
        <v>1.4999999999999999E-2</v>
      </c>
      <c r="D31" s="2855" t="s">
        <v>1427</v>
      </c>
      <c r="E31" s="2875">
        <f>E30*(E32+E33+E34)+E35</f>
        <v>6.000000000000001E-3</v>
      </c>
      <c r="F31" s="1238"/>
      <c r="G31" s="2887"/>
      <c r="H31" s="2887"/>
      <c r="K31" s="1613"/>
      <c r="N31" s="1613"/>
    </row>
    <row r="32" spans="1:41" ht="14.4">
      <c r="A32" s="2848" t="s">
        <v>1426</v>
      </c>
      <c r="B32" s="2573">
        <v>0.03</v>
      </c>
      <c r="D32" s="2855" t="s">
        <v>1429</v>
      </c>
      <c r="E32" s="2590">
        <v>7.0000000000000007E-2</v>
      </c>
      <c r="F32" s="2591" t="s">
        <v>2491</v>
      </c>
      <c r="G32" s="2887"/>
      <c r="H32" s="2887"/>
      <c r="K32" s="1613"/>
      <c r="L32" s="1613"/>
      <c r="M32" s="1613"/>
      <c r="N32" s="1613"/>
    </row>
    <row r="33" spans="1:14" ht="14.4">
      <c r="A33" s="2848" t="s">
        <v>1428</v>
      </c>
      <c r="B33" s="2573">
        <v>0.1</v>
      </c>
      <c r="D33" s="2855" t="s">
        <v>1431</v>
      </c>
      <c r="E33" s="2589">
        <v>0.03</v>
      </c>
      <c r="F33" s="1237" t="s">
        <v>1432</v>
      </c>
      <c r="G33" s="2887"/>
      <c r="H33" s="2887"/>
      <c r="K33" s="1613"/>
      <c r="L33" s="1613"/>
      <c r="M33" s="1613"/>
      <c r="N33" s="1613"/>
    </row>
    <row r="34" spans="1:14" s="2593" customFormat="1" ht="14.4">
      <c r="A34" s="2848" t="s">
        <v>1430</v>
      </c>
      <c r="B34" s="2876">
        <f>收益法!J54</f>
        <v>51.78</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v>0</v>
      </c>
      <c r="F35" s="1240" t="s">
        <v>1437</v>
      </c>
      <c r="G35" s="2887"/>
      <c r="H35" s="2887"/>
      <c r="I35" s="1613"/>
      <c r="J35" s="1613"/>
      <c r="K35" s="1613"/>
      <c r="L35" s="1613"/>
      <c r="M35" s="1613"/>
      <c r="N35" s="1613"/>
    </row>
    <row r="36" spans="1:14" s="2593" customFormat="1" ht="14.4">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0</v>
      </c>
      <c r="F37" s="1239" t="s">
        <v>1441</v>
      </c>
      <c r="G37" s="2887"/>
      <c r="H37" s="2887"/>
      <c r="I37" s="1613"/>
      <c r="J37" s="1613"/>
      <c r="K37" s="1613"/>
      <c r="L37" s="1613"/>
      <c r="M37" s="1613"/>
      <c r="N37" s="1613"/>
    </row>
    <row r="38" spans="1:14" s="2593" customFormat="1" ht="14.4">
      <c r="A38" s="2848" t="str">
        <f>IF(B29="租赁期内按合同租金","年租金增长率","——")</f>
        <v>——</v>
      </c>
      <c r="B38" s="2573"/>
      <c r="D38" s="2880" t="s">
        <v>1442</v>
      </c>
      <c r="E38" s="2881">
        <v>5.0000000000000001E-4</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4">
      <c r="A40" s="2848" t="str">
        <f>IF(B29="租赁期内按合同租金","成新率","——")</f>
        <v>——</v>
      </c>
      <c r="B40" s="2573"/>
      <c r="D40" s="2880" t="s">
        <v>1444</v>
      </c>
      <c r="E40" s="2884">
        <f>SUMIF(D42:D51,E41,E42:E51)</f>
        <v>12</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87</v>
      </c>
      <c r="F41" s="1239" t="s">
        <v>1447</v>
      </c>
      <c r="G41" s="1700" t="s">
        <v>1448</v>
      </c>
      <c r="H41" s="2887"/>
      <c r="I41" s="1613"/>
      <c r="J41" s="1613"/>
      <c r="K41" s="1613"/>
      <c r="L41" s="1613"/>
      <c r="M41" s="1613"/>
      <c r="N41" s="1613"/>
    </row>
    <row r="42" spans="1:14" ht="14.4">
      <c r="A42" s="2847" t="s">
        <v>1445</v>
      </c>
      <c r="B42" s="2598"/>
      <c r="D42" s="2601" t="s">
        <v>1450</v>
      </c>
      <c r="E42" s="2588"/>
      <c r="F42" s="1239">
        <v>30</v>
      </c>
      <c r="G42" s="2887"/>
      <c r="H42" s="2887"/>
      <c r="I42" s="1613"/>
      <c r="J42" s="1613"/>
      <c r="K42" s="1613"/>
      <c r="L42" s="1613"/>
      <c r="M42" s="1613"/>
      <c r="N42" s="1613"/>
    </row>
    <row r="43" spans="1:14" ht="14.4">
      <c r="A43" s="2848" t="s">
        <v>1449</v>
      </c>
      <c r="B43" s="2600">
        <v>365</v>
      </c>
      <c r="D43" s="2601" t="s">
        <v>1452</v>
      </c>
      <c r="E43" s="2588"/>
      <c r="F43" s="1239">
        <v>24</v>
      </c>
      <c r="G43" s="2887"/>
      <c r="H43" s="2887"/>
      <c r="I43" s="1613"/>
      <c r="J43" s="1613"/>
      <c r="K43" s="1613"/>
      <c r="L43" s="1613"/>
      <c r="M43" s="1613"/>
      <c r="N43" s="1613"/>
    </row>
    <row r="44" spans="1:14" ht="14.4">
      <c r="A44" s="2848" t="s">
        <v>1451</v>
      </c>
      <c r="B44" s="2588"/>
      <c r="D44" s="2601" t="s">
        <v>1454</v>
      </c>
      <c r="E44" s="2588"/>
      <c r="F44" s="1239">
        <v>18</v>
      </c>
      <c r="G44" s="2593"/>
      <c r="H44" s="2593"/>
      <c r="I44" s="2887"/>
      <c r="J44" s="1613"/>
      <c r="K44" s="1613"/>
      <c r="L44" s="1613"/>
      <c r="M44" s="1613"/>
      <c r="N44" s="1613"/>
    </row>
    <row r="45" spans="1:14" ht="14.4">
      <c r="A45" s="2848" t="s">
        <v>1453</v>
      </c>
      <c r="B45" s="2602">
        <v>1.4999999999999999E-2</v>
      </c>
      <c r="C45" s="2481" t="s">
        <v>2602</v>
      </c>
      <c r="D45" s="2601" t="s">
        <v>1456</v>
      </c>
      <c r="E45" s="2588">
        <f>F45</f>
        <v>12</v>
      </c>
      <c r="F45" s="1239">
        <v>12</v>
      </c>
      <c r="G45" s="2593"/>
      <c r="H45" s="2593"/>
      <c r="M45" s="1613"/>
      <c r="N45" s="1613"/>
    </row>
    <row r="46" spans="1:14" ht="14.4">
      <c r="A46" s="2848" t="s">
        <v>1455</v>
      </c>
      <c r="B46" s="2603">
        <v>1.5E-3</v>
      </c>
      <c r="C46" s="2481" t="s">
        <v>2600</v>
      </c>
      <c r="D46" s="2601" t="s">
        <v>1218</v>
      </c>
      <c r="E46" s="2588"/>
      <c r="F46" s="1239">
        <v>3</v>
      </c>
      <c r="G46" s="2593"/>
      <c r="H46" s="2593"/>
      <c r="M46" s="1613"/>
      <c r="N46" s="1613"/>
    </row>
    <row r="47" spans="1:14" ht="15" thickBot="1">
      <c r="A47" s="2851" t="s">
        <v>1457</v>
      </c>
      <c r="B47" s="2604">
        <v>1.4999999999999999E-2</v>
      </c>
      <c r="C47" s="2481" t="s">
        <v>2601</v>
      </c>
      <c r="D47" s="2601" t="s">
        <v>1458</v>
      </c>
      <c r="E47" s="2588"/>
      <c r="F47" s="1239">
        <v>1.5</v>
      </c>
      <c r="G47" s="2593"/>
      <c r="H47" s="2593"/>
      <c r="M47" s="1613"/>
      <c r="N47" s="1613"/>
    </row>
    <row r="48" spans="1:14" ht="14.4">
      <c r="A48" s="2593"/>
      <c r="B48" s="2593"/>
      <c r="D48" s="2601" t="s">
        <v>1459</v>
      </c>
      <c r="E48" s="2588"/>
      <c r="F48" s="1239"/>
      <c r="G48" s="2593"/>
      <c r="H48" s="2593"/>
      <c r="M48" s="1613"/>
      <c r="N48" s="1613"/>
    </row>
    <row r="49" spans="1:41" ht="14.4">
      <c r="A49" s="2593"/>
      <c r="B49" s="2593"/>
      <c r="D49" s="2601" t="s">
        <v>1460</v>
      </c>
      <c r="E49" s="2588"/>
      <c r="F49" s="1239"/>
      <c r="G49" s="2593"/>
      <c r="H49" s="2593"/>
      <c r="M49" s="1613"/>
      <c r="N49" s="1613"/>
    </row>
    <row r="50" spans="1:41" ht="14.4">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3.8">
      <c r="D52" s="2887"/>
      <c r="E52" s="2887"/>
      <c r="F52" s="2887"/>
      <c r="G52" s="2887"/>
      <c r="H52" s="2887"/>
      <c r="I52" s="1613"/>
      <c r="J52" s="1613"/>
      <c r="K52" s="1613"/>
      <c r="L52" s="1613"/>
      <c r="M52" s="1613"/>
      <c r="N52" s="1613"/>
    </row>
    <row r="53" spans="1:41" s="2593" customFormat="1" ht="13.8">
      <c r="D53" s="2887"/>
      <c r="E53" s="2887"/>
      <c r="F53" s="2887"/>
      <c r="G53" s="2887"/>
      <c r="H53" s="2887"/>
      <c r="I53" s="1613"/>
      <c r="J53" s="1613"/>
      <c r="K53" s="1613"/>
      <c r="L53" s="1613"/>
      <c r="M53" s="1613"/>
      <c r="N53" s="1613"/>
    </row>
    <row r="54" spans="1:41" s="2593" customFormat="1" ht="13.8">
      <c r="D54" s="2887"/>
      <c r="E54" s="2887"/>
      <c r="F54" s="2887"/>
      <c r="G54" s="2887"/>
      <c r="H54" s="2887"/>
      <c r="I54" s="1613"/>
      <c r="J54" s="1613"/>
      <c r="K54" s="1613"/>
      <c r="L54" s="1613"/>
      <c r="M54" s="1613"/>
      <c r="N54" s="1613"/>
    </row>
    <row r="55" spans="1:41" s="2593" customFormat="1" ht="13.8">
      <c r="D55" s="2887"/>
      <c r="E55" s="2887"/>
      <c r="F55" s="2887"/>
      <c r="G55" s="2887"/>
      <c r="H55" s="2887"/>
      <c r="I55" s="1613"/>
      <c r="J55" s="1613"/>
      <c r="K55" s="1613"/>
      <c r="L55" s="1613"/>
      <c r="M55" s="1613"/>
      <c r="N55" s="1613"/>
    </row>
    <row r="56" spans="1:41" s="2593" customFormat="1" ht="13.8">
      <c r="D56" s="2887"/>
      <c r="E56" s="2887"/>
      <c r="F56" s="2887"/>
      <c r="G56" s="2887"/>
      <c r="H56" s="2887"/>
      <c r="I56" s="1613"/>
      <c r="J56" s="1613"/>
      <c r="K56" s="1613"/>
      <c r="L56" s="1613"/>
      <c r="M56" s="1613"/>
      <c r="N56" s="1613"/>
    </row>
    <row r="57" spans="1:41" s="2593" customFormat="1" ht="13.8">
      <c r="D57" s="2887"/>
      <c r="E57" s="2887"/>
      <c r="F57" s="2887"/>
      <c r="G57" s="2887"/>
      <c r="H57" s="2887"/>
      <c r="I57" s="1613"/>
      <c r="J57" s="1613"/>
      <c r="K57" s="1613"/>
      <c r="L57" s="1613"/>
      <c r="M57" s="1613"/>
      <c r="N57" s="1613"/>
    </row>
    <row r="58" spans="1:41" s="2593" customFormat="1" ht="13.8">
      <c r="D58" s="2887"/>
      <c r="E58" s="2887"/>
      <c r="F58" s="2887"/>
      <c r="G58" s="2887"/>
      <c r="H58" s="2887"/>
      <c r="I58" s="1613"/>
      <c r="J58" s="1613"/>
      <c r="K58" s="1613"/>
      <c r="L58" s="1613"/>
      <c r="M58" s="1613"/>
      <c r="N58" s="1613"/>
    </row>
    <row r="59" spans="1:41" s="2593" customFormat="1" ht="13.8">
      <c r="D59" s="2887"/>
      <c r="E59" s="2887"/>
      <c r="F59" s="2887"/>
      <c r="G59" s="2887"/>
      <c r="H59" s="2887"/>
      <c r="I59" s="1613"/>
      <c r="J59" s="1613"/>
      <c r="K59" s="1613"/>
      <c r="L59" s="1613"/>
      <c r="M59" s="2888"/>
      <c r="N59" s="1613"/>
    </row>
    <row r="60" spans="1:41" s="2593" customFormat="1" ht="13.8">
      <c r="D60" s="2887"/>
      <c r="E60" s="2887"/>
      <c r="F60" s="2887"/>
      <c r="G60" s="2887"/>
      <c r="H60" s="2887"/>
      <c r="I60" s="1613"/>
      <c r="J60" s="1613"/>
      <c r="K60" s="1613"/>
      <c r="L60" s="1613"/>
      <c r="M60" s="1613"/>
      <c r="N60" s="1613"/>
    </row>
    <row r="61" spans="1:41" s="2593" customFormat="1" ht="13.8">
      <c r="D61" s="2887"/>
      <c r="E61" s="2887"/>
      <c r="F61" s="2887"/>
      <c r="G61" s="2887"/>
      <c r="H61" s="2887"/>
      <c r="I61" s="1613"/>
      <c r="J61" s="1613"/>
      <c r="K61" s="1613"/>
      <c r="L61" s="1613"/>
      <c r="M61" s="1613"/>
      <c r="N61" s="1613"/>
    </row>
    <row r="62" spans="1:41" s="2593" customFormat="1" ht="13.8">
      <c r="D62" s="2887"/>
      <c r="E62" s="2887"/>
      <c r="F62" s="2887"/>
      <c r="G62" s="2887"/>
      <c r="H62" s="2887"/>
      <c r="I62" s="1613"/>
      <c r="J62" s="1613"/>
      <c r="K62" s="1613"/>
      <c r="L62" s="1613"/>
      <c r="M62" s="1613"/>
      <c r="N62" s="1613"/>
    </row>
    <row r="63" spans="1:41" s="2593" customFormat="1" ht="13.8">
      <c r="D63" s="2887"/>
      <c r="E63" s="2887"/>
      <c r="F63" s="2887"/>
      <c r="G63" s="2887"/>
      <c r="H63" s="2887"/>
      <c r="I63" s="1613"/>
      <c r="J63" s="1613"/>
      <c r="K63" s="1613"/>
      <c r="L63" s="1613"/>
      <c r="M63" s="1613"/>
      <c r="N63" s="1613"/>
    </row>
    <row r="64" spans="1:41" s="2593" customFormat="1" ht="13.8">
      <c r="D64" s="2887"/>
      <c r="E64" s="2887"/>
      <c r="F64" s="2887"/>
      <c r="G64" s="2887"/>
      <c r="H64" s="2887"/>
      <c r="I64" s="1613"/>
      <c r="J64" s="1613"/>
      <c r="K64" s="1613"/>
      <c r="L64" s="1613"/>
      <c r="M64" s="1613"/>
      <c r="N64" s="1613"/>
    </row>
    <row r="65" spans="1:14" s="2593" customFormat="1" ht="13.8">
      <c r="D65" s="2887"/>
      <c r="E65" s="2887"/>
      <c r="F65" s="2887"/>
      <c r="G65" s="2887"/>
      <c r="H65" s="2887"/>
      <c r="I65" s="1613"/>
      <c r="J65" s="1613"/>
      <c r="K65" s="1613"/>
      <c r="L65" s="1613"/>
      <c r="M65" s="1613"/>
      <c r="N65" s="1613"/>
    </row>
    <row r="66" spans="1:14" s="2593" customFormat="1" ht="13.8">
      <c r="D66" s="2887"/>
      <c r="E66" s="2887"/>
      <c r="F66" s="2887"/>
      <c r="G66" s="2887"/>
      <c r="H66" s="2887"/>
      <c r="I66" s="1613"/>
      <c r="J66" s="1613"/>
      <c r="K66" s="1613"/>
      <c r="L66" s="1613"/>
      <c r="M66" s="1613"/>
      <c r="N66" s="1613"/>
    </row>
    <row r="67" spans="1:14" s="2593" customFormat="1" ht="13.8">
      <c r="A67" s="2891"/>
      <c r="D67" s="2887"/>
      <c r="E67" s="2887"/>
      <c r="F67" s="2887"/>
      <c r="G67" s="2887"/>
      <c r="H67" s="2887"/>
      <c r="I67" s="1613"/>
      <c r="J67" s="1613"/>
      <c r="K67" s="1613"/>
      <c r="L67" s="1613"/>
      <c r="M67" s="1613"/>
      <c r="N67" s="1613"/>
    </row>
    <row r="68" spans="1:14" s="2593" customFormat="1" ht="13.8">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5" customWidth="1"/>
    <col min="2" max="2" width="24.44140625" style="2568" customWidth="1"/>
    <col min="3" max="3" width="28.33203125" style="2629" customWidth="1"/>
    <col min="4" max="4" width="2.6640625" style="2629" customWidth="1"/>
    <col min="5" max="5" width="5.88671875" style="2629" customWidth="1"/>
    <col min="6" max="6" width="27" style="2568" customWidth="1"/>
    <col min="7" max="7" width="32.33203125" style="2630" customWidth="1"/>
    <col min="8" max="8" width="11.88671875" style="2626" customWidth="1"/>
    <col min="9" max="9" width="16.77734375" style="2627" customWidth="1"/>
    <col min="10" max="10" width="2.6640625" style="2626" customWidth="1"/>
    <col min="11" max="11" width="11.88671875" style="2626" customWidth="1"/>
    <col min="12" max="12" width="16.77734375" style="2627" customWidth="1"/>
    <col min="13" max="13" width="2.6640625" style="2626" customWidth="1"/>
    <col min="14" max="14" width="11.88671875" style="2626" customWidth="1"/>
    <col min="15" max="15" width="16.77734375" style="2627" customWidth="1"/>
    <col min="16" max="16" width="2.6640625" style="2626" customWidth="1"/>
    <col min="17" max="17" width="11.88671875" style="2626" customWidth="1"/>
    <col min="18" max="18" width="16.77734375" style="2628" customWidth="1"/>
    <col min="19" max="29" width="9" style="2616"/>
    <col min="30" max="16384" width="9" style="2555"/>
  </cols>
  <sheetData>
    <row r="1" spans="1:29" s="2614" customFormat="1" ht="18"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48">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7.200000000000003">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7.200000000000003">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6"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2">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2">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7.399999999999999">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 thickBot="1">
      <c r="A13" s="2625" t="s">
        <v>1469</v>
      </c>
      <c r="B13" s="2619"/>
      <c r="C13" s="2619"/>
      <c r="D13" s="2615"/>
      <c r="E13" s="2619"/>
      <c r="F13" s="2619"/>
      <c r="G13" s="2619"/>
    </row>
    <row r="14" spans="1:29" s="2552" customFormat="1"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52.8">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9.6">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9.6">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9.6">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6.4">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6.4">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6.4">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2">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501" customWidth="1"/>
    <col min="2" max="16384" width="14.6640625" style="2501"/>
  </cols>
  <sheetData>
    <row r="1" spans="1:9" ht="15.6">
      <c r="A1" s="2499" t="s">
        <v>973</v>
      </c>
      <c r="B1" s="2499">
        <f>SUM(B14:B23)</f>
        <v>246.81</v>
      </c>
      <c r="C1" s="1562"/>
      <c r="D1" s="1562"/>
      <c r="E1" s="1562"/>
      <c r="F1" s="1562"/>
      <c r="G1" s="2500"/>
    </row>
    <row r="2" spans="1:9" ht="15.6">
      <c r="A2" s="2499" t="s">
        <v>974</v>
      </c>
      <c r="B2" s="2499">
        <f>SUM(C14:C23)</f>
        <v>0</v>
      </c>
      <c r="C2" s="1562"/>
      <c r="D2" s="1562"/>
      <c r="E2" s="1562"/>
      <c r="F2" s="1562"/>
      <c r="G2" s="2500"/>
    </row>
    <row r="3" spans="1:9" ht="15.6">
      <c r="A3" s="2499" t="s">
        <v>975</v>
      </c>
      <c r="B3" s="2502">
        <f>项目基本情况!D2</f>
        <v>44893</v>
      </c>
      <c r="C3" s="1562"/>
      <c r="D3" s="1562"/>
      <c r="E3" s="1562"/>
      <c r="F3" s="1562"/>
      <c r="G3" s="2500"/>
    </row>
    <row r="4" spans="1:9" ht="31.2">
      <c r="A4" s="2499" t="s">
        <v>976</v>
      </c>
      <c r="B4" s="2499" t="s">
        <v>977</v>
      </c>
      <c r="C4" s="2499" t="s">
        <v>978</v>
      </c>
      <c r="D4" s="2499" t="s">
        <v>979</v>
      </c>
      <c r="E4" s="1562"/>
      <c r="F4" s="2500"/>
      <c r="G4" s="2500"/>
    </row>
    <row r="5" spans="1:9" ht="15.6">
      <c r="A5" s="2499" t="s">
        <v>980</v>
      </c>
      <c r="B5" s="2499">
        <f ca="1">SUM(D14:D23)</f>
        <v>1125</v>
      </c>
      <c r="C5" s="2499">
        <f ca="1">ROUND(B5*10000/$B$1,0)</f>
        <v>45582</v>
      </c>
      <c r="D5" s="2499" t="e">
        <f ca="1">ROUND(B5*10000/$B$2,0)</f>
        <v>#DIV/0!</v>
      </c>
      <c r="E5" s="1562"/>
      <c r="F5" s="2500"/>
      <c r="G5" s="2500"/>
    </row>
    <row r="6" spans="1:9" ht="15.6">
      <c r="A6" s="2499" t="s">
        <v>981</v>
      </c>
      <c r="B6" s="2499">
        <f ca="1">SUM(G14:G23)</f>
        <v>1125</v>
      </c>
      <c r="C6" s="2499">
        <f t="shared" ref="C6:C8" ca="1" si="0">ROUND(B6*10000/$B$1,0)</f>
        <v>45582</v>
      </c>
      <c r="D6" s="2499" t="e">
        <f t="shared" ref="D6:D8" ca="1" si="1">ROUND(B6*10000/$B$2,0)</f>
        <v>#DIV/0!</v>
      </c>
      <c r="E6" s="1562"/>
      <c r="F6" s="2500"/>
      <c r="G6" s="2500"/>
    </row>
    <row r="7" spans="1:9" ht="15.6">
      <c r="A7" s="2499" t="s">
        <v>982</v>
      </c>
      <c r="B7" s="2499">
        <f>SUM(H14:H23)</f>
        <v>0</v>
      </c>
      <c r="C7" s="2499">
        <f>ROUND(B7*10000/$B$1,0)</f>
        <v>0</v>
      </c>
      <c r="D7" s="2499" t="e">
        <f t="shared" si="1"/>
        <v>#DIV/0!</v>
      </c>
      <c r="E7" s="1562"/>
      <c r="F7" s="2500"/>
      <c r="G7" s="2500"/>
    </row>
    <row r="8" spans="1:9" ht="15.6">
      <c r="A8" s="2499" t="s">
        <v>983</v>
      </c>
      <c r="B8" s="2499">
        <f>SUM(I14:I23)</f>
        <v>0</v>
      </c>
      <c r="C8" s="2499">
        <f t="shared" si="0"/>
        <v>0</v>
      </c>
      <c r="D8" s="2499" t="e">
        <f t="shared" si="1"/>
        <v>#DIV/0!</v>
      </c>
      <c r="E8" s="1562"/>
      <c r="F8" s="2500"/>
      <c r="G8" s="2500"/>
    </row>
    <row r="9" spans="1:9" ht="15.6">
      <c r="A9" s="2499" t="s">
        <v>984</v>
      </c>
      <c r="B9" s="2503"/>
      <c r="C9" s="1562"/>
      <c r="D9" s="1562"/>
      <c r="E9" s="1562"/>
      <c r="F9" s="2500"/>
      <c r="G9" s="2500"/>
    </row>
    <row r="10" spans="1:9" ht="15.6">
      <c r="A10" s="2499" t="s">
        <v>985</v>
      </c>
      <c r="B10" s="2503"/>
      <c r="C10" s="1562"/>
      <c r="D10" s="1562"/>
      <c r="E10" s="1562"/>
      <c r="F10" s="2500"/>
      <c r="G10" s="2500"/>
    </row>
    <row r="11" spans="1:9" ht="15.6">
      <c r="A11" s="2499" t="s">
        <v>1000</v>
      </c>
      <c r="B11" s="2503"/>
      <c r="C11" s="1562"/>
      <c r="D11" s="1562"/>
      <c r="E11" s="1562"/>
      <c r="F11" s="2500"/>
      <c r="G11" s="2500"/>
    </row>
    <row r="12" spans="1:9" ht="15.6">
      <c r="A12" s="1562"/>
      <c r="B12" s="1562"/>
      <c r="C12" s="1562"/>
      <c r="D12" s="1562"/>
      <c r="E12" s="1562"/>
      <c r="F12" s="2500"/>
      <c r="G12" s="2500"/>
    </row>
    <row r="13" spans="1:9" ht="31.2">
      <c r="A13" s="2504" t="s">
        <v>999</v>
      </c>
      <c r="B13" s="2505" t="s">
        <v>973</v>
      </c>
      <c r="C13" s="2505" t="s">
        <v>974</v>
      </c>
      <c r="D13" s="2505" t="s">
        <v>986</v>
      </c>
      <c r="E13" s="2499" t="s">
        <v>978</v>
      </c>
      <c r="F13" s="2499" t="s">
        <v>979</v>
      </c>
      <c r="G13" s="2505" t="s">
        <v>987</v>
      </c>
      <c r="H13" s="2505" t="s">
        <v>988</v>
      </c>
      <c r="I13" s="2505" t="s">
        <v>989</v>
      </c>
    </row>
    <row r="14" spans="1:9" ht="15.6">
      <c r="A14" s="2805" t="s">
        <v>3030</v>
      </c>
      <c r="B14" s="2835">
        <f>项目基本情况!C12</f>
        <v>246.81</v>
      </c>
      <c r="C14" s="2835">
        <f>项目基本情况!C13</f>
        <v>0</v>
      </c>
      <c r="D14" s="2835">
        <f ca="1">IF('数据-取费表'!B3="万元",IF(A14="估价对象1（结果表）",结果表!H121,'结果表 (1修多)'!H125),IF(A14="估价对象1（结果表）",结果表!H121,'结果表 (1修多)'!H125)/10000)</f>
        <v>1125</v>
      </c>
      <c r="E14" s="2835">
        <f ca="1">ROUND(D14*10000/B14,0)</f>
        <v>45582</v>
      </c>
      <c r="F14" s="2835" t="e">
        <f ca="1">ROUND(D14*10000/C14,0)</f>
        <v>#DIV/0!</v>
      </c>
      <c r="G14" s="2835">
        <f ca="1">IF('数据-取费表'!B3="万元",IF(A14="估价对象1（结果表）",结果表!D125,'结果表 (1修多)'!D129),IF(A14="估价对象1（结果表）",结果表!D125,'结果表 (1修多)'!D129)/10000)</f>
        <v>1125</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5.6">
      <c r="A15" s="2506" t="s">
        <v>990</v>
      </c>
      <c r="B15" s="2507"/>
      <c r="C15" s="2507"/>
      <c r="D15" s="2507"/>
      <c r="E15" s="2835" t="e">
        <f t="shared" ref="E15:E23" si="2">ROUND(D15*10000/B15,0)</f>
        <v>#DIV/0!</v>
      </c>
      <c r="F15" s="2835" t="e">
        <f t="shared" ref="F15:F23" si="3">ROUND(D15*10000/C15,0)</f>
        <v>#DIV/0!</v>
      </c>
      <c r="G15" s="1233"/>
      <c r="H15" s="1233"/>
      <c r="I15" s="2507"/>
    </row>
    <row r="16" spans="1:9" ht="15.6">
      <c r="A16" s="2506" t="s">
        <v>991</v>
      </c>
      <c r="B16" s="2507"/>
      <c r="C16" s="2507"/>
      <c r="D16" s="2507"/>
      <c r="E16" s="2835" t="e">
        <f t="shared" si="2"/>
        <v>#DIV/0!</v>
      </c>
      <c r="F16" s="2835" t="e">
        <f t="shared" si="3"/>
        <v>#DIV/0!</v>
      </c>
      <c r="G16" s="1233"/>
      <c r="H16" s="1233"/>
      <c r="I16" s="2507"/>
    </row>
    <row r="17" spans="1:9" ht="15.6">
      <c r="A17" s="2506" t="s">
        <v>992</v>
      </c>
      <c r="B17" s="2507"/>
      <c r="C17" s="2507"/>
      <c r="D17" s="2507"/>
      <c r="E17" s="2835" t="e">
        <f t="shared" si="2"/>
        <v>#DIV/0!</v>
      </c>
      <c r="F17" s="2835" t="e">
        <f t="shared" si="3"/>
        <v>#DIV/0!</v>
      </c>
      <c r="G17" s="1233"/>
      <c r="H17" s="1233"/>
      <c r="I17" s="2507"/>
    </row>
    <row r="18" spans="1:9" ht="15.6">
      <c r="A18" s="2506" t="s">
        <v>993</v>
      </c>
      <c r="B18" s="2507"/>
      <c r="C18" s="2507"/>
      <c r="D18" s="2507"/>
      <c r="E18" s="2835" t="e">
        <f t="shared" si="2"/>
        <v>#DIV/0!</v>
      </c>
      <c r="F18" s="2835" t="e">
        <f t="shared" si="3"/>
        <v>#DIV/0!</v>
      </c>
      <c r="G18" s="2507"/>
      <c r="H18" s="2507"/>
      <c r="I18" s="2507"/>
    </row>
    <row r="19" spans="1:9" ht="15.6">
      <c r="A19" s="2506" t="s">
        <v>994</v>
      </c>
      <c r="B19" s="2507"/>
      <c r="C19" s="2507"/>
      <c r="D19" s="2507"/>
      <c r="E19" s="2835" t="e">
        <f t="shared" si="2"/>
        <v>#DIV/0!</v>
      </c>
      <c r="F19" s="2835" t="e">
        <f t="shared" si="3"/>
        <v>#DIV/0!</v>
      </c>
      <c r="G19" s="2507"/>
      <c r="H19" s="2507"/>
      <c r="I19" s="2507"/>
    </row>
    <row r="20" spans="1:9" ht="15.6">
      <c r="A20" s="2506" t="s">
        <v>995</v>
      </c>
      <c r="B20" s="2507"/>
      <c r="C20" s="2507"/>
      <c r="D20" s="2507"/>
      <c r="E20" s="2835" t="e">
        <f t="shared" si="2"/>
        <v>#DIV/0!</v>
      </c>
      <c r="F20" s="2835" t="e">
        <f t="shared" si="3"/>
        <v>#DIV/0!</v>
      </c>
      <c r="G20" s="2507"/>
      <c r="H20" s="2507"/>
      <c r="I20" s="2507"/>
    </row>
    <row r="21" spans="1:9" ht="15.6">
      <c r="A21" s="2506" t="s">
        <v>996</v>
      </c>
      <c r="B21" s="2507"/>
      <c r="C21" s="2507"/>
      <c r="D21" s="2507"/>
      <c r="E21" s="2835" t="e">
        <f t="shared" si="2"/>
        <v>#DIV/0!</v>
      </c>
      <c r="F21" s="2835" t="e">
        <f t="shared" si="3"/>
        <v>#DIV/0!</v>
      </c>
      <c r="G21" s="2507"/>
      <c r="H21" s="2507"/>
      <c r="I21" s="2507"/>
    </row>
    <row r="22" spans="1:9" ht="15.6">
      <c r="A22" s="2506" t="s">
        <v>997</v>
      </c>
      <c r="B22" s="2507"/>
      <c r="C22" s="2507"/>
      <c r="D22" s="2507"/>
      <c r="E22" s="2835" t="e">
        <f t="shared" si="2"/>
        <v>#DIV/0!</v>
      </c>
      <c r="F22" s="2835" t="e">
        <f t="shared" si="3"/>
        <v>#DIV/0!</v>
      </c>
      <c r="G22" s="2507"/>
      <c r="H22" s="2507"/>
      <c r="I22" s="2507"/>
    </row>
    <row r="23" spans="1:9" ht="15.6">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22" sqref="G22"/>
    </sheetView>
  </sheetViews>
  <sheetFormatPr defaultColWidth="12.6640625" defaultRowHeight="21.75" customHeight="1"/>
  <cols>
    <col min="1" max="2" width="12.6640625" style="1390"/>
    <col min="3" max="4" width="12.6640625" style="1390" customWidth="1"/>
    <col min="5" max="9" width="12.6640625" style="1390"/>
    <col min="10" max="10" width="3.664062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62"/>
    </row>
    <row r="3" spans="1:15" ht="13.2">
      <c r="A3" s="3491" t="s">
        <v>1471</v>
      </c>
      <c r="B3" s="3492"/>
      <c r="C3" s="3492"/>
      <c r="D3" s="3492"/>
      <c r="E3" s="3492"/>
      <c r="F3" s="3492"/>
      <c r="G3" s="3492"/>
      <c r="H3" s="3492"/>
      <c r="I3" s="3492"/>
      <c r="J3" s="2763"/>
    </row>
    <row r="4" spans="1:15" ht="14.4">
      <c r="A4" s="2631" t="s">
        <v>1472</v>
      </c>
      <c r="B4" s="2631" t="s">
        <v>1473</v>
      </c>
      <c r="C4" s="2632" t="s">
        <v>3044</v>
      </c>
      <c r="D4" s="2632" t="s">
        <v>3045</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87" t="s">
        <v>1475</v>
      </c>
      <c r="B5" s="3487">
        <v>25</v>
      </c>
      <c r="C5" s="3493"/>
      <c r="D5" s="3490"/>
      <c r="E5" s="12" t="s">
        <v>1476</v>
      </c>
      <c r="F5" s="2017"/>
      <c r="G5" s="2017"/>
      <c r="H5" s="2017"/>
      <c r="I5" s="2012"/>
      <c r="J5" s="2764"/>
    </row>
    <row r="6" spans="1:15" ht="13.2">
      <c r="A6" s="3487"/>
      <c r="B6" s="3487"/>
      <c r="C6" s="3494"/>
      <c r="D6" s="3490"/>
      <c r="E6" s="12" t="s">
        <v>1477</v>
      </c>
      <c r="F6" s="2017"/>
      <c r="G6" s="2017"/>
      <c r="H6" s="2017"/>
      <c r="I6" s="2012"/>
      <c r="J6" s="2764"/>
    </row>
    <row r="7" spans="1:15" ht="13.2">
      <c r="A7" s="3487"/>
      <c r="B7" s="3487"/>
      <c r="C7" s="3495"/>
      <c r="D7" s="3490"/>
      <c r="E7" s="12" t="s">
        <v>1478</v>
      </c>
      <c r="F7" s="2017"/>
      <c r="G7" s="2017"/>
      <c r="H7" s="2017"/>
      <c r="I7" s="2012"/>
      <c r="J7" s="2764"/>
    </row>
    <row r="8" spans="1:15" ht="13.2">
      <c r="A8" s="3487" t="s">
        <v>1479</v>
      </c>
      <c r="B8" s="3487">
        <v>15</v>
      </c>
      <c r="C8" s="3493"/>
      <c r="D8" s="3490"/>
      <c r="E8" s="12" t="s">
        <v>1480</v>
      </c>
      <c r="F8" s="2017"/>
      <c r="G8" s="2017"/>
      <c r="H8" s="2017"/>
      <c r="I8" s="2012"/>
      <c r="J8" s="2764"/>
    </row>
    <row r="9" spans="1:15" ht="13.2">
      <c r="A9" s="3487"/>
      <c r="B9" s="3487"/>
      <c r="C9" s="3495"/>
      <c r="D9" s="3490"/>
      <c r="E9" s="12" t="s">
        <v>1481</v>
      </c>
      <c r="F9" s="2017"/>
      <c r="G9" s="2017"/>
      <c r="H9" s="2017"/>
      <c r="I9" s="2012"/>
      <c r="J9" s="2764"/>
    </row>
    <row r="10" spans="1:15" ht="13.2">
      <c r="A10" s="3487" t="s">
        <v>1482</v>
      </c>
      <c r="B10" s="3487">
        <v>15</v>
      </c>
      <c r="C10" s="3493"/>
      <c r="D10" s="3490"/>
      <c r="E10" s="12" t="s">
        <v>1483</v>
      </c>
      <c r="F10" s="2017"/>
      <c r="G10" s="2017"/>
      <c r="H10" s="2017"/>
      <c r="I10" s="2012"/>
      <c r="J10" s="2764"/>
    </row>
    <row r="11" spans="1:15" ht="13.2">
      <c r="A11" s="3487"/>
      <c r="B11" s="3487"/>
      <c r="C11" s="3495"/>
      <c r="D11" s="3490"/>
      <c r="E11" s="12" t="s">
        <v>1484</v>
      </c>
      <c r="F11" s="2017"/>
      <c r="G11" s="2017"/>
      <c r="H11" s="2017"/>
      <c r="I11" s="2012"/>
      <c r="J11" s="2764"/>
    </row>
    <row r="12" spans="1:15" ht="13.2">
      <c r="A12" s="3487" t="s">
        <v>1485</v>
      </c>
      <c r="B12" s="3487">
        <v>15</v>
      </c>
      <c r="C12" s="3493"/>
      <c r="D12" s="3490"/>
      <c r="E12" s="12" t="s">
        <v>1486</v>
      </c>
      <c r="F12" s="2017"/>
      <c r="G12" s="2017"/>
      <c r="H12" s="2017"/>
      <c r="I12" s="2012"/>
      <c r="J12" s="2764"/>
    </row>
    <row r="13" spans="1:15" ht="13.2">
      <c r="A13" s="3487"/>
      <c r="B13" s="3487"/>
      <c r="C13" s="3495"/>
      <c r="D13" s="3490"/>
      <c r="E13" s="12" t="s">
        <v>1487</v>
      </c>
      <c r="F13" s="2017"/>
      <c r="G13" s="2017"/>
      <c r="H13" s="2017"/>
      <c r="I13" s="2012"/>
      <c r="J13" s="2764"/>
    </row>
    <row r="14" spans="1:15" ht="13.2">
      <c r="A14" s="3487" t="s">
        <v>1488</v>
      </c>
      <c r="B14" s="3487">
        <v>30</v>
      </c>
      <c r="C14" s="3493">
        <v>5</v>
      </c>
      <c r="D14" s="3490">
        <v>5</v>
      </c>
      <c r="E14" s="12" t="s">
        <v>1489</v>
      </c>
      <c r="F14" s="2017"/>
      <c r="G14" s="2017"/>
      <c r="H14" s="2017"/>
      <c r="I14" s="2012"/>
      <c r="J14" s="2764"/>
    </row>
    <row r="15" spans="1:15" ht="13.2">
      <c r="A15" s="3487"/>
      <c r="B15" s="3487"/>
      <c r="C15" s="3494"/>
      <c r="D15" s="3490"/>
      <c r="E15" s="12" t="s">
        <v>1490</v>
      </c>
      <c r="F15" s="2017"/>
      <c r="G15" s="2017"/>
      <c r="H15" s="2017"/>
      <c r="I15" s="2012"/>
      <c r="J15" s="2764"/>
    </row>
    <row r="16" spans="1:15" ht="13.2">
      <c r="A16" s="3487"/>
      <c r="B16" s="3487"/>
      <c r="C16" s="3495"/>
      <c r="D16" s="3490"/>
      <c r="E16" s="12" t="s">
        <v>1491</v>
      </c>
      <c r="F16" s="2017"/>
      <c r="G16" s="2017"/>
      <c r="H16" s="2017"/>
      <c r="I16" s="2012"/>
      <c r="J16" s="2764"/>
    </row>
    <row r="17" spans="1:36" ht="14.4">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07" t="s">
        <v>2576</v>
      </c>
      <c r="F18" s="3508"/>
      <c r="G18" s="3508"/>
      <c r="H18" s="3508"/>
      <c r="I18" s="3508"/>
      <c r="J18" s="2765"/>
    </row>
    <row r="19" spans="1:36" ht="14.4">
      <c r="A19" s="2638" t="s">
        <v>1494</v>
      </c>
      <c r="B19" s="2639" t="s">
        <v>1495</v>
      </c>
      <c r="C19" s="2640">
        <f ca="1">SUMIF(INDIRECT("'"&amp;C4&amp;"'"&amp;"!A:A"),结果表!B19,INDIRECT("'"&amp;C4&amp;"'"&amp;"!B:B"))</f>
        <v>986</v>
      </c>
      <c r="D19" s="2641">
        <f ca="1">SUMIF(INDIRECT("'"&amp;D4&amp;"'"&amp;"!A:A"),结果表!B19,INDIRECT("'"&amp;D4&amp;"'"&amp;"!B:B"))</f>
        <v>1264</v>
      </c>
      <c r="E19" s="2638" t="s">
        <v>1496</v>
      </c>
      <c r="F19" s="2639" t="s">
        <v>1495</v>
      </c>
      <c r="G19" s="2642">
        <f ca="1">ROUND(C19*$C$18+D19*$D$18,0)</f>
        <v>1125</v>
      </c>
      <c r="H19" s="2643" t="str">
        <f>'数据-取费表'!B3</f>
        <v>万元</v>
      </c>
      <c r="I19" s="2691"/>
      <c r="J19" s="2766"/>
    </row>
    <row r="20" spans="1:36" ht="14.4">
      <c r="A20" s="2644"/>
      <c r="B20" s="1622" t="s">
        <v>1497</v>
      </c>
      <c r="C20" s="1847">
        <f ca="1">SUMIF(INDIRECT("'"&amp;C4&amp;"'"&amp;"!A:A"),结果表!B20,INDIRECT("'"&amp;C4&amp;"'"&amp;"!B:B"))</f>
        <v>39945</v>
      </c>
      <c r="D20" s="1850">
        <f ca="1">SUMIF(INDIRECT("'"&amp;D4&amp;"'"&amp;"!A:A"),结果表!B20,INDIRECT("'"&amp;D4&amp;"'"&amp;"!B:B"))</f>
        <v>51194</v>
      </c>
      <c r="E20" s="2644"/>
      <c r="F20" s="1622" t="s">
        <v>1497</v>
      </c>
      <c r="G20" s="2021">
        <f ca="1">ROUND(C20*$C$18+D20*$D$18,0)</f>
        <v>45570</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0.2819472616632861</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3.8">
      <c r="A27" s="2659"/>
      <c r="B27" s="2657">
        <v>0</v>
      </c>
      <c r="C27" s="2657">
        <v>0</v>
      </c>
      <c r="D27" s="2658">
        <f>ROUND(C27*B27/10000,0)</f>
        <v>0</v>
      </c>
      <c r="E27" s="905"/>
      <c r="F27" s="905"/>
      <c r="G27" s="905"/>
      <c r="H27" s="905"/>
      <c r="I27" s="905"/>
      <c r="J27" s="2765"/>
    </row>
    <row r="28" spans="1:36" ht="13.8">
      <c r="A28" s="2656"/>
      <c r="B28" s="2657"/>
      <c r="C28" s="2657"/>
      <c r="D28" s="2658">
        <f t="shared" ref="D28:D29" si="0">ROUND(C28*B28/10000,0)</f>
        <v>0</v>
      </c>
      <c r="E28" s="905"/>
      <c r="F28" s="905"/>
      <c r="G28" s="905"/>
      <c r="H28" s="905"/>
      <c r="I28" s="905"/>
      <c r="J28" s="2765"/>
    </row>
    <row r="29" spans="1:36" ht="13.8">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6" thickTop="1" thickBot="1">
      <c r="A32" s="2746" t="s">
        <v>1506</v>
      </c>
      <c r="B32" s="2747" t="str">
        <f>'数据-取费表'!B4</f>
        <v>楼面单价</v>
      </c>
      <c r="C32" s="2748">
        <f ca="1">IF(B32="总价",G19-C24,G20-C25)</f>
        <v>45570</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4">
      <c r="A33" s="2661" t="s">
        <v>1507</v>
      </c>
      <c r="B33" s="255"/>
      <c r="C33" s="2662"/>
      <c r="D33" s="2663"/>
      <c r="E33" s="2664" t="s">
        <v>1508</v>
      </c>
      <c r="F33" s="2665" t="str">
        <f>IF(B32="楼面单价","取值（单价）","取值（总价）")</f>
        <v>取值（单价）</v>
      </c>
      <c r="G33" s="905"/>
      <c r="H33" s="905"/>
      <c r="I33" s="905"/>
      <c r="J33" s="2765"/>
    </row>
    <row r="34" spans="1:17" ht="14.4">
      <c r="A34" s="1394"/>
      <c r="B34" s="2666" t="s">
        <v>1509</v>
      </c>
      <c r="C34" s="2667">
        <f ca="1">IF(D33="自定义",F34,C32-C35)</f>
        <v>41469</v>
      </c>
      <c r="D34" s="2668">
        <f ca="1">IF(D33="自定义",ROUND(C34/C32,3),1-D35)</f>
        <v>0.91</v>
      </c>
      <c r="E34" s="1363" t="s">
        <v>1510</v>
      </c>
      <c r="F34" s="2669"/>
      <c r="G34" s="905"/>
      <c r="H34" s="905"/>
      <c r="I34" s="905"/>
      <c r="J34" s="2765"/>
    </row>
    <row r="35" spans="1:17" ht="15" thickBot="1">
      <c r="A35" s="1395"/>
      <c r="B35" s="2670" t="s">
        <v>1511</v>
      </c>
      <c r="C35" s="2671">
        <f ca="1">IF(D33="自定义",F35,ROUND(C32*D35,0))</f>
        <v>4101</v>
      </c>
      <c r="D35" s="2672">
        <f ca="1">IF(D33="自定义",ROUND(C35/C32,3),IF(D33="成本法成本比率",成本法!C56,IF(D33="收益法收益比率",收益法!J38,收益法!J41)))</f>
        <v>0.09</v>
      </c>
      <c r="E35" s="2673" t="s">
        <v>1512</v>
      </c>
      <c r="F35" s="2674"/>
      <c r="G35" s="905"/>
      <c r="H35" s="905"/>
      <c r="I35" s="905"/>
      <c r="J35" s="2765"/>
    </row>
    <row r="36" spans="1:17" ht="15" thickBot="1">
      <c r="A36" s="3496" t="s">
        <v>1513</v>
      </c>
      <c r="B36" s="1396" t="s">
        <v>1514</v>
      </c>
      <c r="C36" s="2675">
        <v>0</v>
      </c>
      <c r="D36" s="2676"/>
      <c r="E36" s="1608"/>
      <c r="F36" s="1608"/>
      <c r="G36" s="905"/>
      <c r="H36" s="905"/>
      <c r="I36" s="905"/>
      <c r="J36" s="2765"/>
    </row>
    <row r="37" spans="1:17" ht="15" thickBot="1">
      <c r="A37" s="3501"/>
      <c r="B37" s="2022" t="s">
        <v>1515</v>
      </c>
      <c r="C37" s="2677">
        <v>0</v>
      </c>
      <c r="D37" s="1239"/>
      <c r="E37" s="1239"/>
      <c r="F37" s="1608"/>
      <c r="G37" s="1239"/>
      <c r="H37" s="1239"/>
      <c r="I37" s="1239"/>
      <c r="J37" s="2769"/>
    </row>
    <row r="38" spans="1:17" ht="15" thickBot="1">
      <c r="A38" s="3502"/>
      <c r="B38" s="1397" t="s">
        <v>1516</v>
      </c>
      <c r="C38" s="2678">
        <v>0</v>
      </c>
      <c r="D38" s="2679" t="s">
        <v>1517</v>
      </c>
      <c r="E38" s="1239"/>
      <c r="F38" s="1608"/>
      <c r="G38" s="1239"/>
      <c r="H38" s="1239"/>
      <c r="I38" s="1239"/>
      <c r="J38" s="2769"/>
    </row>
    <row r="39" spans="1:17" ht="14.4">
      <c r="A39" s="2644" t="s">
        <v>1518</v>
      </c>
      <c r="B39" s="2680" t="s">
        <v>1502</v>
      </c>
      <c r="C39" s="2681" t="s">
        <v>1503</v>
      </c>
      <c r="D39" s="2681" t="s">
        <v>1519</v>
      </c>
      <c r="E39" s="2682" t="s">
        <v>1504</v>
      </c>
      <c r="F39" s="1608"/>
      <c r="G39" s="1239"/>
      <c r="H39" s="1239"/>
      <c r="I39" s="1239"/>
      <c r="J39" s="2769"/>
    </row>
    <row r="40" spans="1:17" ht="13.8">
      <c r="A40" s="2683" t="s">
        <v>1520</v>
      </c>
      <c r="B40" s="2684"/>
      <c r="C40" s="2685"/>
      <c r="D40" s="2685"/>
      <c r="E40" s="2686"/>
      <c r="F40" s="1608"/>
      <c r="G40" s="1239"/>
      <c r="H40" s="1239"/>
      <c r="I40" s="1239"/>
      <c r="J40" s="2769"/>
    </row>
    <row r="41" spans="1:17" ht="13.8">
      <c r="A41" s="2683" t="s">
        <v>1521</v>
      </c>
      <c r="B41" s="2684"/>
      <c r="C41" s="2685"/>
      <c r="D41" s="2685"/>
      <c r="E41" s="2686"/>
      <c r="F41" s="1608"/>
      <c r="G41" s="1239"/>
      <c r="H41" s="1239"/>
      <c r="I41" s="1239"/>
      <c r="J41" s="2769"/>
    </row>
    <row r="42" spans="1:17" ht="14.4" thickBot="1">
      <c r="A42" s="2687"/>
      <c r="B42" s="2688"/>
      <c r="C42" s="2689"/>
      <c r="D42" s="2689"/>
      <c r="E42" s="2674"/>
      <c r="F42" s="1608"/>
      <c r="G42" s="1239"/>
      <c r="H42" s="1239"/>
      <c r="I42" s="1239"/>
      <c r="J42" s="2769"/>
    </row>
    <row r="43" spans="1:17" ht="13.2">
      <c r="A43" s="2895"/>
      <c r="B43" s="2895"/>
      <c r="C43" s="2895"/>
      <c r="D43" s="2895"/>
      <c r="E43" s="2895"/>
      <c r="F43" s="2894"/>
      <c r="G43" s="2894"/>
      <c r="H43" s="2894"/>
      <c r="I43" s="2581"/>
      <c r="J43" s="2770"/>
    </row>
    <row r="44" spans="1:17" ht="17.399999999999999">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1125</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北京市房地产抵押价值预评估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44893</v>
      </c>
      <c r="O47" s="3430"/>
      <c r="P47" s="3430"/>
      <c r="Q47" s="1236"/>
    </row>
    <row r="48" spans="1:17" ht="26.4">
      <c r="A48" s="3503" t="s">
        <v>1536</v>
      </c>
      <c r="B48" s="3437"/>
      <c r="C48" s="3437"/>
      <c r="D48" s="12">
        <f ca="1">IF(H48="情况1",0,IF(H48="情况2",D52,IF(H48="情况3",D53,IF(H48="情况4",D54))))</f>
        <v>60</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28" t="s">
        <v>2508</v>
      </c>
      <c r="M48" s="3428"/>
      <c r="N48" s="3429">
        <f ca="1">I102</f>
        <v>1125</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399999999999999"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60</v>
      </c>
      <c r="E52" s="2020" t="s">
        <v>1553</v>
      </c>
      <c r="F52" s="2493">
        <f>'数据-取费表'!E29</f>
        <v>5.6000000000000001E-2</v>
      </c>
      <c r="G52" s="2494"/>
      <c r="H52" s="905"/>
      <c r="I52" s="2898"/>
      <c r="J52" s="2773"/>
      <c r="K52" s="2454">
        <v>1</v>
      </c>
      <c r="L52" s="3417" t="s">
        <v>2515</v>
      </c>
      <c r="M52" s="3417"/>
      <c r="N52" s="2456">
        <f ca="1">D48</f>
        <v>60</v>
      </c>
      <c r="O52" s="2454" t="str">
        <f>E48</f>
        <v>销售额×税（费）率</v>
      </c>
      <c r="P52" s="2457">
        <f>F48</f>
        <v>5.6000000000000001E-2</v>
      </c>
      <c r="Q52" s="1236"/>
    </row>
    <row r="53" spans="1:17" ht="12" customHeight="1">
      <c r="A53" s="2010" t="s">
        <v>1555</v>
      </c>
      <c r="B53" s="3488" t="s">
        <v>2593</v>
      </c>
      <c r="C53" s="3477"/>
      <c r="D53" s="1028">
        <f ca="1">ROUND(D45*'数据-取费表'!E29/(1+'数据-取费表'!F30),0)</f>
        <v>60</v>
      </c>
      <c r="E53" s="2020" t="s">
        <v>1553</v>
      </c>
      <c r="F53" s="2493">
        <f>'数据-取费表'!E29</f>
        <v>5.6000000000000001E-2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60</v>
      </c>
      <c r="E54" s="264" t="s">
        <v>1558</v>
      </c>
      <c r="F54" s="2493">
        <f>'数据-取费表'!E29</f>
        <v>5.6000000000000001E-2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0</v>
      </c>
      <c r="J55" s="2773"/>
      <c r="K55" s="2454" t="str">
        <f>IF(H59="非个人房产","",4)</f>
        <v/>
      </c>
      <c r="L55" s="3417" t="str">
        <f>IF(H59="非个人房产","——","个人所得税")</f>
        <v>——</v>
      </c>
      <c r="M55" s="3417"/>
      <c r="N55" s="2459" t="str">
        <f>D59</f>
        <v>——</v>
      </c>
      <c r="O55" s="2460" t="str">
        <f>E59</f>
        <v>——</v>
      </c>
      <c r="P55" s="2461" t="str">
        <f>F59</f>
        <v>——</v>
      </c>
      <c r="Q55" s="1236"/>
    </row>
    <row r="56" spans="1:17" ht="25.2">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3.2">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60</v>
      </c>
      <c r="P57" s="2465"/>
      <c r="Q57" s="1234" t="e">
        <f ca="1">O57/N49</f>
        <v>#VALUE!</v>
      </c>
    </row>
    <row r="58" spans="1:17" ht="25.2">
      <c r="A58" s="2010" t="s">
        <v>1551</v>
      </c>
      <c r="B58" s="3488" t="s">
        <v>1569</v>
      </c>
      <c r="C58" s="3476"/>
      <c r="D58" s="12">
        <f ca="1">IF(H58="转让取得",C81,C97)</f>
        <v>637</v>
      </c>
      <c r="E58" s="2020" t="s">
        <v>1564</v>
      </c>
      <c r="F58" s="235" t="s">
        <v>48</v>
      </c>
      <c r="G58" s="2494"/>
      <c r="H58" s="2496" t="s">
        <v>1570</v>
      </c>
      <c r="I58" s="2900"/>
      <c r="J58" s="2773"/>
      <c r="K58" s="3417"/>
      <c r="L58" s="3417"/>
      <c r="M58" s="2462" t="s">
        <v>2520</v>
      </c>
      <c r="N58" s="2466"/>
      <c r="O58" s="2467" t="str">
        <f ca="1">IF(H19="元",NUMBERSTRING(INT(O57),2)&amp;"元整",NUMBERSTRING(INT(O57*10000),2)&amp;"元整")</f>
        <v>陆拾万元整</v>
      </c>
      <c r="P58" s="2468"/>
      <c r="Q58" s="1236"/>
    </row>
    <row r="59" spans="1:17" ht="24.6"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2520</v>
      </c>
      <c r="N60" s="2466"/>
      <c r="O60" s="2467" t="e">
        <f ca="1">IF(H19="元",NUMBERSTRING(INT(O59),2)&amp;"元整",NUMBERSTRING(INT(O59*10000),2)&amp;"元整")</f>
        <v>#VALUE!</v>
      </c>
      <c r="P60" s="2468"/>
      <c r="Q60" s="1236"/>
    </row>
    <row r="61" spans="1:17" ht="13.8" thickBot="1">
      <c r="A61" s="3506" t="s">
        <v>1574</v>
      </c>
      <c r="B61" s="3506"/>
      <c r="C61" s="3506"/>
      <c r="D61" s="3506"/>
      <c r="E61" s="3506"/>
      <c r="F61" s="2901"/>
      <c r="G61" s="2901"/>
      <c r="H61" s="2903"/>
      <c r="I61" s="31"/>
      <c r="K61" s="2454">
        <f>K59+1</f>
        <v>6</v>
      </c>
      <c r="L61" s="3417" t="s">
        <v>2522</v>
      </c>
      <c r="M61" s="3417"/>
      <c r="N61" s="2472"/>
      <c r="O61" s="2473" t="e">
        <f ca="1">IF(H19="元",ROUND(O59/项目基本情况!C12,0),ROUND(O59*10000/项目基本情况!C12,0))</f>
        <v>#VALUE!</v>
      </c>
      <c r="P61" s="2474"/>
      <c r="Q61" s="1236"/>
    </row>
    <row r="62" spans="1:17" ht="13.2">
      <c r="A62" s="3455" t="s">
        <v>1576</v>
      </c>
      <c r="B62" s="3456"/>
      <c r="C62" s="1535"/>
      <c r="D62" s="1535" t="s">
        <v>1577</v>
      </c>
      <c r="E62" s="45" t="s">
        <v>1578</v>
      </c>
      <c r="F62" s="2901"/>
      <c r="G62" s="2901"/>
      <c r="H62" s="2903"/>
      <c r="I62" s="31"/>
      <c r="K62" s="2475"/>
      <c r="L62" s="2475"/>
      <c r="M62" s="2475"/>
      <c r="N62" s="2475"/>
      <c r="O62" s="2475"/>
      <c r="P62" s="2475"/>
      <c r="Q62" s="1236"/>
    </row>
    <row r="63" spans="1:17" ht="13.2">
      <c r="A63" s="46">
        <v>1</v>
      </c>
      <c r="B63" s="47" t="s">
        <v>1579</v>
      </c>
      <c r="C63" s="2704">
        <f ca="1">ROUND((C64+C65)/(1+'数据-取费表'!F30),0)</f>
        <v>1071</v>
      </c>
      <c r="D63" s="47"/>
      <c r="E63" s="48"/>
      <c r="F63" s="2901"/>
      <c r="G63" s="2901"/>
      <c r="H63" s="2903"/>
      <c r="I63" s="31"/>
      <c r="K63" s="3436" t="s">
        <v>2523</v>
      </c>
      <c r="L63" s="2476" t="s">
        <v>2524</v>
      </c>
      <c r="M63" s="2476" t="e">
        <f>IF(N49&gt;10000,N49*0.5%,IF(AND(N49&gt;1000,N49&lt;=10000),N49*1%,IF(AND(N49&gt;100,N49&lt;=1000),N49*3%,IF(AND(N49&gt;10,N49&lt;=100),N49*5%,N49*8%))))</f>
        <v>#VALUE!</v>
      </c>
      <c r="N63" s="2477" t="e">
        <f>ROUND(M63,1)</f>
        <v>#VALUE!</v>
      </c>
      <c r="O63" s="2475"/>
      <c r="P63" s="2475"/>
      <c r="Q63" s="1236"/>
    </row>
    <row r="64" spans="1:17" ht="13.2">
      <c r="A64" s="49" t="s">
        <v>71</v>
      </c>
      <c r="B64" s="50" t="s">
        <v>1582</v>
      </c>
      <c r="C64" s="2705">
        <f ca="1">D45</f>
        <v>1125</v>
      </c>
      <c r="D64" s="50" t="s">
        <v>41</v>
      </c>
      <c r="E64" s="52"/>
      <c r="F64" s="2901"/>
      <c r="G64" s="2901"/>
      <c r="H64" s="2903"/>
      <c r="I64" s="31"/>
      <c r="K64" s="343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3.2">
      <c r="A65" s="49" t="s">
        <v>72</v>
      </c>
      <c r="B65" s="50" t="s">
        <v>1585</v>
      </c>
      <c r="C65" s="2706"/>
      <c r="D65" s="50"/>
      <c r="E65" s="52"/>
      <c r="F65" s="2901"/>
      <c r="G65" s="2901"/>
      <c r="H65" s="2903"/>
      <c r="I65" s="31"/>
      <c r="K65" s="3436"/>
      <c r="L65" s="2476" t="s">
        <v>2527</v>
      </c>
      <c r="M65" s="2476" t="e">
        <f>IF(N49&gt;1000,N49*0.1%,IF(AND(N49&gt;500,N49&lt;=1000),N49*0.5%,IF(AND(N49&gt;50,N49&lt;=500),N49*1%,IF(AND(N49&gt;1,N49&lt;=50),N49*1.5%))))</f>
        <v>#VALUE!</v>
      </c>
      <c r="N65" s="2477" t="e">
        <f t="shared" si="2"/>
        <v>#VALUE!</v>
      </c>
      <c r="O65" s="2475" t="s">
        <v>2526</v>
      </c>
      <c r="P65" s="2475"/>
      <c r="Q65" s="1236"/>
    </row>
    <row r="66" spans="1:36" ht="25.2">
      <c r="A66" s="53" t="s">
        <v>47</v>
      </c>
      <c r="B66" s="54" t="s">
        <v>1587</v>
      </c>
      <c r="C66" s="2707"/>
      <c r="D66" s="54" t="s">
        <v>41</v>
      </c>
      <c r="E66" s="1244" t="s">
        <v>1588</v>
      </c>
      <c r="F66" s="2901"/>
      <c r="G66" s="2901"/>
      <c r="H66" s="2903"/>
      <c r="I66" s="31"/>
      <c r="K66" s="3436"/>
      <c r="L66" s="2476" t="s">
        <v>2528</v>
      </c>
      <c r="M66" s="2476" t="e">
        <f>N49*0.5%</f>
        <v>#VALUE!</v>
      </c>
      <c r="N66" s="2477" t="e">
        <f>IF(M66&gt;0.5,0.5,ROUND(M66,0))</f>
        <v>#VALUE!</v>
      </c>
      <c r="O66" s="2475" t="s">
        <v>2529</v>
      </c>
      <c r="P66" s="2475"/>
      <c r="Q66" s="1236"/>
    </row>
    <row r="67" spans="1:36" ht="13.2">
      <c r="A67" s="53" t="s">
        <v>42</v>
      </c>
      <c r="B67" s="54" t="s">
        <v>1591</v>
      </c>
      <c r="C67" s="2708">
        <f ca="1">C63-C66</f>
        <v>1071</v>
      </c>
      <c r="D67" s="50" t="s">
        <v>41</v>
      </c>
      <c r="E67" s="52"/>
      <c r="F67" s="2901"/>
      <c r="G67" s="2901"/>
      <c r="H67" s="2903"/>
      <c r="I67" s="31"/>
      <c r="K67" s="343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8" thickBot="1">
      <c r="A68" s="55" t="s">
        <v>46</v>
      </c>
      <c r="B68" s="56" t="s">
        <v>1593</v>
      </c>
      <c r="C68" s="2709">
        <f ca="1">IF(C67&lt;=0,0,ROUND(C67*D68,0))</f>
        <v>60</v>
      </c>
      <c r="D68" s="2170">
        <f>'数据-取费表'!E29</f>
        <v>5.6000000000000001E-2</v>
      </c>
      <c r="E68" s="57"/>
      <c r="F68" s="2901"/>
      <c r="G68" s="2901"/>
      <c r="H68" s="2903"/>
      <c r="I68" s="31"/>
      <c r="K68" s="343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8">
        <f ca="1">ROUND(D45/(1+'数据-取费表'!F30),0)</f>
        <v>1071</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8">
        <f ca="1">C74+C78</f>
        <v>6</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0.03</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6</v>
      </c>
      <c r="D78" s="2717">
        <f>'数据-取费表'!E31</f>
        <v>6.000000000000001E-3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8">
        <f ca="1">C72-C73</f>
        <v>1065</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177.5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9">
        <f ca="1">ROUND(IF(C79&lt;=0,0,IF(C80&gt;=200%,C79*60%-C73*35%,IF(C80&gt;=100%,C79*50%-C73*15%,IF(C80&gt;=50%,C79*40%-C73*5%,IF(C80&lt;50%,C79*30%,0))))),0)</f>
        <v>637</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1071</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8">
        <f ca="1">IF(H88="仅含出让金",C87+C90+C91+C92+C93+C94,C87+C91+C92+C93+C94)</f>
        <v>6</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6">
        <f>ROUND(C88*D89,0)</f>
        <v>0</v>
      </c>
      <c r="D89" s="2717">
        <f>'数据-取费表'!E36+'数据-取费表'!E37</f>
        <v>0.03</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6</v>
      </c>
      <c r="D93" s="2717">
        <f>'数据-取费表'!E31</f>
        <v>6.000000000000001E-3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8">
        <f ca="1">ROUND(C85-C86,0)</f>
        <v>1065</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177.5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9">
        <f ca="1">ROUND(IF(C95&lt;=0,0,IF(C96&gt;=200%,C95*60%-C86*35%,IF(C96&gt;=100%,C95*50%-C86*15%,IF(C96&gt;=50%,C95*40%-C86*5%,IF(C96&lt;50%,C95*30%,0))))),0)</f>
        <v>637</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442" t="s">
        <v>1630</v>
      </c>
      <c r="B99" s="3443"/>
      <c r="C99" s="3443"/>
      <c r="D99" s="3444"/>
      <c r="E99" s="1389"/>
      <c r="F99" s="3452" t="s">
        <v>1631</v>
      </c>
      <c r="G99" s="3453"/>
      <c r="H99" s="3453"/>
      <c r="I99" s="3454"/>
      <c r="J99" s="2779"/>
    </row>
    <row r="100" spans="1:36" ht="15">
      <c r="A100" s="3459" t="s">
        <v>1632</v>
      </c>
      <c r="B100" s="3460"/>
      <c r="C100" s="1235" t="str">
        <f>C4</f>
        <v>成本法</v>
      </c>
      <c r="D100" s="2727" t="str">
        <f>D4</f>
        <v>收益法</v>
      </c>
      <c r="E100" s="1389"/>
      <c r="F100" s="3461" t="s">
        <v>2537</v>
      </c>
      <c r="G100" s="3463"/>
      <c r="H100" s="3461" t="s">
        <v>2538</v>
      </c>
      <c r="I100" s="3462"/>
      <c r="J100" s="2780"/>
    </row>
    <row r="101" spans="1:36" ht="13.2">
      <c r="A101" s="3478" t="s">
        <v>2570</v>
      </c>
      <c r="B101" s="2235" t="str">
        <f>IF(H19="元","总价（元）","总价（万元）")</f>
        <v>总价（万元）</v>
      </c>
      <c r="C101" s="1235">
        <f ca="1">C19</f>
        <v>986</v>
      </c>
      <c r="D101" s="2727">
        <f ca="1">D19</f>
        <v>1264</v>
      </c>
      <c r="E101" s="1389"/>
      <c r="F101" s="3461" t="str">
        <f>项目基本情况!I1</f>
        <v>北京市房地产</v>
      </c>
      <c r="G101" s="3463"/>
      <c r="H101" s="3465">
        <f>项目基本情况!C12</f>
        <v>246.81</v>
      </c>
      <c r="I101" s="3462"/>
      <c r="J101" s="2780"/>
    </row>
    <row r="102" spans="1:36" ht="13.2">
      <c r="A102" s="3478"/>
      <c r="B102" s="2235" t="s">
        <v>2571</v>
      </c>
      <c r="C102" s="2728">
        <f ca="1">C20</f>
        <v>39945</v>
      </c>
      <c r="D102" s="2729">
        <f ca="1">D20</f>
        <v>51194</v>
      </c>
      <c r="E102" s="1389"/>
      <c r="F102" s="3448" t="s">
        <v>2567</v>
      </c>
      <c r="G102" s="3449"/>
      <c r="H102" s="2737" t="str">
        <f>C106</f>
        <v>总价（万元）</v>
      </c>
      <c r="I102" s="2738">
        <f ca="1">H121</f>
        <v>1125</v>
      </c>
      <c r="J102" s="2780"/>
    </row>
    <row r="103" spans="1:36" ht="13.2">
      <c r="A103" s="3478" t="s">
        <v>2572</v>
      </c>
      <c r="B103" s="2173" t="str">
        <f>B101</f>
        <v>总价（万元）</v>
      </c>
      <c r="C103" s="2732">
        <f ca="1">H121</f>
        <v>1125</v>
      </c>
      <c r="D103" s="2730"/>
      <c r="E103" s="1389"/>
      <c r="F103" s="3448"/>
      <c r="G103" s="3449"/>
      <c r="H103" s="2737" t="s">
        <v>2540</v>
      </c>
      <c r="I103" s="52">
        <f ca="1">I121</f>
        <v>45570</v>
      </c>
      <c r="J103" s="2764"/>
    </row>
    <row r="104" spans="1:36" ht="13.8" thickBot="1">
      <c r="A104" s="3479"/>
      <c r="B104" s="2734" t="s">
        <v>2571</v>
      </c>
      <c r="C104" s="2735">
        <f ca="1">I121</f>
        <v>45570</v>
      </c>
      <c r="D104" s="2736"/>
      <c r="E104" s="1389"/>
      <c r="F104" s="3448"/>
      <c r="G104" s="3449"/>
      <c r="H104" s="3480"/>
      <c r="I104" s="3481"/>
      <c r="J104" s="2781"/>
    </row>
    <row r="105" spans="1:36" ht="13.8">
      <c r="A105" s="3442" t="s">
        <v>1633</v>
      </c>
      <c r="B105" s="3443"/>
      <c r="C105" s="3443"/>
      <c r="D105" s="3444"/>
      <c r="E105" s="1389"/>
      <c r="F105" s="3484" t="s">
        <v>2541</v>
      </c>
      <c r="G105" s="3485"/>
      <c r="H105" s="2739" t="str">
        <f>C108</f>
        <v>总额（万元）</v>
      </c>
      <c r="I105" s="2738">
        <f>SUMIF(I106:I108,"&lt;9E307")</f>
        <v>0</v>
      </c>
      <c r="J105" s="2780"/>
    </row>
    <row r="106" spans="1:36" ht="13.8">
      <c r="A106" s="3448" t="s">
        <v>2564</v>
      </c>
      <c r="B106" s="3449"/>
      <c r="C106" s="2737" t="str">
        <f>B101</f>
        <v>总价（万元）</v>
      </c>
      <c r="D106" s="2738">
        <f ca="1">H121</f>
        <v>1125</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48"/>
      <c r="B107" s="3449"/>
      <c r="C107" s="2737" t="s">
        <v>2565</v>
      </c>
      <c r="D107" s="52">
        <f ca="1">I121</f>
        <v>45570</v>
      </c>
      <c r="E107" s="1389"/>
      <c r="F107" s="3450" t="s">
        <v>2543</v>
      </c>
      <c r="G107" s="3451"/>
      <c r="H107" s="2739" t="str">
        <f>C110</f>
        <v>总额（万元）</v>
      </c>
      <c r="I107" s="52">
        <f>C37</f>
        <v>0</v>
      </c>
      <c r="J107" s="2764"/>
    </row>
    <row r="108" spans="1:36" ht="13.2">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3.2">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1125</v>
      </c>
      <c r="J110" s="2780"/>
    </row>
    <row r="111" spans="1:36" ht="13.2">
      <c r="A111" s="3450" t="s">
        <v>2545</v>
      </c>
      <c r="B111" s="3451"/>
      <c r="C111" s="2739" t="str">
        <f>C108</f>
        <v>总额（万元）</v>
      </c>
      <c r="D111" s="52">
        <f>C38</f>
        <v>0</v>
      </c>
      <c r="E111" s="1389"/>
      <c r="F111" s="3433"/>
      <c r="G111" s="3434"/>
      <c r="H111" s="2737" t="s">
        <v>2540</v>
      </c>
      <c r="I111" s="2741">
        <f ca="1">D113</f>
        <v>45570</v>
      </c>
      <c r="J111" s="2783"/>
    </row>
    <row r="112" spans="1:36" ht="26.25" customHeight="1">
      <c r="A112" s="3448" t="str">
        <f>IF(项目基本情况!F5="已注销","——","3.房地产抵押价值")</f>
        <v>3.房地产抵押价值</v>
      </c>
      <c r="B112" s="3449"/>
      <c r="C112" s="2737" t="str">
        <f>B101</f>
        <v>总价（万元）</v>
      </c>
      <c r="D112" s="2738">
        <f ca="1">IF(A112="——","——",D106-D108)</f>
        <v>1125</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3.2">
      <c r="A113" s="3448"/>
      <c r="B113" s="3449"/>
      <c r="C113" s="2737" t="s">
        <v>2533</v>
      </c>
      <c r="D113" s="52">
        <f ca="1">ROUND(IF(D112=D106,D107,IF(H19="元",D112/项目基本情况!C12,D112*10000/项目基本情况!C12)),0)</f>
        <v>45570</v>
      </c>
      <c r="E113" s="1389"/>
      <c r="F113" s="3433"/>
      <c r="G113" s="3434"/>
      <c r="H113" s="2737" t="s">
        <v>2569</v>
      </c>
      <c r="I113" s="52" t="str">
        <f>D115</f>
        <v>——</v>
      </c>
      <c r="J113" s="2764"/>
    </row>
    <row r="114" spans="1:16" ht="13.2">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8"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6">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8"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（以上估价结果中总价为楼面单价乘以建筑面积得出）</v>
      </c>
      <c r="G117" s="3510"/>
      <c r="H117" s="3510"/>
      <c r="I117" s="3510"/>
      <c r="J117" s="2785"/>
      <c r="O117" s="32"/>
      <c r="P117" s="32"/>
    </row>
    <row r="118" spans="1:16" ht="14.4">
      <c r="A118" s="3468" t="s">
        <v>1634</v>
      </c>
      <c r="B118" s="3469"/>
      <c r="C118" s="3469"/>
      <c r="D118" s="3469"/>
      <c r="E118" s="3469"/>
      <c r="F118" s="3469"/>
      <c r="G118" s="3469"/>
      <c r="H118" s="3469"/>
      <c r="I118" s="3469"/>
      <c r="J118" s="2786"/>
    </row>
    <row r="119" spans="1:16" ht="13.2">
      <c r="A119" s="3441" t="s">
        <v>2551</v>
      </c>
      <c r="B119" s="3439" t="s">
        <v>2561</v>
      </c>
      <c r="C119" s="3439" t="s">
        <v>2562</v>
      </c>
      <c r="D119" s="3446" t="s">
        <v>2553</v>
      </c>
      <c r="E119" s="3447"/>
      <c r="F119" s="3437" t="s">
        <v>2563</v>
      </c>
      <c r="G119" s="3437"/>
      <c r="H119" s="3437" t="s">
        <v>2554</v>
      </c>
      <c r="I119" s="3438"/>
      <c r="J119" s="2764"/>
    </row>
    <row r="120" spans="1:16" ht="13.2">
      <c r="A120" s="3441"/>
      <c r="B120" s="3440"/>
      <c r="C120" s="3440"/>
      <c r="D120" s="2020" t="s">
        <v>2555</v>
      </c>
      <c r="E120" s="2020" t="s">
        <v>2560</v>
      </c>
      <c r="F120" s="2020" t="s">
        <v>2555</v>
      </c>
      <c r="G120" s="2020" t="s">
        <v>2556</v>
      </c>
      <c r="H120" s="2020" t="s">
        <v>2555</v>
      </c>
      <c r="I120" s="52" t="s">
        <v>2556</v>
      </c>
      <c r="J120" s="2764"/>
    </row>
    <row r="121" spans="1:16" ht="13.2">
      <c r="A121" s="2010" t="str">
        <f>项目基本情况!I1</f>
        <v>北京市房地产</v>
      </c>
      <c r="B121" s="2020">
        <f>项目基本情况!C12</f>
        <v>246.81</v>
      </c>
      <c r="C121" s="2020">
        <f>项目基本情况!C13</f>
        <v>0</v>
      </c>
      <c r="D121" s="2020">
        <f ca="1">ROUND(IF(B32="总价",C34,IF('数据-取费表'!B3="万元",E121*B121/10000,E121*B121)),0)</f>
        <v>1023</v>
      </c>
      <c r="E121" s="2020">
        <f ca="1">ROUND(IF(B32="楼面单价",C34,IF(H19="元",D121/B121,D121*10000/B121)),0)</f>
        <v>41469</v>
      </c>
      <c r="F121" s="2020">
        <f ca="1">ROUND(IF(B32="总价",C35,IF('数据-取费表'!B3="万元",G121*B121/10000,G121*B121)),0)</f>
        <v>101</v>
      </c>
      <c r="G121" s="2020">
        <f ca="1">ROUND(IF(B32="楼面单价",C35,IF(H19="元",F121/B121,F121*10000/B121)),0)</f>
        <v>4101</v>
      </c>
      <c r="H121" s="2020">
        <f ca="1">ROUND(IF(B32="总价",C32,IF('数据-取费表'!B3="万元",I121*B121/10000,I121*B121)),0)</f>
        <v>1125</v>
      </c>
      <c r="I121" s="52">
        <f ca="1">ROUND(IF(B32="楼面单价",C32,IF(H19="元",H121/B121,H121*10000/B121)),0)</f>
        <v>45570</v>
      </c>
      <c r="J121" s="2764"/>
    </row>
    <row r="122" spans="1:16" ht="13.2">
      <c r="A122" s="3441" t="s">
        <v>2557</v>
      </c>
      <c r="B122" s="3437"/>
      <c r="C122" s="3437"/>
      <c r="D122" s="3472" t="str">
        <f ca="1">IF(H19="元",NUMBERSTRING(INT(D121),2)&amp;"元整",NUMBERSTRING(INT(D121*10000),2)&amp;"元整")</f>
        <v>壹仟零贰拾叁万元整</v>
      </c>
      <c r="E122" s="3473"/>
      <c r="F122" s="3472" t="str">
        <f ca="1">IF(H19="元",NUMBERSTRING(INT(F121),2)&amp;"元整",NUMBERSTRING(INT(F121*10000),2)&amp;"元整")</f>
        <v>壹佰零壹万元整</v>
      </c>
      <c r="G122" s="3473"/>
      <c r="H122" s="3472" t="str">
        <f ca="1">IF(H19="元",NUMBERSTRING(INT(H121),2)&amp;"元整",NUMBERSTRING(INT(H121*10000),2)&amp;"元整")</f>
        <v>壹仟壹佰贰拾伍万元整</v>
      </c>
      <c r="I122" s="3521"/>
      <c r="J122" s="2787"/>
    </row>
    <row r="123" spans="1:16" ht="13.2">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3.2">
      <c r="A124" s="3475" t="s">
        <v>2557</v>
      </c>
      <c r="B124" s="3476"/>
      <c r="C124" s="3477"/>
      <c r="D124" s="3513">
        <f>H109</f>
        <v>0</v>
      </c>
      <c r="E124" s="3514"/>
      <c r="F124" s="3514"/>
      <c r="G124" s="3514"/>
      <c r="H124" s="3514"/>
      <c r="I124" s="3515"/>
      <c r="J124" s="2788"/>
    </row>
    <row r="125" spans="1:16" ht="13.2">
      <c r="A125" s="3448" t="str">
        <f>IF(项目基本情况!D5="房地产市场价值","——",MID(A112,3,LEN(A112)-2))</f>
        <v>房地产抵押价值</v>
      </c>
      <c r="B125" s="3449"/>
      <c r="C125" s="3449"/>
      <c r="D125" s="3465">
        <f ca="1">I110</f>
        <v>1125</v>
      </c>
      <c r="E125" s="3474"/>
      <c r="F125" s="3474"/>
      <c r="G125" s="3474"/>
      <c r="H125" s="3474"/>
      <c r="I125" s="3462"/>
      <c r="J125" s="2780"/>
    </row>
    <row r="126" spans="1:16" ht="13.2">
      <c r="A126" s="3441" t="s">
        <v>2557</v>
      </c>
      <c r="B126" s="3437"/>
      <c r="C126" s="3437"/>
      <c r="D126" s="3513">
        <f ca="1">I111</f>
        <v>45570</v>
      </c>
      <c r="E126" s="3514"/>
      <c r="F126" s="3514"/>
      <c r="G126" s="3514"/>
      <c r="H126" s="3514"/>
      <c r="I126" s="3515"/>
      <c r="J126" s="2788"/>
    </row>
    <row r="127" spans="1:16" ht="13.8" thickBot="1">
      <c r="A127" s="3448" t="str">
        <f>IF(项目基本情况!D5="房地产市场价值","——",MID(A114,3,LEN(A114)-2))</f>
        <v/>
      </c>
      <c r="B127" s="3449"/>
      <c r="C127" s="3449"/>
      <c r="D127" s="3421" t="str">
        <f>I112</f>
        <v>——</v>
      </c>
      <c r="E127" s="3422"/>
      <c r="F127" s="3422"/>
      <c r="G127" s="3422"/>
      <c r="H127" s="3422"/>
      <c r="I127" s="3423"/>
      <c r="J127" s="2780"/>
    </row>
    <row r="128" spans="1:16" ht="14.4" thickTop="1" thickBot="1">
      <c r="A128" s="3441" t="s">
        <v>2557</v>
      </c>
      <c r="B128" s="3437"/>
      <c r="C128" s="3488"/>
      <c r="D128" s="3466" t="str">
        <f>I113</f>
        <v>——</v>
      </c>
      <c r="E128" s="3466"/>
      <c r="F128" s="3466"/>
      <c r="G128" s="3466"/>
      <c r="H128" s="3466"/>
      <c r="I128" s="3466"/>
      <c r="J128" s="2788"/>
    </row>
    <row r="129" spans="1:10" ht="14.4" thickTop="1" thickBot="1">
      <c r="A129" s="3448" t="str">
        <f>IF(项目基本情况!D5="房地产市场价值","——",MID(F114,3,LEN(F114)-2))</f>
        <v/>
      </c>
      <c r="B129" s="3449"/>
      <c r="C129" s="3465"/>
      <c r="D129" s="3516" t="str">
        <f>I114</f>
        <v>——</v>
      </c>
      <c r="E129" s="3516"/>
      <c r="F129" s="3516"/>
      <c r="G129" s="3516"/>
      <c r="H129" s="3516"/>
      <c r="I129" s="3516"/>
      <c r="J129" s="2780"/>
    </row>
    <row r="130" spans="1:10" ht="14.4" thickTop="1" thickBot="1">
      <c r="A130" s="3504" t="s">
        <v>2557</v>
      </c>
      <c r="B130" s="3505"/>
      <c r="C130" s="3505"/>
      <c r="D130" s="3522">
        <f>H116</f>
        <v>0</v>
      </c>
      <c r="E130" s="3523"/>
      <c r="F130" s="3523"/>
      <c r="G130" s="3523"/>
      <c r="H130" s="3523"/>
      <c r="I130" s="3524"/>
      <c r="J130" s="2788"/>
    </row>
    <row r="131" spans="1:10" ht="13.2">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8" thickBot="1">
      <c r="A132" s="3509" t="str">
        <f>IF(B32="总价","（以上估价结果中楼面单价为总价除以建筑面积得出）","（以上估价结果中总价为楼面单价乘以建筑面积得出）")</f>
        <v>（以上估价结果中总价为楼面单价乘以建筑面积得出）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3.2">
      <c r="A3" s="3491" t="s">
        <v>1471</v>
      </c>
      <c r="B3" s="3492"/>
      <c r="C3" s="3492"/>
      <c r="D3" s="3492"/>
      <c r="E3" s="3492"/>
      <c r="F3" s="3492"/>
      <c r="G3" s="3492"/>
      <c r="H3" s="3492"/>
      <c r="I3" s="3492"/>
      <c r="J3" s="2763"/>
    </row>
    <row r="4" spans="1:15" ht="14.4">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487" t="s">
        <v>1475</v>
      </c>
      <c r="B5" s="3487">
        <v>25</v>
      </c>
      <c r="C5" s="3493"/>
      <c r="D5" s="3490"/>
      <c r="E5" s="12" t="s">
        <v>1476</v>
      </c>
      <c r="F5" s="2017"/>
      <c r="G5" s="2017"/>
      <c r="H5" s="2017"/>
      <c r="I5" s="2012"/>
      <c r="J5" s="2764"/>
    </row>
    <row r="6" spans="1:15" ht="13.2">
      <c r="A6" s="3487"/>
      <c r="B6" s="3487"/>
      <c r="C6" s="3494"/>
      <c r="D6" s="3490"/>
      <c r="E6" s="12" t="s">
        <v>1477</v>
      </c>
      <c r="F6" s="2017"/>
      <c r="G6" s="2017"/>
      <c r="H6" s="2017"/>
      <c r="I6" s="2012"/>
      <c r="J6" s="2764"/>
    </row>
    <row r="7" spans="1:15" ht="13.2">
      <c r="A7" s="3487"/>
      <c r="B7" s="3487"/>
      <c r="C7" s="3495"/>
      <c r="D7" s="3490"/>
      <c r="E7" s="12" t="s">
        <v>1478</v>
      </c>
      <c r="F7" s="2017"/>
      <c r="G7" s="2017"/>
      <c r="H7" s="2017"/>
      <c r="I7" s="2012"/>
      <c r="J7" s="2764"/>
    </row>
    <row r="8" spans="1:15" ht="13.2">
      <c r="A8" s="3487" t="s">
        <v>1479</v>
      </c>
      <c r="B8" s="3487">
        <v>15</v>
      </c>
      <c r="C8" s="3493"/>
      <c r="D8" s="3490"/>
      <c r="E8" s="12" t="s">
        <v>1480</v>
      </c>
      <c r="F8" s="2017"/>
      <c r="G8" s="2017"/>
      <c r="H8" s="2017"/>
      <c r="I8" s="2012"/>
      <c r="J8" s="2764"/>
    </row>
    <row r="9" spans="1:15" ht="13.2">
      <c r="A9" s="3487"/>
      <c r="B9" s="3487"/>
      <c r="C9" s="3495"/>
      <c r="D9" s="3490"/>
      <c r="E9" s="12" t="s">
        <v>1481</v>
      </c>
      <c r="F9" s="2017"/>
      <c r="G9" s="2017"/>
      <c r="H9" s="2017"/>
      <c r="I9" s="2012"/>
      <c r="J9" s="2764"/>
    </row>
    <row r="10" spans="1:15" ht="13.2">
      <c r="A10" s="3487" t="s">
        <v>1482</v>
      </c>
      <c r="B10" s="3487">
        <v>15</v>
      </c>
      <c r="C10" s="3493"/>
      <c r="D10" s="3490"/>
      <c r="E10" s="12" t="s">
        <v>1483</v>
      </c>
      <c r="F10" s="2017"/>
      <c r="G10" s="2017"/>
      <c r="H10" s="2017"/>
      <c r="I10" s="2012"/>
      <c r="J10" s="2764"/>
    </row>
    <row r="11" spans="1:15" ht="13.2">
      <c r="A11" s="3487"/>
      <c r="B11" s="3487"/>
      <c r="C11" s="3495"/>
      <c r="D11" s="3490"/>
      <c r="E11" s="12" t="s">
        <v>1484</v>
      </c>
      <c r="F11" s="2017"/>
      <c r="G11" s="2017"/>
      <c r="H11" s="2017"/>
      <c r="I11" s="2012"/>
      <c r="J11" s="2764"/>
    </row>
    <row r="12" spans="1:15" ht="13.2">
      <c r="A12" s="3487" t="s">
        <v>1485</v>
      </c>
      <c r="B12" s="3487">
        <v>15</v>
      </c>
      <c r="C12" s="3493"/>
      <c r="D12" s="3490"/>
      <c r="E12" s="12" t="s">
        <v>1486</v>
      </c>
      <c r="F12" s="2017"/>
      <c r="G12" s="2017"/>
      <c r="H12" s="2017"/>
      <c r="I12" s="2012"/>
      <c r="J12" s="2764"/>
    </row>
    <row r="13" spans="1:15" ht="13.2">
      <c r="A13" s="3487"/>
      <c r="B13" s="3487"/>
      <c r="C13" s="3495"/>
      <c r="D13" s="3490"/>
      <c r="E13" s="12" t="s">
        <v>1487</v>
      </c>
      <c r="F13" s="2017"/>
      <c r="G13" s="2017"/>
      <c r="H13" s="2017"/>
      <c r="I13" s="2012"/>
      <c r="J13" s="2764"/>
    </row>
    <row r="14" spans="1:15" ht="13.2">
      <c r="A14" s="3487" t="s">
        <v>1488</v>
      </c>
      <c r="B14" s="3487">
        <v>30</v>
      </c>
      <c r="C14" s="3493"/>
      <c r="D14" s="3490"/>
      <c r="E14" s="12" t="s">
        <v>1489</v>
      </c>
      <c r="F14" s="2017"/>
      <c r="G14" s="2017"/>
      <c r="H14" s="2017"/>
      <c r="I14" s="2012"/>
      <c r="J14" s="2764"/>
    </row>
    <row r="15" spans="1:15" ht="13.2">
      <c r="A15" s="3487"/>
      <c r="B15" s="3487"/>
      <c r="C15" s="3494"/>
      <c r="D15" s="3490"/>
      <c r="E15" s="12" t="s">
        <v>1490</v>
      </c>
      <c r="F15" s="2017"/>
      <c r="G15" s="2017"/>
      <c r="H15" s="2017"/>
      <c r="I15" s="2012"/>
      <c r="J15" s="2764"/>
    </row>
    <row r="16" spans="1:15" ht="13.2">
      <c r="A16" s="3487"/>
      <c r="B16" s="3487"/>
      <c r="C16" s="3495"/>
      <c r="D16" s="3490"/>
      <c r="E16" s="12" t="s">
        <v>1491</v>
      </c>
      <c r="F16" s="2017"/>
      <c r="G16" s="2017"/>
      <c r="H16" s="2017"/>
      <c r="I16" s="2012"/>
      <c r="J16" s="2764"/>
    </row>
    <row r="17" spans="1:36" ht="14.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507" t="s">
        <v>2576</v>
      </c>
      <c r="F18" s="3508"/>
      <c r="G18" s="3508"/>
      <c r="H18" s="3508"/>
      <c r="I18" s="3508"/>
      <c r="J18" s="2765"/>
    </row>
    <row r="19" spans="1:36" ht="14.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4.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4">
      <c r="A27" s="2659" t="s">
        <v>1645</v>
      </c>
      <c r="B27" s="2657">
        <v>0</v>
      </c>
      <c r="C27" s="2657">
        <v>0</v>
      </c>
      <c r="D27" s="2658">
        <f>ROUND(C27*B27/10000,0)</f>
        <v>0</v>
      </c>
      <c r="E27" s="905"/>
      <c r="F27" s="905"/>
      <c r="G27" s="905"/>
      <c r="H27" s="905"/>
      <c r="I27" s="905"/>
      <c r="J27" s="2765"/>
    </row>
    <row r="28" spans="1:36" ht="13.8">
      <c r="A28" s="2656"/>
      <c r="B28" s="2657"/>
      <c r="C28" s="2657"/>
      <c r="D28" s="2658">
        <f>ROUND(C28*B28/10000,0)</f>
        <v>0</v>
      </c>
      <c r="E28" s="905"/>
      <c r="F28" s="905"/>
      <c r="G28" s="905"/>
      <c r="H28" s="905"/>
      <c r="I28" s="905"/>
      <c r="J28" s="2765"/>
    </row>
    <row r="29" spans="1:36" ht="13.8">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6"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4" t="s">
        <v>1648</v>
      </c>
      <c r="C33" s="2695">
        <f>典型户型修正!R27</f>
        <v>0</v>
      </c>
      <c r="D33" s="2481" t="s">
        <v>1649</v>
      </c>
      <c r="E33" s="905"/>
      <c r="F33" s="905"/>
      <c r="G33" s="905"/>
      <c r="H33" s="905"/>
      <c r="I33" s="905"/>
      <c r="J33" s="2765"/>
    </row>
    <row r="34" spans="1:16" ht="14.4">
      <c r="A34" s="1440" t="s">
        <v>1650</v>
      </c>
      <c r="B34" s="2696" t="s">
        <v>1651</v>
      </c>
      <c r="C34" s="2697">
        <f>典型户型修正!B2</f>
        <v>0</v>
      </c>
      <c r="D34" s="2698" t="str">
        <f>IF('数据-取费表'!B3="万元","万元","元")</f>
        <v>万元</v>
      </c>
      <c r="E34" s="905"/>
      <c r="F34" s="905"/>
      <c r="G34" s="905"/>
      <c r="H34" s="905"/>
      <c r="I34" s="905"/>
      <c r="J34" s="2765"/>
    </row>
    <row r="35" spans="1:16" ht="15" thickBot="1">
      <c r="A35" s="1441"/>
      <c r="B35" s="2699" t="s">
        <v>1652</v>
      </c>
      <c r="C35" s="2648" t="e">
        <f>典型户型修正!B3</f>
        <v>#DIV/0!</v>
      </c>
      <c r="D35" s="2481" t="s">
        <v>1653</v>
      </c>
      <c r="E35" s="905"/>
      <c r="F35" s="905"/>
      <c r="G35" s="905"/>
      <c r="H35" s="905"/>
      <c r="I35" s="905"/>
      <c r="J35" s="2765"/>
    </row>
    <row r="36" spans="1:16" ht="14.4">
      <c r="A36" s="1442"/>
      <c r="B36" s="1396" t="s">
        <v>1654</v>
      </c>
      <c r="C36" s="2700">
        <f>IF('数据-取费表'!B3="万元",典型户型修正!V25,典型户型修正!U25)</f>
        <v>0</v>
      </c>
      <c r="D36" s="2481" t="str">
        <f>D34</f>
        <v>万元</v>
      </c>
      <c r="E36" s="905"/>
      <c r="F36" s="905"/>
      <c r="G36" s="905"/>
      <c r="H36" s="905"/>
      <c r="I36" s="905"/>
      <c r="J36" s="2765"/>
    </row>
    <row r="37" spans="1:16" ht="15" thickBot="1">
      <c r="A37" s="1395"/>
      <c r="B37" s="1397" t="s">
        <v>1655</v>
      </c>
      <c r="C37" s="2701">
        <f>IF('数据-取费表'!B3="万元",典型户型修正!Y25,典型户型修正!X25)</f>
        <v>0</v>
      </c>
      <c r="D37" s="2481" t="str">
        <f>D34</f>
        <v>万元</v>
      </c>
      <c r="E37" s="905"/>
      <c r="F37" s="905"/>
      <c r="G37" s="905"/>
      <c r="H37" s="905"/>
      <c r="I37" s="905"/>
      <c r="J37" s="2765"/>
    </row>
    <row r="38" spans="1:16" ht="15" thickBot="1">
      <c r="A38" s="3496" t="s">
        <v>1656</v>
      </c>
      <c r="B38" s="1396" t="s">
        <v>1657</v>
      </c>
      <c r="C38" s="2675"/>
      <c r="D38" s="2676"/>
      <c r="E38" s="1608"/>
      <c r="F38" s="1608"/>
      <c r="G38" s="905"/>
      <c r="H38" s="905"/>
      <c r="I38" s="905"/>
      <c r="J38" s="2765"/>
    </row>
    <row r="39" spans="1:16" ht="15" thickBot="1">
      <c r="A39" s="3501"/>
      <c r="B39" s="2022" t="s">
        <v>1658</v>
      </c>
      <c r="C39" s="2677"/>
      <c r="D39" s="1239"/>
      <c r="E39" s="1239"/>
      <c r="F39" s="1608"/>
      <c r="G39" s="1239"/>
      <c r="H39" s="1239"/>
      <c r="I39" s="1239"/>
      <c r="J39" s="2769"/>
    </row>
    <row r="40" spans="1:16" ht="15" thickBot="1">
      <c r="A40" s="3502"/>
      <c r="B40" s="1397" t="s">
        <v>1659</v>
      </c>
      <c r="C40" s="2678"/>
      <c r="D40" s="2679" t="s">
        <v>1660</v>
      </c>
      <c r="E40" s="1239"/>
      <c r="F40" s="1608"/>
      <c r="G40" s="1239"/>
      <c r="H40" s="1239"/>
      <c r="I40" s="1239"/>
      <c r="J40" s="2769"/>
    </row>
    <row r="41" spans="1:16" ht="14.4">
      <c r="A41" s="2644" t="s">
        <v>1661</v>
      </c>
      <c r="B41" s="2680" t="s">
        <v>1662</v>
      </c>
      <c r="C41" s="2681" t="s">
        <v>1663</v>
      </c>
      <c r="D41" s="2681" t="s">
        <v>1664</v>
      </c>
      <c r="E41" s="2682" t="s">
        <v>1665</v>
      </c>
      <c r="F41" s="1608"/>
      <c r="G41" s="1239"/>
      <c r="H41" s="1239"/>
      <c r="I41" s="1239"/>
      <c r="J41" s="2769"/>
    </row>
    <row r="42" spans="1:16" ht="13.8">
      <c r="A42" s="2683" t="s">
        <v>1666</v>
      </c>
      <c r="B42" s="2684"/>
      <c r="C42" s="2685"/>
      <c r="D42" s="2685"/>
      <c r="E42" s="2686"/>
      <c r="F42" s="1608"/>
      <c r="G42" s="1239"/>
      <c r="H42" s="1239"/>
      <c r="I42" s="1239"/>
      <c r="J42" s="2769"/>
    </row>
    <row r="43" spans="1:16" ht="13.8">
      <c r="A43" s="2683" t="s">
        <v>1667</v>
      </c>
      <c r="B43" s="2684"/>
      <c r="C43" s="2685"/>
      <c r="D43" s="2685"/>
      <c r="E43" s="2686"/>
      <c r="F43" s="1608"/>
      <c r="G43" s="1239"/>
      <c r="H43" s="1239"/>
      <c r="I43" s="1239"/>
      <c r="J43" s="2769"/>
    </row>
    <row r="44" spans="1:16" ht="14.4" thickBot="1">
      <c r="A44" s="2687"/>
      <c r="B44" s="2688"/>
      <c r="C44" s="2689"/>
      <c r="D44" s="2689"/>
      <c r="E44" s="2674"/>
      <c r="F44" s="1608"/>
      <c r="G44" s="1239"/>
      <c r="H44" s="1239"/>
      <c r="I44" s="1239"/>
      <c r="J44" s="2769"/>
    </row>
    <row r="45" spans="1:16" ht="13.2">
      <c r="A45" s="1409"/>
      <c r="B45" s="1409"/>
      <c r="C45" s="1409"/>
      <c r="D45" s="1409"/>
      <c r="E45" s="1409"/>
      <c r="F45" s="1365"/>
      <c r="G45" s="1365"/>
      <c r="H45" s="1365"/>
      <c r="I45" s="2690"/>
      <c r="J45" s="2770"/>
    </row>
    <row r="46" spans="1:16" ht="17.399999999999999">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44893</v>
      </c>
      <c r="O49" s="3530"/>
      <c r="P49" s="3530"/>
    </row>
    <row r="50" spans="1:17" ht="26.4">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399999999999999"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5.6000000000000001E-2</v>
      </c>
      <c r="G54" s="2494"/>
      <c r="H54" s="905"/>
      <c r="I54" s="2898"/>
      <c r="J54" s="2773"/>
      <c r="K54" s="2431">
        <v>1</v>
      </c>
      <c r="L54" s="3529" t="s">
        <v>1554</v>
      </c>
      <c r="M54" s="3529"/>
      <c r="N54" s="2433">
        <f>D50</f>
        <v>0</v>
      </c>
      <c r="O54" s="2431" t="str">
        <f>E50</f>
        <v>销售额×税（费）率</v>
      </c>
      <c r="P54" s="2434">
        <f>F50</f>
        <v>5.6000000000000001E-2</v>
      </c>
    </row>
    <row r="55" spans="1:17" ht="12" customHeight="1">
      <c r="A55" s="2010" t="s">
        <v>1555</v>
      </c>
      <c r="B55" s="3488" t="s">
        <v>2593</v>
      </c>
      <c r="C55" s="3477"/>
      <c r="D55" s="1028">
        <f>ROUND(D47*'数据-取费表'!E29/(1+'数据-取费表'!F30),0)</f>
        <v>0</v>
      </c>
      <c r="E55" s="2020" t="s">
        <v>1553</v>
      </c>
      <c r="F55" s="2493">
        <f>'数据-取费表'!E29</f>
        <v>5.6000000000000001E-2</v>
      </c>
      <c r="G55" s="2494"/>
      <c r="H55" s="905"/>
      <c r="I55" s="2898"/>
      <c r="J55" s="2773"/>
      <c r="K55" s="2431">
        <v>2</v>
      </c>
      <c r="L55" s="3529" t="s">
        <v>1556</v>
      </c>
      <c r="M55" s="3529"/>
      <c r="N55" s="2433">
        <f t="shared" ref="N55:P56" si="1">D57</f>
        <v>0</v>
      </c>
      <c r="O55" s="2431" t="str">
        <f t="shared" si="1"/>
        <v>销售额×税（费）率</v>
      </c>
      <c r="P55" s="2434">
        <f t="shared" si="1"/>
        <v>0</v>
      </c>
    </row>
    <row r="56" spans="1:17" ht="12" customHeight="1">
      <c r="A56" s="2010" t="s">
        <v>1557</v>
      </c>
      <c r="B56" s="3488" t="s">
        <v>2594</v>
      </c>
      <c r="C56" s="3477"/>
      <c r="D56" s="1028">
        <f>C70</f>
        <v>0</v>
      </c>
      <c r="E56" s="264" t="s">
        <v>1558</v>
      </c>
      <c r="F56" s="2493">
        <f>'数据-取费表'!E29</f>
        <v>5.6000000000000001E-2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0</v>
      </c>
      <c r="G57" s="2494"/>
      <c r="H57" s="2485" t="s">
        <v>1562</v>
      </c>
      <c r="I57" s="74">
        <f>'数据-取费表'!E37</f>
        <v>0</v>
      </c>
      <c r="J57" s="2773"/>
      <c r="K57" s="2431">
        <f>IF(H61="非个人房产","",4)</f>
        <v>4</v>
      </c>
      <c r="L57" s="3529" t="str">
        <f>IF(H61="非个人房产","——","个人所得税")</f>
        <v>个人所得税</v>
      </c>
      <c r="M57" s="3529"/>
      <c r="N57" s="2436">
        <f>D61</f>
        <v>0</v>
      </c>
      <c r="O57" s="2437" t="str">
        <f>E61</f>
        <v>销售额×税（费）率</v>
      </c>
      <c r="P57" s="2438">
        <f>F61</f>
        <v>0.01</v>
      </c>
    </row>
    <row r="58" spans="1:17" ht="25.2">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3.2">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5.2">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7"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8"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3.2">
      <c r="A64" s="3455" t="s">
        <v>1576</v>
      </c>
      <c r="B64" s="3456"/>
      <c r="C64" s="1535"/>
      <c r="D64" s="1535" t="s">
        <v>1577</v>
      </c>
      <c r="E64" s="45" t="s">
        <v>1578</v>
      </c>
      <c r="F64" s="2900"/>
      <c r="G64" s="2900"/>
      <c r="H64" s="2895"/>
      <c r="I64" s="905"/>
      <c r="J64" s="2765"/>
      <c r="K64" s="1236"/>
      <c r="L64" s="1236"/>
      <c r="M64" s="1236"/>
      <c r="N64" s="1236"/>
      <c r="O64" s="1236"/>
    </row>
    <row r="65" spans="1:36" ht="13.2">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3.2">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3.2">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3.2">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3.2">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8" thickBot="1">
      <c r="A70" s="55" t="s">
        <v>46</v>
      </c>
      <c r="B70" s="56" t="s">
        <v>1593</v>
      </c>
      <c r="C70" s="2709">
        <f>IF(C69&lt;=0,0,ROUND(C69*D70,0))</f>
        <v>0</v>
      </c>
      <c r="D70" s="2170">
        <f>'数据-取费表'!E29</f>
        <v>5.6000000000000001E-2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0.03</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6">
        <f>ROUND(C90*D91,0)</f>
        <v>0</v>
      </c>
      <c r="D91" s="2717">
        <f>'数据-取费表'!E36+'数据-取费表'!E37</f>
        <v>0.03</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3.2">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3.2">
      <c r="A104" s="3545"/>
      <c r="B104" s="2235" t="s">
        <v>2533</v>
      </c>
      <c r="C104" s="2728" t="e">
        <f ca="1">C20</f>
        <v>#REF!</v>
      </c>
      <c r="D104" s="2729" t="e">
        <f ca="1">D20</f>
        <v>#REF!</v>
      </c>
      <c r="E104" s="1389"/>
      <c r="F104" s="3448" t="s">
        <v>2539</v>
      </c>
      <c r="G104" s="3449"/>
      <c r="H104" s="2737" t="str">
        <f>C110</f>
        <v>总价（万元）</v>
      </c>
      <c r="I104" s="2738">
        <f>H125</f>
        <v>0</v>
      </c>
      <c r="J104" s="2780"/>
    </row>
    <row r="105" spans="1:36" ht="13.2">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3.2">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3.2">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4.4"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3.8">
      <c r="A109" s="3548" t="s">
        <v>1633</v>
      </c>
      <c r="B109" s="3549"/>
      <c r="C109" s="3549"/>
      <c r="D109" s="3550"/>
      <c r="E109" s="1389"/>
      <c r="F109" s="3450" t="s">
        <v>2543</v>
      </c>
      <c r="G109" s="3451"/>
      <c r="H109" s="2739" t="str">
        <f>C114</f>
        <v>总额（万元）</v>
      </c>
      <c r="I109" s="52">
        <f>C39</f>
        <v>0</v>
      </c>
      <c r="J109" s="2764"/>
    </row>
    <row r="110" spans="1:36" ht="13.2">
      <c r="A110" s="3448" t="s">
        <v>2546</v>
      </c>
      <c r="B110" s="3449"/>
      <c r="C110" s="2737" t="str">
        <f>B103</f>
        <v>总价（万元）</v>
      </c>
      <c r="D110" s="2738">
        <f>H125</f>
        <v>0</v>
      </c>
      <c r="E110" s="1389"/>
      <c r="F110" s="3450" t="s">
        <v>2544</v>
      </c>
      <c r="G110" s="3451"/>
      <c r="H110" s="2739" t="str">
        <f>C115</f>
        <v>总额（万元）</v>
      </c>
      <c r="I110" s="52">
        <f>C40</f>
        <v>0</v>
      </c>
      <c r="J110" s="2764"/>
    </row>
    <row r="111" spans="1:36" ht="13.2">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3.2">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3.2">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3.2">
      <c r="A115" s="3450" t="s">
        <v>2550</v>
      </c>
      <c r="B115" s="3451"/>
      <c r="C115" s="2739" t="str">
        <f>C112</f>
        <v>总额（万元）</v>
      </c>
      <c r="D115" s="52">
        <f>C40</f>
        <v>0</v>
      </c>
      <c r="E115" s="1389"/>
      <c r="F115" s="3433"/>
      <c r="G115" s="3434"/>
      <c r="H115" s="2737" t="s">
        <v>2540</v>
      </c>
      <c r="I115" s="52" t="str">
        <f>D119</f>
        <v>——</v>
      </c>
      <c r="J115" s="2764"/>
    </row>
    <row r="116" spans="1:27" ht="13.2">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8"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6">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3.2">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33" sqref="I3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986</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39945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6135548.7999999998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[2]基准地价修正!$C$33*[2]基准地价修正!$D$33</f>
        <v>5918503.7999999998</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177555</v>
      </c>
      <c r="D7" s="115"/>
      <c r="E7" s="1097"/>
      <c r="F7" s="1098">
        <f>'数据-取费表'!E36+'数据-取费表'!E37</f>
        <v>0.03</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39490</v>
      </c>
      <c r="D8" s="1099"/>
      <c r="E8" s="115"/>
      <c r="F8" s="1098"/>
      <c r="G8" s="1446" t="s">
        <v>3042</v>
      </c>
    </row>
    <row r="9" spans="1:123" s="91" customFormat="1" ht="13.5" customHeight="1">
      <c r="A9" s="951" t="s">
        <v>763</v>
      </c>
      <c r="B9" s="97" t="s">
        <v>1689</v>
      </c>
      <c r="C9" s="1100">
        <f>ROUND(D9*E9,0)</f>
        <v>39490</v>
      </c>
      <c r="D9" s="1101">
        <f>IF('数据-取费表'!B10="住宅",IF(B1="仅计算典型户型",'数据-取费表'!E5,'数据-取费表'!B5),0)</f>
        <v>246.81</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246.81</v>
      </c>
      <c r="E19" s="111">
        <f>'数据-取费表'!E15</f>
        <v>200</v>
      </c>
      <c r="F19" s="112"/>
      <c r="G19" s="1446" t="s">
        <v>3043</v>
      </c>
    </row>
    <row r="20" spans="1:123" s="91" customFormat="1" ht="13.5" customHeight="1">
      <c r="A20" s="120" t="s">
        <v>1702</v>
      </c>
      <c r="B20" s="89" t="s">
        <v>1703</v>
      </c>
      <c r="C20" s="99">
        <f>ROUND((C5+C19)*F20,0)</f>
        <v>122711</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524910</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519817</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5093</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1251652</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1251652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8715503</v>
      </c>
      <c r="D31" s="1104"/>
      <c r="E31" s="111"/>
      <c r="F31" s="1105"/>
      <c r="G31" s="100" t="s">
        <v>1729</v>
      </c>
    </row>
    <row r="32" spans="1:123" s="88" customFormat="1" ht="16.2">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1081028</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987240</v>
      </c>
      <c r="D34" s="1096"/>
      <c r="E34" s="115"/>
      <c r="F34" s="1107" t="str">
        <f>IF('数据-取费表'!B26=0,"",'数据-取费表'!E20)</f>
        <v/>
      </c>
      <c r="G34" s="95"/>
    </row>
    <row r="35" spans="1:123" ht="13.5" customHeight="1">
      <c r="A35" s="92" t="s">
        <v>1685</v>
      </c>
      <c r="B35" s="93" t="s">
        <v>1734</v>
      </c>
      <c r="C35" s="115">
        <f>ROUND(C34*F35,0)</f>
        <v>29617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49362</v>
      </c>
      <c r="D37" s="1096">
        <f>IF(B1="仅计算典型户型",'数据-取费表'!E5,'数据-取费表'!B5)</f>
        <v>246.81</v>
      </c>
      <c r="E37" s="115">
        <f>'数据-取费表'!E23</f>
        <v>200</v>
      </c>
      <c r="F37" s="1108"/>
      <c r="G37" s="124" t="s">
        <v>1739</v>
      </c>
    </row>
    <row r="38" spans="1:123" ht="13.5" customHeight="1">
      <c r="A38" s="92" t="s">
        <v>1740</v>
      </c>
      <c r="B38" s="93" t="s">
        <v>1741</v>
      </c>
      <c r="C38" s="115">
        <f>ROUND(C34*F38,0)</f>
        <v>14809</v>
      </c>
      <c r="D38" s="115"/>
      <c r="E38" s="115"/>
      <c r="F38" s="1108">
        <f>'数据-取费表'!E24</f>
        <v>1.4999999999999999E-2</v>
      </c>
      <c r="G38" s="95" t="s">
        <v>1735</v>
      </c>
    </row>
    <row r="39" spans="1:123" s="91" customFormat="1" ht="13.5" customHeight="1">
      <c r="A39" s="120" t="s">
        <v>1700</v>
      </c>
      <c r="B39" s="89" t="s">
        <v>1703</v>
      </c>
      <c r="C39" s="99">
        <f>ROUND(C33*F20,0)</f>
        <v>21621</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45760</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44863</v>
      </c>
      <c r="D42" s="104"/>
      <c r="E42" s="104"/>
      <c r="F42" s="105"/>
      <c r="G42" s="3554" t="s">
        <v>1745</v>
      </c>
    </row>
    <row r="43" spans="1:123" ht="13.5" customHeight="1">
      <c r="A43" s="92" t="s">
        <v>1685</v>
      </c>
      <c r="B43" s="93" t="s">
        <v>1714</v>
      </c>
      <c r="C43" s="104">
        <f ca="1">ROUND(IF('数据-取费表'!B24&lt;=1,C39*F22*'数据-取费表'!B23/2,C39*(POWER((1+F22),'数据-取费表'!B23/2)-1)),0)</f>
        <v>897</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220530</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220530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1484911</v>
      </c>
      <c r="D49" s="99"/>
      <c r="E49" s="99"/>
      <c r="F49" s="126"/>
      <c r="G49" s="100" t="s">
        <v>1753</v>
      </c>
    </row>
    <row r="50" spans="1:123" s="122" customFormat="1" ht="24">
      <c r="A50" s="952" t="s">
        <v>1754</v>
      </c>
      <c r="B50" s="89" t="s">
        <v>1755</v>
      </c>
      <c r="C50" s="99"/>
      <c r="D50" s="99"/>
      <c r="E50" s="99"/>
      <c r="F50" s="126">
        <f>IF('数据-取费表'!B26=0,'数据-取费表'!E20,1)</f>
        <v>0.77</v>
      </c>
      <c r="G50" s="113" t="s">
        <v>1756</v>
      </c>
    </row>
    <row r="51" spans="1:123" ht="16.5" customHeight="1">
      <c r="A51" s="952" t="s">
        <v>1757</v>
      </c>
      <c r="B51" s="89" t="s">
        <v>1758</v>
      </c>
      <c r="C51" s="99">
        <f ca="1">ROUND(C49*F50,0)</f>
        <v>1143381</v>
      </c>
      <c r="D51" s="99"/>
      <c r="E51" s="99"/>
      <c r="F51" s="126"/>
      <c r="G51" s="100" t="s">
        <v>1759</v>
      </c>
    </row>
    <row r="52" spans="1:123" s="88" customFormat="1" ht="16.8" thickBot="1">
      <c r="A52" s="127" t="s">
        <v>1760</v>
      </c>
      <c r="B52" s="128"/>
      <c r="C52" s="129">
        <f ca="1">C31+C51</f>
        <v>9858884</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0.11600000000000001</v>
      </c>
    </row>
    <row r="57" spans="1:123">
      <c r="B57" s="135" t="s">
        <v>1763</v>
      </c>
      <c r="C57" s="137">
        <f ca="1">1-C56</f>
        <v>0.88400000000000001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4</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0.22999999999999998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-39490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-39490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-790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2.86E-2</v>
      </c>
      <c r="D24" s="184" t="s">
        <v>12</v>
      </c>
      <c r="E24" s="184"/>
      <c r="F24" s="181">
        <f>'数据-取费表'!E36+'数据-取费表'!E37</f>
        <v>0.03</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-8056</v>
      </c>
      <c r="D28" s="183">
        <f>C29</f>
        <v>0.20569999999999999</v>
      </c>
      <c r="E28" s="189" t="s">
        <v>12</v>
      </c>
      <c r="F28" s="200">
        <f>'数据-取费表'!E28</f>
        <v>0.2</v>
      </c>
      <c r="G28" s="185"/>
      <c r="H28" s="186"/>
      <c r="I28" s="186"/>
      <c r="J28" s="186"/>
      <c r="K28" s="187"/>
    </row>
    <row r="29" spans="1:33" s="204" customFormat="1" ht="13.5" customHeight="1">
      <c r="A29" s="954" t="s">
        <v>1102</v>
      </c>
      <c r="B29" s="202" t="s">
        <v>1103</v>
      </c>
      <c r="C29" s="193">
        <f>ROUND((1+C24)*F28,4)</f>
        <v>0.20569999999999999</v>
      </c>
      <c r="D29" s="193"/>
      <c r="E29" s="194"/>
      <c r="F29" s="203"/>
      <c r="G29" s="147" t="s">
        <v>1104</v>
      </c>
      <c r="H29" s="170"/>
      <c r="I29" s="170"/>
      <c r="J29" s="170"/>
      <c r="K29" s="171"/>
    </row>
    <row r="30" spans="1:33" s="204" customFormat="1" ht="13.5" customHeight="1">
      <c r="A30" s="954" t="s">
        <v>1105</v>
      </c>
      <c r="B30" s="202" t="s">
        <v>1106</v>
      </c>
      <c r="C30" s="205">
        <f>ROUND((C21+C22+C23)*F28,0)</f>
        <v>-8056</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39161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41" sqref="F41"/>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1264</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51194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487071</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486463</v>
      </c>
      <c r="D6" s="36" t="s">
        <v>2461</v>
      </c>
      <c r="E6" s="235" t="s">
        <v>1776</v>
      </c>
      <c r="F6" s="236">
        <f>'数据-取费表'!B30</f>
        <v>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246.81</v>
      </c>
      <c r="G7" s="909"/>
      <c r="H7" s="237"/>
      <c r="I7" s="238"/>
      <c r="J7" s="239"/>
      <c r="K7" s="240"/>
      <c r="L7" s="235" t="s">
        <v>1777</v>
      </c>
      <c r="M7" s="236">
        <f>IF('数据-取费表'!B42="",IF(D1="仅计算典型户型",'数据-取费表'!E5,'数据-取费表'!B5),'数据-取费表'!B42)</f>
        <v>246.81</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608</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1143381</v>
      </c>
      <c r="D13" s="1023" t="s">
        <v>1791</v>
      </c>
      <c r="E13" s="1023" t="s">
        <v>1792</v>
      </c>
      <c r="F13" s="1024">
        <f>'数据-取费表'!E20</f>
        <v>0.77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987240</v>
      </c>
      <c r="D14" s="1256" t="s">
        <v>1795</v>
      </c>
      <c r="E14" s="1257"/>
      <c r="F14" s="757"/>
      <c r="G14" s="910"/>
      <c r="H14" s="253" t="s">
        <v>1774</v>
      </c>
      <c r="I14" s="235" t="s">
        <v>1796</v>
      </c>
      <c r="J14" s="13">
        <f ca="1">C29</f>
        <v>1484911</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29617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22274</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49362</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14809</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1081028</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5.0000000000000001E-4</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21621</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12</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22274</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45760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-22274</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220530</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1484911</v>
      </c>
      <c r="D29" s="1034"/>
      <c r="E29" s="1032"/>
      <c r="F29" s="1035"/>
      <c r="G29" s="652"/>
      <c r="H29" s="271" t="s">
        <v>24</v>
      </c>
      <c r="I29" s="272" t="s">
        <v>1869</v>
      </c>
      <c r="J29" s="273">
        <f ca="1">ROUND(J26/(1+F40)^F41,0)</f>
        <v>0</v>
      </c>
      <c r="K29" s="274" t="s">
        <v>1870</v>
      </c>
      <c r="L29" s="275"/>
      <c r="M29" s="276">
        <f>IF(D1="仅计算典型户型",'数据-取费表'!E5,'数据-取费表'!B5)</f>
        <v>246.81</v>
      </c>
    </row>
    <row r="30" spans="1:37" ht="18" customHeight="1" thickTop="1">
      <c r="A30" s="1021" t="s">
        <v>14</v>
      </c>
      <c r="B30" s="1022" t="s">
        <v>1871</v>
      </c>
      <c r="C30" s="243">
        <f ca="1">ROUND(C31+C36+C37+C38,0)</f>
        <v>42877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11582</v>
      </c>
      <c r="D31" s="1256" t="s">
        <v>1873</v>
      </c>
      <c r="E31" s="1259" t="s">
        <v>1874</v>
      </c>
      <c r="F31" s="2744">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12</v>
      </c>
      <c r="G34" s="652"/>
      <c r="H34" s="889"/>
      <c r="I34" s="280" t="s">
        <v>1878</v>
      </c>
      <c r="J34" s="281">
        <f ca="1">ROUND(C13*J35,0)</f>
        <v>80037</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22274</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1715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7306</v>
      </c>
      <c r="D38" s="1034" t="s">
        <v>1846</v>
      </c>
      <c r="E38" s="1032" t="s">
        <v>1842</v>
      </c>
      <c r="F38" s="1027">
        <f>'数据-取费表'!B47</f>
        <v>1.4999999999999999E-2</v>
      </c>
      <c r="G38" s="652"/>
      <c r="H38" s="901"/>
      <c r="I38" s="280" t="s">
        <v>1884</v>
      </c>
      <c r="J38" s="136">
        <f ca="1">ROUND(J34/C39,3)</f>
        <v>0.18</v>
      </c>
      <c r="K38" s="906"/>
      <c r="L38" s="901"/>
      <c r="M38" s="901"/>
    </row>
    <row r="39" spans="1:18" ht="18" customHeight="1" thickTop="1">
      <c r="A39" s="1021" t="s">
        <v>22</v>
      </c>
      <c r="B39" s="1036" t="s">
        <v>1885</v>
      </c>
      <c r="C39" s="243">
        <f ca="1">C5-C30</f>
        <v>444194</v>
      </c>
      <c r="D39" s="1037" t="s">
        <v>1886</v>
      </c>
      <c r="E39" s="1038"/>
      <c r="F39" s="1039"/>
      <c r="G39" s="652"/>
      <c r="H39" s="901"/>
      <c r="I39" s="280" t="s">
        <v>1887</v>
      </c>
      <c r="J39" s="136">
        <f ca="1">1-J38</f>
        <v>0.82000000000000006</v>
      </c>
      <c r="K39" s="906"/>
      <c r="L39" s="901"/>
      <c r="M39" s="901"/>
    </row>
    <row r="40" spans="1:18" s="652" customFormat="1" ht="18" customHeight="1">
      <c r="A40" s="232" t="s">
        <v>23</v>
      </c>
      <c r="B40" s="233" t="s">
        <v>1888</v>
      </c>
      <c r="C40" s="234">
        <f ca="1">ROUND(C39*(1-((1+F42)/(1+F40))^F41)/(F40-F42),0)</f>
        <v>12635226</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51.78</v>
      </c>
      <c r="H41" s="908"/>
      <c r="I41" s="135" t="s">
        <v>1762</v>
      </c>
      <c r="J41" s="136">
        <f ca="1">ROUND(C13/C40,3)</f>
        <v>0.09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0.91</v>
      </c>
      <c r="K42" s="905"/>
      <c r="L42" s="908"/>
      <c r="M42" s="908"/>
      <c r="Q42" s="656"/>
    </row>
    <row r="43" spans="1:18" s="652" customFormat="1" ht="18" customHeight="1" thickBot="1">
      <c r="A43" s="271" t="s">
        <v>24</v>
      </c>
      <c r="B43" s="272" t="s">
        <v>1891</v>
      </c>
      <c r="C43" s="273">
        <f ca="1">ROUND(C40/F43,0)</f>
        <v>51194</v>
      </c>
      <c r="D43" s="274" t="s">
        <v>1892</v>
      </c>
      <c r="E43" s="275" t="s">
        <v>1893</v>
      </c>
      <c r="F43" s="276">
        <f>IF(D1="仅计算典型户型",'数据-取费表'!E5,'数据-取费表'!B5)</f>
        <v>246.81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12635226</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2.2" thickBot="1">
      <c r="A47" s="1455" t="s">
        <v>1903</v>
      </c>
      <c r="C47" s="950">
        <f ca="1">IF(C2="元",C69-C40,ROUND((C69-C40)/10000,0))</f>
        <v>-1304</v>
      </c>
      <c r="D47" s="1456" t="str">
        <f>C2</f>
        <v>万元</v>
      </c>
      <c r="E47" s="649"/>
      <c r="F47" s="649"/>
      <c r="I47" s="1457" t="s">
        <v>1904</v>
      </c>
      <c r="J47" s="981"/>
      <c r="K47" s="982"/>
      <c r="L47" s="995">
        <f>IF(M48="住宅",0,IF(L49&gt;J52,L61,J61))</f>
        <v>0</v>
      </c>
      <c r="O47" s="1009" t="s">
        <v>769</v>
      </c>
      <c r="P47" s="1006" t="s">
        <v>1905</v>
      </c>
      <c r="Q47" s="1007">
        <f ca="1">C29</f>
        <v>1484911</v>
      </c>
      <c r="R47" s="1008" t="s">
        <v>1900</v>
      </c>
    </row>
    <row r="48" spans="1:18" s="652" customFormat="1" ht="16.2" thickBot="1">
      <c r="A48" s="228" t="s">
        <v>1906</v>
      </c>
      <c r="B48" s="229" t="s">
        <v>1907</v>
      </c>
      <c r="C48" s="229" t="s">
        <v>1908</v>
      </c>
      <c r="D48" s="229" t="s">
        <v>1909</v>
      </c>
      <c r="E48" s="944" t="s">
        <v>1910</v>
      </c>
      <c r="F48" s="945"/>
      <c r="I48" s="1458" t="s">
        <v>1911</v>
      </c>
      <c r="J48" s="1459" t="s">
        <v>3039</v>
      </c>
      <c r="K48" s="1460" t="s">
        <v>1912</v>
      </c>
      <c r="L48" s="983">
        <f>'数据-取费表'!B11</f>
        <v>70</v>
      </c>
      <c r="M48" s="996" t="str">
        <f>IF('数据-取费表'!B10="住宅","住宅","非住宅")</f>
        <v>住宅</v>
      </c>
      <c r="O48" s="1009" t="s">
        <v>770</v>
      </c>
      <c r="P48" s="1006" t="s">
        <v>1913</v>
      </c>
      <c r="Q48" s="1010" t="e">
        <f>J59</f>
        <v>#VALUE!</v>
      </c>
      <c r="R48" s="1008"/>
    </row>
    <row r="49" spans="1:18" s="652" customFormat="1" ht="16.2" thickBot="1">
      <c r="A49" s="1056" t="s">
        <v>781</v>
      </c>
      <c r="B49" s="233" t="s">
        <v>1914</v>
      </c>
      <c r="C49" s="1057">
        <f ca="1">C50+C54+C56</f>
        <v>0</v>
      </c>
      <c r="D49" s="1058"/>
      <c r="E49" s="44"/>
      <c r="F49" s="15"/>
      <c r="I49" s="1461" t="s">
        <v>1915</v>
      </c>
      <c r="J49" s="1462" t="s">
        <v>3040</v>
      </c>
      <c r="K49" s="1463" t="s">
        <v>1916</v>
      </c>
      <c r="L49" s="821">
        <f>'数据-取费表'!B13</f>
        <v>51.78</v>
      </c>
      <c r="O49" s="1009" t="s">
        <v>771</v>
      </c>
      <c r="P49" s="1006" t="s">
        <v>1917</v>
      </c>
      <c r="Q49" s="1010">
        <f>J53</f>
        <v>0.08</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2008</v>
      </c>
      <c r="K50" s="1465" t="s">
        <v>1921</v>
      </c>
      <c r="L50" s="984"/>
      <c r="O50" s="1009" t="s">
        <v>772</v>
      </c>
      <c r="P50" s="1006" t="s">
        <v>1922</v>
      </c>
      <c r="Q50" s="1007">
        <f>J54</f>
        <v>51.78</v>
      </c>
      <c r="R50" s="1008" t="s">
        <v>1923</v>
      </c>
    </row>
    <row r="51" spans="1:18" s="652" customFormat="1" ht="16.2" thickBot="1">
      <c r="A51" s="237"/>
      <c r="B51" s="238"/>
      <c r="C51" s="239"/>
      <c r="D51" s="240"/>
      <c r="E51" s="255" t="s">
        <v>1777</v>
      </c>
      <c r="F51" s="943">
        <f>F7</f>
        <v>246.81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1264</v>
      </c>
      <c r="R51" s="1008" t="s">
        <v>774</v>
      </c>
    </row>
    <row r="52" spans="1:18" s="652" customFormat="1" ht="16.2" thickBot="1">
      <c r="A52" s="237"/>
      <c r="B52" s="238"/>
      <c r="C52" s="239"/>
      <c r="D52" s="240"/>
      <c r="E52" s="235" t="s">
        <v>1779</v>
      </c>
      <c r="F52" s="236">
        <f>F8</f>
        <v>365</v>
      </c>
      <c r="I52" s="1466" t="s">
        <v>1926</v>
      </c>
      <c r="J52" s="986">
        <f>IF(J50="",J51,J50+J51-YEAR('数据-取费表'!B2))</f>
        <v>46</v>
      </c>
      <c r="K52" s="1467" t="s">
        <v>1927</v>
      </c>
      <c r="L52" s="987">
        <f ca="1">ROUND(-PV('数据-取费表'!B15,J52,(C40-C13*J35)),0)</f>
        <v>224487620</v>
      </c>
      <c r="O52" s="999" t="s">
        <v>1928</v>
      </c>
      <c r="P52" s="1000"/>
      <c r="Q52" s="996"/>
      <c r="R52" s="1000"/>
    </row>
    <row r="53" spans="1:18" s="652" customFormat="1" ht="16.2" thickBot="1">
      <c r="A53" s="241"/>
      <c r="B53" s="242"/>
      <c r="C53" s="243"/>
      <c r="D53" s="244"/>
      <c r="E53" s="235" t="s">
        <v>1780</v>
      </c>
      <c r="F53" s="994"/>
      <c r="I53" s="1468" t="s">
        <v>1929</v>
      </c>
      <c r="J53" s="988">
        <v>0.08</v>
      </c>
      <c r="K53" s="1468" t="s">
        <v>1930</v>
      </c>
      <c r="L53" s="988"/>
      <c r="O53" s="1001" t="s">
        <v>1895</v>
      </c>
      <c r="P53" s="1002" t="s">
        <v>1896</v>
      </c>
      <c r="Q53" s="1003" t="s">
        <v>1897</v>
      </c>
      <c r="R53" s="1004" t="s">
        <v>1898</v>
      </c>
    </row>
    <row r="54" spans="1:18" s="652" customFormat="1" ht="40.799999999999997"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51.78</v>
      </c>
      <c r="K54" s="3557" t="s">
        <v>2460</v>
      </c>
      <c r="L54" s="3558"/>
      <c r="O54" s="1005" t="s">
        <v>767</v>
      </c>
      <c r="P54" s="1006" t="s">
        <v>1899</v>
      </c>
      <c r="Q54" s="1007">
        <f ca="1">C40+J29</f>
        <v>12635226</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8" thickTop="1" thickBot="1">
      <c r="A57" s="1021">
        <v>2</v>
      </c>
      <c r="B57" s="1022" t="s">
        <v>1790</v>
      </c>
      <c r="C57" s="1080">
        <f ca="1">C13</f>
        <v>1143381</v>
      </c>
      <c r="D57" s="941"/>
      <c r="E57" s="942"/>
      <c r="F57" s="949"/>
      <c r="I57" s="1475" t="s">
        <v>1936</v>
      </c>
      <c r="J57" s="993" t="s">
        <v>3041</v>
      </c>
      <c r="K57" s="1461" t="s">
        <v>1937</v>
      </c>
      <c r="L57" s="821">
        <f>IF(L49&lt;J52,"——",L49-J52)</f>
        <v>5.7800000000000011</v>
      </c>
      <c r="O57" s="1009" t="s">
        <v>770</v>
      </c>
      <c r="P57" s="1006" t="s">
        <v>1938</v>
      </c>
      <c r="Q57" s="1010">
        <f>L53</f>
        <v>0</v>
      </c>
      <c r="R57" s="1008"/>
    </row>
    <row r="58" spans="1:18" s="652" customFormat="1" ht="31.8" thickBot="1">
      <c r="A58" s="948"/>
      <c r="B58" s="235" t="s">
        <v>1868</v>
      </c>
      <c r="C58" s="104">
        <f ca="1">C29</f>
        <v>1484911</v>
      </c>
      <c r="D58" s="941"/>
      <c r="E58" s="942"/>
      <c r="F58" s="949"/>
      <c r="I58" s="1476" t="s">
        <v>1939</v>
      </c>
      <c r="J58" s="992" t="str">
        <f>IF(OR(M48="住宅",J52&lt;L49,J57="是"),"——",J52-L49)</f>
        <v>——</v>
      </c>
      <c r="K58" s="1461" t="s">
        <v>1940</v>
      </c>
      <c r="L58" s="821">
        <f ca="1">IF(L49&lt;J52,"——",IF(L56="比较法",L50,IF(L56="基准地价",L51,L52)))</f>
        <v>224487620</v>
      </c>
      <c r="O58" s="1009" t="s">
        <v>771</v>
      </c>
      <c r="P58" s="1006" t="s">
        <v>1941</v>
      </c>
      <c r="Q58" s="1007" t="e">
        <f>L59</f>
        <v>#DIV/0!</v>
      </c>
      <c r="R58" s="1008" t="s">
        <v>1942</v>
      </c>
    </row>
    <row r="59" spans="1:18" s="652" customFormat="1" ht="31.8" thickBot="1">
      <c r="A59" s="248" t="s">
        <v>14</v>
      </c>
      <c r="B59" s="249" t="s">
        <v>1871</v>
      </c>
      <c r="C59" s="250">
        <f ca="1">ROUND(C60+C65+C66+C67,0)</f>
        <v>23989</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1264</v>
      </c>
      <c r="R60" s="1008" t="s">
        <v>774</v>
      </c>
    </row>
    <row r="61" spans="1:18" s="652" customFormat="1" ht="16.2"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6.2"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t="str">
        <f>IF(项目基本情况!B7="自然人","——",ROUND(F63*F64,0))</f>
        <v>——</v>
      </c>
      <c r="D63" s="261" t="s">
        <v>1952</v>
      </c>
      <c r="E63" s="235" t="s">
        <v>1953</v>
      </c>
      <c r="F63" s="262">
        <f t="shared" si="0"/>
        <v>12</v>
      </c>
      <c r="I63" s="1479" t="s">
        <v>1954</v>
      </c>
      <c r="J63" s="1251" t="s">
        <v>1955</v>
      </c>
      <c r="K63" s="1251" t="s">
        <v>1956</v>
      </c>
      <c r="L63" s="1251" t="s">
        <v>1957</v>
      </c>
      <c r="M63" s="1250" t="s">
        <v>1958</v>
      </c>
      <c r="O63" s="1005" t="s">
        <v>767</v>
      </c>
      <c r="P63" s="1006" t="s">
        <v>1899</v>
      </c>
      <c r="Q63" s="1007">
        <f ca="1">C40+J29</f>
        <v>12635226</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22274</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224487620</v>
      </c>
      <c r="R65" s="1012" t="s">
        <v>1962</v>
      </c>
    </row>
    <row r="66" spans="1:18" s="652" customFormat="1" ht="19.2" thickBot="1">
      <c r="A66" s="253" t="s">
        <v>20</v>
      </c>
      <c r="B66" s="235" t="s">
        <v>1840</v>
      </c>
      <c r="C66" s="13">
        <f ca="1">ROUND(C57*F66,0)</f>
        <v>1715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364157</v>
      </c>
      <c r="R66" s="1008"/>
    </row>
    <row r="67" spans="1:18" s="652" customFormat="1" ht="16.2" thickBot="1">
      <c r="A67" s="253" t="s">
        <v>21</v>
      </c>
      <c r="B67" s="235" t="s">
        <v>1823</v>
      </c>
      <c r="C67" s="13">
        <f ca="1">ROUND(C49*F67,0)</f>
        <v>0</v>
      </c>
      <c r="D67" s="1259" t="s">
        <v>1846</v>
      </c>
      <c r="E67" s="235" t="s">
        <v>1842</v>
      </c>
      <c r="F67" s="245">
        <f t="shared" si="0"/>
        <v>1.4999999999999999E-2</v>
      </c>
      <c r="O67" s="1009" t="s">
        <v>775</v>
      </c>
      <c r="P67" s="1013" t="s">
        <v>1965</v>
      </c>
      <c r="Q67" s="1007">
        <f ca="1">C39</f>
        <v>444194</v>
      </c>
      <c r="R67" s="1008" t="s">
        <v>1900</v>
      </c>
    </row>
    <row r="68" spans="1:18" ht="24.6" thickBot="1">
      <c r="A68" s="248" t="s">
        <v>22</v>
      </c>
      <c r="B68" s="41" t="s">
        <v>1850</v>
      </c>
      <c r="C68" s="250">
        <f ca="1">C49-C59</f>
        <v>-23989</v>
      </c>
      <c r="D68" s="1256" t="s">
        <v>1851</v>
      </c>
      <c r="E68" s="1258"/>
      <c r="F68" s="268"/>
      <c r="H68" s="652"/>
      <c r="I68" s="652"/>
      <c r="J68" s="652"/>
      <c r="K68" s="652"/>
      <c r="L68" s="652"/>
      <c r="M68" s="652"/>
      <c r="O68" s="1009" t="s">
        <v>776</v>
      </c>
      <c r="P68" s="1013" t="s">
        <v>1966</v>
      </c>
      <c r="Q68" s="1007">
        <f ca="1">C13</f>
        <v>1143381</v>
      </c>
      <c r="R68" s="1008" t="s">
        <v>1900</v>
      </c>
    </row>
    <row r="69" spans="1:18" ht="16.2" thickBot="1">
      <c r="A69" s="232" t="s">
        <v>23</v>
      </c>
      <c r="B69" s="233" t="s">
        <v>1888</v>
      </c>
      <c r="C69" s="234">
        <f ca="1">ROUND(C68*(1-((1+F71)/(1+F69))^F70)/(F69-F71),0)</f>
        <v>-408897</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6.2" thickBot="1">
      <c r="A70" s="237"/>
      <c r="B70" s="238"/>
      <c r="C70" s="239"/>
      <c r="D70" s="269" t="s">
        <v>1890</v>
      </c>
      <c r="E70" s="235" t="s">
        <v>1862</v>
      </c>
      <c r="F70" s="270">
        <f>F41</f>
        <v>51.78</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-1657</v>
      </c>
      <c r="D72" s="274" t="s">
        <v>1892</v>
      </c>
      <c r="E72" s="275" t="s">
        <v>1893</v>
      </c>
      <c r="F72" s="276">
        <f>F43</f>
        <v>246.81</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收益价值(万元)</v>
      </c>
      <c r="Q73" s="1007">
        <f ca="1">ROUND(IF(C2="元",Q63+Q64,(Q63+Q64)/10000),0)</f>
        <v>1264</v>
      </c>
      <c r="R73" s="1008" t="s">
        <v>774</v>
      </c>
    </row>
    <row r="74" spans="1:18">
      <c r="A74" s="652"/>
      <c r="B74" s="656"/>
      <c r="C74" s="656"/>
      <c r="D74" s="652"/>
      <c r="E74" s="652"/>
      <c r="F74" s="652"/>
    </row>
    <row r="75" spans="1:18">
      <c r="A75" s="652"/>
      <c r="B75" s="656"/>
      <c r="C75" s="656"/>
      <c r="D75" s="652"/>
      <c r="E75" s="652"/>
      <c r="F75" s="652"/>
    </row>
  </sheetData>
  <sheetProtection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085" customWidth="1"/>
    <col min="2" max="2" width="8.88671875" style="3085"/>
    <col min="3" max="5" width="12.88671875" style="3085" customWidth="1"/>
    <col min="6" max="6" width="47.44140625" style="3085" customWidth="1"/>
    <col min="7" max="7" width="13" style="3258" customWidth="1"/>
    <col min="8" max="8" width="8.88671875" style="3178"/>
    <col min="9" max="9" width="8.88671875" style="3179"/>
    <col min="10" max="10" width="5.77734375" style="3259" customWidth="1"/>
    <col min="11" max="11" width="11.77734375" style="3259" customWidth="1"/>
    <col min="12" max="13" width="10.77734375" style="3259" customWidth="1"/>
    <col min="14" max="14" width="10" style="3259" customWidth="1"/>
    <col min="15" max="16" width="10.44140625" style="3259" bestFit="1" customWidth="1"/>
    <col min="17" max="17" width="10" style="3259" customWidth="1"/>
    <col min="18" max="18" width="10.109375" style="3259" customWidth="1"/>
    <col min="19" max="19" width="10" style="3259" customWidth="1"/>
    <col min="20" max="20" width="26.109375" style="3259" customWidth="1"/>
    <col min="21" max="21" width="8.88671875" style="3259"/>
    <col min="22" max="22" width="8.88671875" style="3179"/>
    <col min="23" max="23" width="8.88671875" style="3178"/>
    <col min="24" max="256" width="8.88671875" style="3085"/>
    <col min="257" max="257" width="9.44140625" style="3085" customWidth="1"/>
    <col min="258" max="258" width="8.88671875" style="3085"/>
    <col min="259" max="261" width="12.88671875" style="3085" customWidth="1"/>
    <col min="262" max="262" width="47.44140625" style="3085" customWidth="1"/>
    <col min="263" max="263" width="13" style="3085" customWidth="1"/>
    <col min="264" max="265" width="8.88671875" style="3085"/>
    <col min="266" max="266" width="5.77734375" style="3085" customWidth="1"/>
    <col min="267" max="267" width="11.77734375" style="3085" customWidth="1"/>
    <col min="268" max="269" width="10.77734375" style="3085" customWidth="1"/>
    <col min="270" max="270" width="10" style="3085" customWidth="1"/>
    <col min="271" max="272" width="10.44140625" style="3085" bestFit="1" customWidth="1"/>
    <col min="273" max="273" width="10" style="3085" customWidth="1"/>
    <col min="274" max="274" width="10.109375" style="3085" customWidth="1"/>
    <col min="275" max="275" width="10" style="3085" customWidth="1"/>
    <col min="276" max="276" width="26.109375" style="3085" customWidth="1"/>
    <col min="277" max="512" width="8.88671875" style="3085"/>
    <col min="513" max="513" width="9.44140625" style="3085" customWidth="1"/>
    <col min="514" max="514" width="8.88671875" style="3085"/>
    <col min="515" max="517" width="12.88671875" style="3085" customWidth="1"/>
    <col min="518" max="518" width="47.44140625" style="3085" customWidth="1"/>
    <col min="519" max="519" width="13" style="3085" customWidth="1"/>
    <col min="520" max="521" width="8.88671875" style="3085"/>
    <col min="522" max="522" width="5.77734375" style="3085" customWidth="1"/>
    <col min="523" max="523" width="11.77734375" style="3085" customWidth="1"/>
    <col min="524" max="525" width="10.77734375" style="3085" customWidth="1"/>
    <col min="526" max="526" width="10" style="3085" customWidth="1"/>
    <col min="527" max="528" width="10.44140625" style="3085" bestFit="1" customWidth="1"/>
    <col min="529" max="529" width="10" style="3085" customWidth="1"/>
    <col min="530" max="530" width="10.109375" style="3085" customWidth="1"/>
    <col min="531" max="531" width="10" style="3085" customWidth="1"/>
    <col min="532" max="532" width="26.109375" style="3085" customWidth="1"/>
    <col min="533" max="768" width="8.88671875" style="3085"/>
    <col min="769" max="769" width="9.44140625" style="3085" customWidth="1"/>
    <col min="770" max="770" width="8.88671875" style="3085"/>
    <col min="771" max="773" width="12.88671875" style="3085" customWidth="1"/>
    <col min="774" max="774" width="47.44140625" style="3085" customWidth="1"/>
    <col min="775" max="775" width="13" style="3085" customWidth="1"/>
    <col min="776" max="777" width="8.88671875" style="3085"/>
    <col min="778" max="778" width="5.77734375" style="3085" customWidth="1"/>
    <col min="779" max="779" width="11.77734375" style="3085" customWidth="1"/>
    <col min="780" max="781" width="10.77734375" style="3085" customWidth="1"/>
    <col min="782" max="782" width="10" style="3085" customWidth="1"/>
    <col min="783" max="784" width="10.44140625" style="3085" bestFit="1" customWidth="1"/>
    <col min="785" max="785" width="10" style="3085" customWidth="1"/>
    <col min="786" max="786" width="10.109375" style="3085" customWidth="1"/>
    <col min="787" max="787" width="10" style="3085" customWidth="1"/>
    <col min="788" max="788" width="26.109375" style="3085" customWidth="1"/>
    <col min="789" max="1024" width="8.88671875" style="3085"/>
    <col min="1025" max="1025" width="9.44140625" style="3085" customWidth="1"/>
    <col min="1026" max="1026" width="8.88671875" style="3085"/>
    <col min="1027" max="1029" width="12.88671875" style="3085" customWidth="1"/>
    <col min="1030" max="1030" width="47.44140625" style="3085" customWidth="1"/>
    <col min="1031" max="1031" width="13" style="3085" customWidth="1"/>
    <col min="1032" max="1033" width="8.88671875" style="3085"/>
    <col min="1034" max="1034" width="5.77734375" style="3085" customWidth="1"/>
    <col min="1035" max="1035" width="11.77734375" style="3085" customWidth="1"/>
    <col min="1036" max="1037" width="10.77734375" style="3085" customWidth="1"/>
    <col min="1038" max="1038" width="10" style="3085" customWidth="1"/>
    <col min="1039" max="1040" width="10.44140625" style="3085" bestFit="1" customWidth="1"/>
    <col min="1041" max="1041" width="10" style="3085" customWidth="1"/>
    <col min="1042" max="1042" width="10.109375" style="3085" customWidth="1"/>
    <col min="1043" max="1043" width="10" style="3085" customWidth="1"/>
    <col min="1044" max="1044" width="26.109375" style="3085" customWidth="1"/>
    <col min="1045" max="1280" width="8.88671875" style="3085"/>
    <col min="1281" max="1281" width="9.44140625" style="3085" customWidth="1"/>
    <col min="1282" max="1282" width="8.88671875" style="3085"/>
    <col min="1283" max="1285" width="12.88671875" style="3085" customWidth="1"/>
    <col min="1286" max="1286" width="47.44140625" style="3085" customWidth="1"/>
    <col min="1287" max="1287" width="13" style="3085" customWidth="1"/>
    <col min="1288" max="1289" width="8.88671875" style="3085"/>
    <col min="1290" max="1290" width="5.77734375" style="3085" customWidth="1"/>
    <col min="1291" max="1291" width="11.77734375" style="3085" customWidth="1"/>
    <col min="1292" max="1293" width="10.77734375" style="3085" customWidth="1"/>
    <col min="1294" max="1294" width="10" style="3085" customWidth="1"/>
    <col min="1295" max="1296" width="10.44140625" style="3085" bestFit="1" customWidth="1"/>
    <col min="1297" max="1297" width="10" style="3085" customWidth="1"/>
    <col min="1298" max="1298" width="10.109375" style="3085" customWidth="1"/>
    <col min="1299" max="1299" width="10" style="3085" customWidth="1"/>
    <col min="1300" max="1300" width="26.109375" style="3085" customWidth="1"/>
    <col min="1301" max="1536" width="8.88671875" style="3085"/>
    <col min="1537" max="1537" width="9.44140625" style="3085" customWidth="1"/>
    <col min="1538" max="1538" width="8.88671875" style="3085"/>
    <col min="1539" max="1541" width="12.88671875" style="3085" customWidth="1"/>
    <col min="1542" max="1542" width="47.44140625" style="3085" customWidth="1"/>
    <col min="1543" max="1543" width="13" style="3085" customWidth="1"/>
    <col min="1544" max="1545" width="8.88671875" style="3085"/>
    <col min="1546" max="1546" width="5.77734375" style="3085" customWidth="1"/>
    <col min="1547" max="1547" width="11.77734375" style="3085" customWidth="1"/>
    <col min="1548" max="1549" width="10.77734375" style="3085" customWidth="1"/>
    <col min="1550" max="1550" width="10" style="3085" customWidth="1"/>
    <col min="1551" max="1552" width="10.44140625" style="3085" bestFit="1" customWidth="1"/>
    <col min="1553" max="1553" width="10" style="3085" customWidth="1"/>
    <col min="1554" max="1554" width="10.109375" style="3085" customWidth="1"/>
    <col min="1555" max="1555" width="10" style="3085" customWidth="1"/>
    <col min="1556" max="1556" width="26.109375" style="3085" customWidth="1"/>
    <col min="1557" max="1792" width="8.88671875" style="3085"/>
    <col min="1793" max="1793" width="9.44140625" style="3085" customWidth="1"/>
    <col min="1794" max="1794" width="8.88671875" style="3085"/>
    <col min="1795" max="1797" width="12.88671875" style="3085" customWidth="1"/>
    <col min="1798" max="1798" width="47.44140625" style="3085" customWidth="1"/>
    <col min="1799" max="1799" width="13" style="3085" customWidth="1"/>
    <col min="1800" max="1801" width="8.88671875" style="3085"/>
    <col min="1802" max="1802" width="5.77734375" style="3085" customWidth="1"/>
    <col min="1803" max="1803" width="11.77734375" style="3085" customWidth="1"/>
    <col min="1804" max="1805" width="10.77734375" style="3085" customWidth="1"/>
    <col min="1806" max="1806" width="10" style="3085" customWidth="1"/>
    <col min="1807" max="1808" width="10.44140625" style="3085" bestFit="1" customWidth="1"/>
    <col min="1809" max="1809" width="10" style="3085" customWidth="1"/>
    <col min="1810" max="1810" width="10.109375" style="3085" customWidth="1"/>
    <col min="1811" max="1811" width="10" style="3085" customWidth="1"/>
    <col min="1812" max="1812" width="26.109375" style="3085" customWidth="1"/>
    <col min="1813" max="2048" width="8.88671875" style="3085"/>
    <col min="2049" max="2049" width="9.44140625" style="3085" customWidth="1"/>
    <col min="2050" max="2050" width="8.88671875" style="3085"/>
    <col min="2051" max="2053" width="12.88671875" style="3085" customWidth="1"/>
    <col min="2054" max="2054" width="47.44140625" style="3085" customWidth="1"/>
    <col min="2055" max="2055" width="13" style="3085" customWidth="1"/>
    <col min="2056" max="2057" width="8.88671875" style="3085"/>
    <col min="2058" max="2058" width="5.77734375" style="3085" customWidth="1"/>
    <col min="2059" max="2059" width="11.77734375" style="3085" customWidth="1"/>
    <col min="2060" max="2061" width="10.77734375" style="3085" customWidth="1"/>
    <col min="2062" max="2062" width="10" style="3085" customWidth="1"/>
    <col min="2063" max="2064" width="10.44140625" style="3085" bestFit="1" customWidth="1"/>
    <col min="2065" max="2065" width="10" style="3085" customWidth="1"/>
    <col min="2066" max="2066" width="10.109375" style="3085" customWidth="1"/>
    <col min="2067" max="2067" width="10" style="3085" customWidth="1"/>
    <col min="2068" max="2068" width="26.109375" style="3085" customWidth="1"/>
    <col min="2069" max="2304" width="8.88671875" style="3085"/>
    <col min="2305" max="2305" width="9.44140625" style="3085" customWidth="1"/>
    <col min="2306" max="2306" width="8.88671875" style="3085"/>
    <col min="2307" max="2309" width="12.88671875" style="3085" customWidth="1"/>
    <col min="2310" max="2310" width="47.44140625" style="3085" customWidth="1"/>
    <col min="2311" max="2311" width="13" style="3085" customWidth="1"/>
    <col min="2312" max="2313" width="8.88671875" style="3085"/>
    <col min="2314" max="2314" width="5.77734375" style="3085" customWidth="1"/>
    <col min="2315" max="2315" width="11.77734375" style="3085" customWidth="1"/>
    <col min="2316" max="2317" width="10.77734375" style="3085" customWidth="1"/>
    <col min="2318" max="2318" width="10" style="3085" customWidth="1"/>
    <col min="2319" max="2320" width="10.44140625" style="3085" bestFit="1" customWidth="1"/>
    <col min="2321" max="2321" width="10" style="3085" customWidth="1"/>
    <col min="2322" max="2322" width="10.109375" style="3085" customWidth="1"/>
    <col min="2323" max="2323" width="10" style="3085" customWidth="1"/>
    <col min="2324" max="2324" width="26.109375" style="3085" customWidth="1"/>
    <col min="2325" max="2560" width="8.88671875" style="3085"/>
    <col min="2561" max="2561" width="9.44140625" style="3085" customWidth="1"/>
    <col min="2562" max="2562" width="8.88671875" style="3085"/>
    <col min="2563" max="2565" width="12.88671875" style="3085" customWidth="1"/>
    <col min="2566" max="2566" width="47.44140625" style="3085" customWidth="1"/>
    <col min="2567" max="2567" width="13" style="3085" customWidth="1"/>
    <col min="2568" max="2569" width="8.88671875" style="3085"/>
    <col min="2570" max="2570" width="5.77734375" style="3085" customWidth="1"/>
    <col min="2571" max="2571" width="11.77734375" style="3085" customWidth="1"/>
    <col min="2572" max="2573" width="10.77734375" style="3085" customWidth="1"/>
    <col min="2574" max="2574" width="10" style="3085" customWidth="1"/>
    <col min="2575" max="2576" width="10.44140625" style="3085" bestFit="1" customWidth="1"/>
    <col min="2577" max="2577" width="10" style="3085" customWidth="1"/>
    <col min="2578" max="2578" width="10.109375" style="3085" customWidth="1"/>
    <col min="2579" max="2579" width="10" style="3085" customWidth="1"/>
    <col min="2580" max="2580" width="26.109375" style="3085" customWidth="1"/>
    <col min="2581" max="2816" width="8.88671875" style="3085"/>
    <col min="2817" max="2817" width="9.44140625" style="3085" customWidth="1"/>
    <col min="2818" max="2818" width="8.88671875" style="3085"/>
    <col min="2819" max="2821" width="12.88671875" style="3085" customWidth="1"/>
    <col min="2822" max="2822" width="47.44140625" style="3085" customWidth="1"/>
    <col min="2823" max="2823" width="13" style="3085" customWidth="1"/>
    <col min="2824" max="2825" width="8.88671875" style="3085"/>
    <col min="2826" max="2826" width="5.77734375" style="3085" customWidth="1"/>
    <col min="2827" max="2827" width="11.77734375" style="3085" customWidth="1"/>
    <col min="2828" max="2829" width="10.77734375" style="3085" customWidth="1"/>
    <col min="2830" max="2830" width="10" style="3085" customWidth="1"/>
    <col min="2831" max="2832" width="10.44140625" style="3085" bestFit="1" customWidth="1"/>
    <col min="2833" max="2833" width="10" style="3085" customWidth="1"/>
    <col min="2834" max="2834" width="10.109375" style="3085" customWidth="1"/>
    <col min="2835" max="2835" width="10" style="3085" customWidth="1"/>
    <col min="2836" max="2836" width="26.109375" style="3085" customWidth="1"/>
    <col min="2837" max="3072" width="8.88671875" style="3085"/>
    <col min="3073" max="3073" width="9.44140625" style="3085" customWidth="1"/>
    <col min="3074" max="3074" width="8.88671875" style="3085"/>
    <col min="3075" max="3077" width="12.88671875" style="3085" customWidth="1"/>
    <col min="3078" max="3078" width="47.44140625" style="3085" customWidth="1"/>
    <col min="3079" max="3079" width="13" style="3085" customWidth="1"/>
    <col min="3080" max="3081" width="8.88671875" style="3085"/>
    <col min="3082" max="3082" width="5.77734375" style="3085" customWidth="1"/>
    <col min="3083" max="3083" width="11.77734375" style="3085" customWidth="1"/>
    <col min="3084" max="3085" width="10.77734375" style="3085" customWidth="1"/>
    <col min="3086" max="3086" width="10" style="3085" customWidth="1"/>
    <col min="3087" max="3088" width="10.44140625" style="3085" bestFit="1" customWidth="1"/>
    <col min="3089" max="3089" width="10" style="3085" customWidth="1"/>
    <col min="3090" max="3090" width="10.109375" style="3085" customWidth="1"/>
    <col min="3091" max="3091" width="10" style="3085" customWidth="1"/>
    <col min="3092" max="3092" width="26.109375" style="3085" customWidth="1"/>
    <col min="3093" max="3328" width="8.88671875" style="3085"/>
    <col min="3329" max="3329" width="9.44140625" style="3085" customWidth="1"/>
    <col min="3330" max="3330" width="8.88671875" style="3085"/>
    <col min="3331" max="3333" width="12.88671875" style="3085" customWidth="1"/>
    <col min="3334" max="3334" width="47.44140625" style="3085" customWidth="1"/>
    <col min="3335" max="3335" width="13" style="3085" customWidth="1"/>
    <col min="3336" max="3337" width="8.88671875" style="3085"/>
    <col min="3338" max="3338" width="5.77734375" style="3085" customWidth="1"/>
    <col min="3339" max="3339" width="11.77734375" style="3085" customWidth="1"/>
    <col min="3340" max="3341" width="10.77734375" style="3085" customWidth="1"/>
    <col min="3342" max="3342" width="10" style="3085" customWidth="1"/>
    <col min="3343" max="3344" width="10.44140625" style="3085" bestFit="1" customWidth="1"/>
    <col min="3345" max="3345" width="10" style="3085" customWidth="1"/>
    <col min="3346" max="3346" width="10.109375" style="3085" customWidth="1"/>
    <col min="3347" max="3347" width="10" style="3085" customWidth="1"/>
    <col min="3348" max="3348" width="26.109375" style="3085" customWidth="1"/>
    <col min="3349" max="3584" width="8.88671875" style="3085"/>
    <col min="3585" max="3585" width="9.44140625" style="3085" customWidth="1"/>
    <col min="3586" max="3586" width="8.88671875" style="3085"/>
    <col min="3587" max="3589" width="12.88671875" style="3085" customWidth="1"/>
    <col min="3590" max="3590" width="47.44140625" style="3085" customWidth="1"/>
    <col min="3591" max="3591" width="13" style="3085" customWidth="1"/>
    <col min="3592" max="3593" width="8.88671875" style="3085"/>
    <col min="3594" max="3594" width="5.77734375" style="3085" customWidth="1"/>
    <col min="3595" max="3595" width="11.77734375" style="3085" customWidth="1"/>
    <col min="3596" max="3597" width="10.77734375" style="3085" customWidth="1"/>
    <col min="3598" max="3598" width="10" style="3085" customWidth="1"/>
    <col min="3599" max="3600" width="10.44140625" style="3085" bestFit="1" customWidth="1"/>
    <col min="3601" max="3601" width="10" style="3085" customWidth="1"/>
    <col min="3602" max="3602" width="10.109375" style="3085" customWidth="1"/>
    <col min="3603" max="3603" width="10" style="3085" customWidth="1"/>
    <col min="3604" max="3604" width="26.109375" style="3085" customWidth="1"/>
    <col min="3605" max="3840" width="8.88671875" style="3085"/>
    <col min="3841" max="3841" width="9.44140625" style="3085" customWidth="1"/>
    <col min="3842" max="3842" width="8.88671875" style="3085"/>
    <col min="3843" max="3845" width="12.88671875" style="3085" customWidth="1"/>
    <col min="3846" max="3846" width="47.44140625" style="3085" customWidth="1"/>
    <col min="3847" max="3847" width="13" style="3085" customWidth="1"/>
    <col min="3848" max="3849" width="8.88671875" style="3085"/>
    <col min="3850" max="3850" width="5.77734375" style="3085" customWidth="1"/>
    <col min="3851" max="3851" width="11.77734375" style="3085" customWidth="1"/>
    <col min="3852" max="3853" width="10.77734375" style="3085" customWidth="1"/>
    <col min="3854" max="3854" width="10" style="3085" customWidth="1"/>
    <col min="3855" max="3856" width="10.44140625" style="3085" bestFit="1" customWidth="1"/>
    <col min="3857" max="3857" width="10" style="3085" customWidth="1"/>
    <col min="3858" max="3858" width="10.109375" style="3085" customWidth="1"/>
    <col min="3859" max="3859" width="10" style="3085" customWidth="1"/>
    <col min="3860" max="3860" width="26.109375" style="3085" customWidth="1"/>
    <col min="3861" max="4096" width="8.88671875" style="3085"/>
    <col min="4097" max="4097" width="9.44140625" style="3085" customWidth="1"/>
    <col min="4098" max="4098" width="8.88671875" style="3085"/>
    <col min="4099" max="4101" width="12.88671875" style="3085" customWidth="1"/>
    <col min="4102" max="4102" width="47.44140625" style="3085" customWidth="1"/>
    <col min="4103" max="4103" width="13" style="3085" customWidth="1"/>
    <col min="4104" max="4105" width="8.88671875" style="3085"/>
    <col min="4106" max="4106" width="5.77734375" style="3085" customWidth="1"/>
    <col min="4107" max="4107" width="11.77734375" style="3085" customWidth="1"/>
    <col min="4108" max="4109" width="10.77734375" style="3085" customWidth="1"/>
    <col min="4110" max="4110" width="10" style="3085" customWidth="1"/>
    <col min="4111" max="4112" width="10.44140625" style="3085" bestFit="1" customWidth="1"/>
    <col min="4113" max="4113" width="10" style="3085" customWidth="1"/>
    <col min="4114" max="4114" width="10.109375" style="3085" customWidth="1"/>
    <col min="4115" max="4115" width="10" style="3085" customWidth="1"/>
    <col min="4116" max="4116" width="26.109375" style="3085" customWidth="1"/>
    <col min="4117" max="4352" width="8.88671875" style="3085"/>
    <col min="4353" max="4353" width="9.44140625" style="3085" customWidth="1"/>
    <col min="4354" max="4354" width="8.88671875" style="3085"/>
    <col min="4355" max="4357" width="12.88671875" style="3085" customWidth="1"/>
    <col min="4358" max="4358" width="47.44140625" style="3085" customWidth="1"/>
    <col min="4359" max="4359" width="13" style="3085" customWidth="1"/>
    <col min="4360" max="4361" width="8.88671875" style="3085"/>
    <col min="4362" max="4362" width="5.77734375" style="3085" customWidth="1"/>
    <col min="4363" max="4363" width="11.77734375" style="3085" customWidth="1"/>
    <col min="4364" max="4365" width="10.77734375" style="3085" customWidth="1"/>
    <col min="4366" max="4366" width="10" style="3085" customWidth="1"/>
    <col min="4367" max="4368" width="10.44140625" style="3085" bestFit="1" customWidth="1"/>
    <col min="4369" max="4369" width="10" style="3085" customWidth="1"/>
    <col min="4370" max="4370" width="10.109375" style="3085" customWidth="1"/>
    <col min="4371" max="4371" width="10" style="3085" customWidth="1"/>
    <col min="4372" max="4372" width="26.109375" style="3085" customWidth="1"/>
    <col min="4373" max="4608" width="8.88671875" style="3085"/>
    <col min="4609" max="4609" width="9.44140625" style="3085" customWidth="1"/>
    <col min="4610" max="4610" width="8.88671875" style="3085"/>
    <col min="4611" max="4613" width="12.88671875" style="3085" customWidth="1"/>
    <col min="4614" max="4614" width="47.44140625" style="3085" customWidth="1"/>
    <col min="4615" max="4615" width="13" style="3085" customWidth="1"/>
    <col min="4616" max="4617" width="8.88671875" style="3085"/>
    <col min="4618" max="4618" width="5.77734375" style="3085" customWidth="1"/>
    <col min="4619" max="4619" width="11.77734375" style="3085" customWidth="1"/>
    <col min="4620" max="4621" width="10.77734375" style="3085" customWidth="1"/>
    <col min="4622" max="4622" width="10" style="3085" customWidth="1"/>
    <col min="4623" max="4624" width="10.44140625" style="3085" bestFit="1" customWidth="1"/>
    <col min="4625" max="4625" width="10" style="3085" customWidth="1"/>
    <col min="4626" max="4626" width="10.109375" style="3085" customWidth="1"/>
    <col min="4627" max="4627" width="10" style="3085" customWidth="1"/>
    <col min="4628" max="4628" width="26.109375" style="3085" customWidth="1"/>
    <col min="4629" max="4864" width="8.88671875" style="3085"/>
    <col min="4865" max="4865" width="9.44140625" style="3085" customWidth="1"/>
    <col min="4866" max="4866" width="8.88671875" style="3085"/>
    <col min="4867" max="4869" width="12.88671875" style="3085" customWidth="1"/>
    <col min="4870" max="4870" width="47.44140625" style="3085" customWidth="1"/>
    <col min="4871" max="4871" width="13" style="3085" customWidth="1"/>
    <col min="4872" max="4873" width="8.88671875" style="3085"/>
    <col min="4874" max="4874" width="5.77734375" style="3085" customWidth="1"/>
    <col min="4875" max="4875" width="11.77734375" style="3085" customWidth="1"/>
    <col min="4876" max="4877" width="10.77734375" style="3085" customWidth="1"/>
    <col min="4878" max="4878" width="10" style="3085" customWidth="1"/>
    <col min="4879" max="4880" width="10.44140625" style="3085" bestFit="1" customWidth="1"/>
    <col min="4881" max="4881" width="10" style="3085" customWidth="1"/>
    <col min="4882" max="4882" width="10.109375" style="3085" customWidth="1"/>
    <col min="4883" max="4883" width="10" style="3085" customWidth="1"/>
    <col min="4884" max="4884" width="26.109375" style="3085" customWidth="1"/>
    <col min="4885" max="5120" width="8.88671875" style="3085"/>
    <col min="5121" max="5121" width="9.44140625" style="3085" customWidth="1"/>
    <col min="5122" max="5122" width="8.88671875" style="3085"/>
    <col min="5123" max="5125" width="12.88671875" style="3085" customWidth="1"/>
    <col min="5126" max="5126" width="47.44140625" style="3085" customWidth="1"/>
    <col min="5127" max="5127" width="13" style="3085" customWidth="1"/>
    <col min="5128" max="5129" width="8.88671875" style="3085"/>
    <col min="5130" max="5130" width="5.77734375" style="3085" customWidth="1"/>
    <col min="5131" max="5131" width="11.77734375" style="3085" customWidth="1"/>
    <col min="5132" max="5133" width="10.77734375" style="3085" customWidth="1"/>
    <col min="5134" max="5134" width="10" style="3085" customWidth="1"/>
    <col min="5135" max="5136" width="10.44140625" style="3085" bestFit="1" customWidth="1"/>
    <col min="5137" max="5137" width="10" style="3085" customWidth="1"/>
    <col min="5138" max="5138" width="10.109375" style="3085" customWidth="1"/>
    <col min="5139" max="5139" width="10" style="3085" customWidth="1"/>
    <col min="5140" max="5140" width="26.109375" style="3085" customWidth="1"/>
    <col min="5141" max="5376" width="8.88671875" style="3085"/>
    <col min="5377" max="5377" width="9.44140625" style="3085" customWidth="1"/>
    <col min="5378" max="5378" width="8.88671875" style="3085"/>
    <col min="5379" max="5381" width="12.88671875" style="3085" customWidth="1"/>
    <col min="5382" max="5382" width="47.44140625" style="3085" customWidth="1"/>
    <col min="5383" max="5383" width="13" style="3085" customWidth="1"/>
    <col min="5384" max="5385" width="8.88671875" style="3085"/>
    <col min="5386" max="5386" width="5.77734375" style="3085" customWidth="1"/>
    <col min="5387" max="5387" width="11.77734375" style="3085" customWidth="1"/>
    <col min="5388" max="5389" width="10.77734375" style="3085" customWidth="1"/>
    <col min="5390" max="5390" width="10" style="3085" customWidth="1"/>
    <col min="5391" max="5392" width="10.44140625" style="3085" bestFit="1" customWidth="1"/>
    <col min="5393" max="5393" width="10" style="3085" customWidth="1"/>
    <col min="5394" max="5394" width="10.109375" style="3085" customWidth="1"/>
    <col min="5395" max="5395" width="10" style="3085" customWidth="1"/>
    <col min="5396" max="5396" width="26.109375" style="3085" customWidth="1"/>
    <col min="5397" max="5632" width="8.88671875" style="3085"/>
    <col min="5633" max="5633" width="9.44140625" style="3085" customWidth="1"/>
    <col min="5634" max="5634" width="8.88671875" style="3085"/>
    <col min="5635" max="5637" width="12.88671875" style="3085" customWidth="1"/>
    <col min="5638" max="5638" width="47.44140625" style="3085" customWidth="1"/>
    <col min="5639" max="5639" width="13" style="3085" customWidth="1"/>
    <col min="5640" max="5641" width="8.88671875" style="3085"/>
    <col min="5642" max="5642" width="5.77734375" style="3085" customWidth="1"/>
    <col min="5643" max="5643" width="11.77734375" style="3085" customWidth="1"/>
    <col min="5644" max="5645" width="10.77734375" style="3085" customWidth="1"/>
    <col min="5646" max="5646" width="10" style="3085" customWidth="1"/>
    <col min="5647" max="5648" width="10.44140625" style="3085" bestFit="1" customWidth="1"/>
    <col min="5649" max="5649" width="10" style="3085" customWidth="1"/>
    <col min="5650" max="5650" width="10.109375" style="3085" customWidth="1"/>
    <col min="5651" max="5651" width="10" style="3085" customWidth="1"/>
    <col min="5652" max="5652" width="26.109375" style="3085" customWidth="1"/>
    <col min="5653" max="5888" width="8.88671875" style="3085"/>
    <col min="5889" max="5889" width="9.44140625" style="3085" customWidth="1"/>
    <col min="5890" max="5890" width="8.88671875" style="3085"/>
    <col min="5891" max="5893" width="12.88671875" style="3085" customWidth="1"/>
    <col min="5894" max="5894" width="47.44140625" style="3085" customWidth="1"/>
    <col min="5895" max="5895" width="13" style="3085" customWidth="1"/>
    <col min="5896" max="5897" width="8.88671875" style="3085"/>
    <col min="5898" max="5898" width="5.77734375" style="3085" customWidth="1"/>
    <col min="5899" max="5899" width="11.77734375" style="3085" customWidth="1"/>
    <col min="5900" max="5901" width="10.77734375" style="3085" customWidth="1"/>
    <col min="5902" max="5902" width="10" style="3085" customWidth="1"/>
    <col min="5903" max="5904" width="10.44140625" style="3085" bestFit="1" customWidth="1"/>
    <col min="5905" max="5905" width="10" style="3085" customWidth="1"/>
    <col min="5906" max="5906" width="10.109375" style="3085" customWidth="1"/>
    <col min="5907" max="5907" width="10" style="3085" customWidth="1"/>
    <col min="5908" max="5908" width="26.109375" style="3085" customWidth="1"/>
    <col min="5909" max="6144" width="8.88671875" style="3085"/>
    <col min="6145" max="6145" width="9.44140625" style="3085" customWidth="1"/>
    <col min="6146" max="6146" width="8.88671875" style="3085"/>
    <col min="6147" max="6149" width="12.88671875" style="3085" customWidth="1"/>
    <col min="6150" max="6150" width="47.44140625" style="3085" customWidth="1"/>
    <col min="6151" max="6151" width="13" style="3085" customWidth="1"/>
    <col min="6152" max="6153" width="8.88671875" style="3085"/>
    <col min="6154" max="6154" width="5.77734375" style="3085" customWidth="1"/>
    <col min="6155" max="6155" width="11.77734375" style="3085" customWidth="1"/>
    <col min="6156" max="6157" width="10.77734375" style="3085" customWidth="1"/>
    <col min="6158" max="6158" width="10" style="3085" customWidth="1"/>
    <col min="6159" max="6160" width="10.44140625" style="3085" bestFit="1" customWidth="1"/>
    <col min="6161" max="6161" width="10" style="3085" customWidth="1"/>
    <col min="6162" max="6162" width="10.109375" style="3085" customWidth="1"/>
    <col min="6163" max="6163" width="10" style="3085" customWidth="1"/>
    <col min="6164" max="6164" width="26.109375" style="3085" customWidth="1"/>
    <col min="6165" max="6400" width="8.88671875" style="3085"/>
    <col min="6401" max="6401" width="9.44140625" style="3085" customWidth="1"/>
    <col min="6402" max="6402" width="8.88671875" style="3085"/>
    <col min="6403" max="6405" width="12.88671875" style="3085" customWidth="1"/>
    <col min="6406" max="6406" width="47.44140625" style="3085" customWidth="1"/>
    <col min="6407" max="6407" width="13" style="3085" customWidth="1"/>
    <col min="6408" max="6409" width="8.88671875" style="3085"/>
    <col min="6410" max="6410" width="5.77734375" style="3085" customWidth="1"/>
    <col min="6411" max="6411" width="11.77734375" style="3085" customWidth="1"/>
    <col min="6412" max="6413" width="10.77734375" style="3085" customWidth="1"/>
    <col min="6414" max="6414" width="10" style="3085" customWidth="1"/>
    <col min="6415" max="6416" width="10.44140625" style="3085" bestFit="1" customWidth="1"/>
    <col min="6417" max="6417" width="10" style="3085" customWidth="1"/>
    <col min="6418" max="6418" width="10.109375" style="3085" customWidth="1"/>
    <col min="6419" max="6419" width="10" style="3085" customWidth="1"/>
    <col min="6420" max="6420" width="26.109375" style="3085" customWidth="1"/>
    <col min="6421" max="6656" width="8.88671875" style="3085"/>
    <col min="6657" max="6657" width="9.44140625" style="3085" customWidth="1"/>
    <col min="6658" max="6658" width="8.88671875" style="3085"/>
    <col min="6659" max="6661" width="12.88671875" style="3085" customWidth="1"/>
    <col min="6662" max="6662" width="47.44140625" style="3085" customWidth="1"/>
    <col min="6663" max="6663" width="13" style="3085" customWidth="1"/>
    <col min="6664" max="6665" width="8.88671875" style="3085"/>
    <col min="6666" max="6666" width="5.77734375" style="3085" customWidth="1"/>
    <col min="6667" max="6667" width="11.77734375" style="3085" customWidth="1"/>
    <col min="6668" max="6669" width="10.77734375" style="3085" customWidth="1"/>
    <col min="6670" max="6670" width="10" style="3085" customWidth="1"/>
    <col min="6671" max="6672" width="10.44140625" style="3085" bestFit="1" customWidth="1"/>
    <col min="6673" max="6673" width="10" style="3085" customWidth="1"/>
    <col min="6674" max="6674" width="10.109375" style="3085" customWidth="1"/>
    <col min="6675" max="6675" width="10" style="3085" customWidth="1"/>
    <col min="6676" max="6676" width="26.109375" style="3085" customWidth="1"/>
    <col min="6677" max="6912" width="8.88671875" style="3085"/>
    <col min="6913" max="6913" width="9.44140625" style="3085" customWidth="1"/>
    <col min="6914" max="6914" width="8.88671875" style="3085"/>
    <col min="6915" max="6917" width="12.88671875" style="3085" customWidth="1"/>
    <col min="6918" max="6918" width="47.44140625" style="3085" customWidth="1"/>
    <col min="6919" max="6919" width="13" style="3085" customWidth="1"/>
    <col min="6920" max="6921" width="8.88671875" style="3085"/>
    <col min="6922" max="6922" width="5.77734375" style="3085" customWidth="1"/>
    <col min="6923" max="6923" width="11.77734375" style="3085" customWidth="1"/>
    <col min="6924" max="6925" width="10.77734375" style="3085" customWidth="1"/>
    <col min="6926" max="6926" width="10" style="3085" customWidth="1"/>
    <col min="6927" max="6928" width="10.44140625" style="3085" bestFit="1" customWidth="1"/>
    <col min="6929" max="6929" width="10" style="3085" customWidth="1"/>
    <col min="6930" max="6930" width="10.109375" style="3085" customWidth="1"/>
    <col min="6931" max="6931" width="10" style="3085" customWidth="1"/>
    <col min="6932" max="6932" width="26.109375" style="3085" customWidth="1"/>
    <col min="6933" max="7168" width="8.88671875" style="3085"/>
    <col min="7169" max="7169" width="9.44140625" style="3085" customWidth="1"/>
    <col min="7170" max="7170" width="8.88671875" style="3085"/>
    <col min="7171" max="7173" width="12.88671875" style="3085" customWidth="1"/>
    <col min="7174" max="7174" width="47.44140625" style="3085" customWidth="1"/>
    <col min="7175" max="7175" width="13" style="3085" customWidth="1"/>
    <col min="7176" max="7177" width="8.88671875" style="3085"/>
    <col min="7178" max="7178" width="5.77734375" style="3085" customWidth="1"/>
    <col min="7179" max="7179" width="11.77734375" style="3085" customWidth="1"/>
    <col min="7180" max="7181" width="10.77734375" style="3085" customWidth="1"/>
    <col min="7182" max="7182" width="10" style="3085" customWidth="1"/>
    <col min="7183" max="7184" width="10.44140625" style="3085" bestFit="1" customWidth="1"/>
    <col min="7185" max="7185" width="10" style="3085" customWidth="1"/>
    <col min="7186" max="7186" width="10.109375" style="3085" customWidth="1"/>
    <col min="7187" max="7187" width="10" style="3085" customWidth="1"/>
    <col min="7188" max="7188" width="26.109375" style="3085" customWidth="1"/>
    <col min="7189" max="7424" width="8.88671875" style="3085"/>
    <col min="7425" max="7425" width="9.44140625" style="3085" customWidth="1"/>
    <col min="7426" max="7426" width="8.88671875" style="3085"/>
    <col min="7427" max="7429" width="12.88671875" style="3085" customWidth="1"/>
    <col min="7430" max="7430" width="47.44140625" style="3085" customWidth="1"/>
    <col min="7431" max="7431" width="13" style="3085" customWidth="1"/>
    <col min="7432" max="7433" width="8.88671875" style="3085"/>
    <col min="7434" max="7434" width="5.77734375" style="3085" customWidth="1"/>
    <col min="7435" max="7435" width="11.77734375" style="3085" customWidth="1"/>
    <col min="7436" max="7437" width="10.77734375" style="3085" customWidth="1"/>
    <col min="7438" max="7438" width="10" style="3085" customWidth="1"/>
    <col min="7439" max="7440" width="10.44140625" style="3085" bestFit="1" customWidth="1"/>
    <col min="7441" max="7441" width="10" style="3085" customWidth="1"/>
    <col min="7442" max="7442" width="10.109375" style="3085" customWidth="1"/>
    <col min="7443" max="7443" width="10" style="3085" customWidth="1"/>
    <col min="7444" max="7444" width="26.109375" style="3085" customWidth="1"/>
    <col min="7445" max="7680" width="8.88671875" style="3085"/>
    <col min="7681" max="7681" width="9.44140625" style="3085" customWidth="1"/>
    <col min="7682" max="7682" width="8.88671875" style="3085"/>
    <col min="7683" max="7685" width="12.88671875" style="3085" customWidth="1"/>
    <col min="7686" max="7686" width="47.44140625" style="3085" customWidth="1"/>
    <col min="7687" max="7687" width="13" style="3085" customWidth="1"/>
    <col min="7688" max="7689" width="8.88671875" style="3085"/>
    <col min="7690" max="7690" width="5.77734375" style="3085" customWidth="1"/>
    <col min="7691" max="7691" width="11.77734375" style="3085" customWidth="1"/>
    <col min="7692" max="7693" width="10.77734375" style="3085" customWidth="1"/>
    <col min="7694" max="7694" width="10" style="3085" customWidth="1"/>
    <col min="7695" max="7696" width="10.44140625" style="3085" bestFit="1" customWidth="1"/>
    <col min="7697" max="7697" width="10" style="3085" customWidth="1"/>
    <col min="7698" max="7698" width="10.109375" style="3085" customWidth="1"/>
    <col min="7699" max="7699" width="10" style="3085" customWidth="1"/>
    <col min="7700" max="7700" width="26.109375" style="3085" customWidth="1"/>
    <col min="7701" max="7936" width="8.88671875" style="3085"/>
    <col min="7937" max="7937" width="9.44140625" style="3085" customWidth="1"/>
    <col min="7938" max="7938" width="8.88671875" style="3085"/>
    <col min="7939" max="7941" width="12.88671875" style="3085" customWidth="1"/>
    <col min="7942" max="7942" width="47.44140625" style="3085" customWidth="1"/>
    <col min="7943" max="7943" width="13" style="3085" customWidth="1"/>
    <col min="7944" max="7945" width="8.88671875" style="3085"/>
    <col min="7946" max="7946" width="5.77734375" style="3085" customWidth="1"/>
    <col min="7947" max="7947" width="11.77734375" style="3085" customWidth="1"/>
    <col min="7948" max="7949" width="10.77734375" style="3085" customWidth="1"/>
    <col min="7950" max="7950" width="10" style="3085" customWidth="1"/>
    <col min="7951" max="7952" width="10.44140625" style="3085" bestFit="1" customWidth="1"/>
    <col min="7953" max="7953" width="10" style="3085" customWidth="1"/>
    <col min="7954" max="7954" width="10.109375" style="3085" customWidth="1"/>
    <col min="7955" max="7955" width="10" style="3085" customWidth="1"/>
    <col min="7956" max="7956" width="26.109375" style="3085" customWidth="1"/>
    <col min="7957" max="8192" width="8.88671875" style="3085"/>
    <col min="8193" max="8193" width="9.44140625" style="3085" customWidth="1"/>
    <col min="8194" max="8194" width="8.88671875" style="3085"/>
    <col min="8195" max="8197" width="12.88671875" style="3085" customWidth="1"/>
    <col min="8198" max="8198" width="47.44140625" style="3085" customWidth="1"/>
    <col min="8199" max="8199" width="13" style="3085" customWidth="1"/>
    <col min="8200" max="8201" width="8.88671875" style="3085"/>
    <col min="8202" max="8202" width="5.77734375" style="3085" customWidth="1"/>
    <col min="8203" max="8203" width="11.77734375" style="3085" customWidth="1"/>
    <col min="8204" max="8205" width="10.77734375" style="3085" customWidth="1"/>
    <col min="8206" max="8206" width="10" style="3085" customWidth="1"/>
    <col min="8207" max="8208" width="10.44140625" style="3085" bestFit="1" customWidth="1"/>
    <col min="8209" max="8209" width="10" style="3085" customWidth="1"/>
    <col min="8210" max="8210" width="10.109375" style="3085" customWidth="1"/>
    <col min="8211" max="8211" width="10" style="3085" customWidth="1"/>
    <col min="8212" max="8212" width="26.109375" style="3085" customWidth="1"/>
    <col min="8213" max="8448" width="8.88671875" style="3085"/>
    <col min="8449" max="8449" width="9.44140625" style="3085" customWidth="1"/>
    <col min="8450" max="8450" width="8.88671875" style="3085"/>
    <col min="8451" max="8453" width="12.88671875" style="3085" customWidth="1"/>
    <col min="8454" max="8454" width="47.44140625" style="3085" customWidth="1"/>
    <col min="8455" max="8455" width="13" style="3085" customWidth="1"/>
    <col min="8456" max="8457" width="8.88671875" style="3085"/>
    <col min="8458" max="8458" width="5.77734375" style="3085" customWidth="1"/>
    <col min="8459" max="8459" width="11.77734375" style="3085" customWidth="1"/>
    <col min="8460" max="8461" width="10.77734375" style="3085" customWidth="1"/>
    <col min="8462" max="8462" width="10" style="3085" customWidth="1"/>
    <col min="8463" max="8464" width="10.44140625" style="3085" bestFit="1" customWidth="1"/>
    <col min="8465" max="8465" width="10" style="3085" customWidth="1"/>
    <col min="8466" max="8466" width="10.109375" style="3085" customWidth="1"/>
    <col min="8467" max="8467" width="10" style="3085" customWidth="1"/>
    <col min="8468" max="8468" width="26.109375" style="3085" customWidth="1"/>
    <col min="8469" max="8704" width="8.88671875" style="3085"/>
    <col min="8705" max="8705" width="9.44140625" style="3085" customWidth="1"/>
    <col min="8706" max="8706" width="8.88671875" style="3085"/>
    <col min="8707" max="8709" width="12.88671875" style="3085" customWidth="1"/>
    <col min="8710" max="8710" width="47.44140625" style="3085" customWidth="1"/>
    <col min="8711" max="8711" width="13" style="3085" customWidth="1"/>
    <col min="8712" max="8713" width="8.88671875" style="3085"/>
    <col min="8714" max="8714" width="5.77734375" style="3085" customWidth="1"/>
    <col min="8715" max="8715" width="11.77734375" style="3085" customWidth="1"/>
    <col min="8716" max="8717" width="10.77734375" style="3085" customWidth="1"/>
    <col min="8718" max="8718" width="10" style="3085" customWidth="1"/>
    <col min="8719" max="8720" width="10.44140625" style="3085" bestFit="1" customWidth="1"/>
    <col min="8721" max="8721" width="10" style="3085" customWidth="1"/>
    <col min="8722" max="8722" width="10.109375" style="3085" customWidth="1"/>
    <col min="8723" max="8723" width="10" style="3085" customWidth="1"/>
    <col min="8724" max="8724" width="26.109375" style="3085" customWidth="1"/>
    <col min="8725" max="8960" width="8.88671875" style="3085"/>
    <col min="8961" max="8961" width="9.44140625" style="3085" customWidth="1"/>
    <col min="8962" max="8962" width="8.88671875" style="3085"/>
    <col min="8963" max="8965" width="12.88671875" style="3085" customWidth="1"/>
    <col min="8966" max="8966" width="47.44140625" style="3085" customWidth="1"/>
    <col min="8967" max="8967" width="13" style="3085" customWidth="1"/>
    <col min="8968" max="8969" width="8.88671875" style="3085"/>
    <col min="8970" max="8970" width="5.77734375" style="3085" customWidth="1"/>
    <col min="8971" max="8971" width="11.77734375" style="3085" customWidth="1"/>
    <col min="8972" max="8973" width="10.77734375" style="3085" customWidth="1"/>
    <col min="8974" max="8974" width="10" style="3085" customWidth="1"/>
    <col min="8975" max="8976" width="10.44140625" style="3085" bestFit="1" customWidth="1"/>
    <col min="8977" max="8977" width="10" style="3085" customWidth="1"/>
    <col min="8978" max="8978" width="10.109375" style="3085" customWidth="1"/>
    <col min="8979" max="8979" width="10" style="3085" customWidth="1"/>
    <col min="8980" max="8980" width="26.109375" style="3085" customWidth="1"/>
    <col min="8981" max="9216" width="8.88671875" style="3085"/>
    <col min="9217" max="9217" width="9.44140625" style="3085" customWidth="1"/>
    <col min="9218" max="9218" width="8.88671875" style="3085"/>
    <col min="9219" max="9221" width="12.88671875" style="3085" customWidth="1"/>
    <col min="9222" max="9222" width="47.44140625" style="3085" customWidth="1"/>
    <col min="9223" max="9223" width="13" style="3085" customWidth="1"/>
    <col min="9224" max="9225" width="8.88671875" style="3085"/>
    <col min="9226" max="9226" width="5.77734375" style="3085" customWidth="1"/>
    <col min="9227" max="9227" width="11.77734375" style="3085" customWidth="1"/>
    <col min="9228" max="9229" width="10.77734375" style="3085" customWidth="1"/>
    <col min="9230" max="9230" width="10" style="3085" customWidth="1"/>
    <col min="9231" max="9232" width="10.44140625" style="3085" bestFit="1" customWidth="1"/>
    <col min="9233" max="9233" width="10" style="3085" customWidth="1"/>
    <col min="9234" max="9234" width="10.109375" style="3085" customWidth="1"/>
    <col min="9235" max="9235" width="10" style="3085" customWidth="1"/>
    <col min="9236" max="9236" width="26.109375" style="3085" customWidth="1"/>
    <col min="9237" max="9472" width="8.88671875" style="3085"/>
    <col min="9473" max="9473" width="9.44140625" style="3085" customWidth="1"/>
    <col min="9474" max="9474" width="8.88671875" style="3085"/>
    <col min="9475" max="9477" width="12.88671875" style="3085" customWidth="1"/>
    <col min="9478" max="9478" width="47.44140625" style="3085" customWidth="1"/>
    <col min="9479" max="9479" width="13" style="3085" customWidth="1"/>
    <col min="9480" max="9481" width="8.88671875" style="3085"/>
    <col min="9482" max="9482" width="5.77734375" style="3085" customWidth="1"/>
    <col min="9483" max="9483" width="11.77734375" style="3085" customWidth="1"/>
    <col min="9484" max="9485" width="10.77734375" style="3085" customWidth="1"/>
    <col min="9486" max="9486" width="10" style="3085" customWidth="1"/>
    <col min="9487" max="9488" width="10.44140625" style="3085" bestFit="1" customWidth="1"/>
    <col min="9489" max="9489" width="10" style="3085" customWidth="1"/>
    <col min="9490" max="9490" width="10.109375" style="3085" customWidth="1"/>
    <col min="9491" max="9491" width="10" style="3085" customWidth="1"/>
    <col min="9492" max="9492" width="26.109375" style="3085" customWidth="1"/>
    <col min="9493" max="9728" width="8.88671875" style="3085"/>
    <col min="9729" max="9729" width="9.44140625" style="3085" customWidth="1"/>
    <col min="9730" max="9730" width="8.88671875" style="3085"/>
    <col min="9731" max="9733" width="12.88671875" style="3085" customWidth="1"/>
    <col min="9734" max="9734" width="47.44140625" style="3085" customWidth="1"/>
    <col min="9735" max="9735" width="13" style="3085" customWidth="1"/>
    <col min="9736" max="9737" width="8.88671875" style="3085"/>
    <col min="9738" max="9738" width="5.77734375" style="3085" customWidth="1"/>
    <col min="9739" max="9739" width="11.77734375" style="3085" customWidth="1"/>
    <col min="9740" max="9741" width="10.77734375" style="3085" customWidth="1"/>
    <col min="9742" max="9742" width="10" style="3085" customWidth="1"/>
    <col min="9743" max="9744" width="10.44140625" style="3085" bestFit="1" customWidth="1"/>
    <col min="9745" max="9745" width="10" style="3085" customWidth="1"/>
    <col min="9746" max="9746" width="10.109375" style="3085" customWidth="1"/>
    <col min="9747" max="9747" width="10" style="3085" customWidth="1"/>
    <col min="9748" max="9748" width="26.109375" style="3085" customWidth="1"/>
    <col min="9749" max="9984" width="8.88671875" style="3085"/>
    <col min="9985" max="9985" width="9.44140625" style="3085" customWidth="1"/>
    <col min="9986" max="9986" width="8.88671875" style="3085"/>
    <col min="9987" max="9989" width="12.88671875" style="3085" customWidth="1"/>
    <col min="9990" max="9990" width="47.44140625" style="3085" customWidth="1"/>
    <col min="9991" max="9991" width="13" style="3085" customWidth="1"/>
    <col min="9992" max="9993" width="8.88671875" style="3085"/>
    <col min="9994" max="9994" width="5.77734375" style="3085" customWidth="1"/>
    <col min="9995" max="9995" width="11.77734375" style="3085" customWidth="1"/>
    <col min="9996" max="9997" width="10.77734375" style="3085" customWidth="1"/>
    <col min="9998" max="9998" width="10" style="3085" customWidth="1"/>
    <col min="9999" max="10000" width="10.44140625" style="3085" bestFit="1" customWidth="1"/>
    <col min="10001" max="10001" width="10" style="3085" customWidth="1"/>
    <col min="10002" max="10002" width="10.109375" style="3085" customWidth="1"/>
    <col min="10003" max="10003" width="10" style="3085" customWidth="1"/>
    <col min="10004" max="10004" width="26.109375" style="3085" customWidth="1"/>
    <col min="10005" max="10240" width="8.88671875" style="3085"/>
    <col min="10241" max="10241" width="9.44140625" style="3085" customWidth="1"/>
    <col min="10242" max="10242" width="8.88671875" style="3085"/>
    <col min="10243" max="10245" width="12.88671875" style="3085" customWidth="1"/>
    <col min="10246" max="10246" width="47.44140625" style="3085" customWidth="1"/>
    <col min="10247" max="10247" width="13" style="3085" customWidth="1"/>
    <col min="10248" max="10249" width="8.88671875" style="3085"/>
    <col min="10250" max="10250" width="5.77734375" style="3085" customWidth="1"/>
    <col min="10251" max="10251" width="11.77734375" style="3085" customWidth="1"/>
    <col min="10252" max="10253" width="10.77734375" style="3085" customWidth="1"/>
    <col min="10254" max="10254" width="10" style="3085" customWidth="1"/>
    <col min="10255" max="10256" width="10.44140625" style="3085" bestFit="1" customWidth="1"/>
    <col min="10257" max="10257" width="10" style="3085" customWidth="1"/>
    <col min="10258" max="10258" width="10.109375" style="3085" customWidth="1"/>
    <col min="10259" max="10259" width="10" style="3085" customWidth="1"/>
    <col min="10260" max="10260" width="26.109375" style="3085" customWidth="1"/>
    <col min="10261" max="10496" width="8.88671875" style="3085"/>
    <col min="10497" max="10497" width="9.44140625" style="3085" customWidth="1"/>
    <col min="10498" max="10498" width="8.88671875" style="3085"/>
    <col min="10499" max="10501" width="12.88671875" style="3085" customWidth="1"/>
    <col min="10502" max="10502" width="47.44140625" style="3085" customWidth="1"/>
    <col min="10503" max="10503" width="13" style="3085" customWidth="1"/>
    <col min="10504" max="10505" width="8.88671875" style="3085"/>
    <col min="10506" max="10506" width="5.77734375" style="3085" customWidth="1"/>
    <col min="10507" max="10507" width="11.77734375" style="3085" customWidth="1"/>
    <col min="10508" max="10509" width="10.77734375" style="3085" customWidth="1"/>
    <col min="10510" max="10510" width="10" style="3085" customWidth="1"/>
    <col min="10511" max="10512" width="10.44140625" style="3085" bestFit="1" customWidth="1"/>
    <col min="10513" max="10513" width="10" style="3085" customWidth="1"/>
    <col min="10514" max="10514" width="10.109375" style="3085" customWidth="1"/>
    <col min="10515" max="10515" width="10" style="3085" customWidth="1"/>
    <col min="10516" max="10516" width="26.109375" style="3085" customWidth="1"/>
    <col min="10517" max="10752" width="8.88671875" style="3085"/>
    <col min="10753" max="10753" width="9.44140625" style="3085" customWidth="1"/>
    <col min="10754" max="10754" width="8.88671875" style="3085"/>
    <col min="10755" max="10757" width="12.88671875" style="3085" customWidth="1"/>
    <col min="10758" max="10758" width="47.44140625" style="3085" customWidth="1"/>
    <col min="10759" max="10759" width="13" style="3085" customWidth="1"/>
    <col min="10760" max="10761" width="8.88671875" style="3085"/>
    <col min="10762" max="10762" width="5.77734375" style="3085" customWidth="1"/>
    <col min="10763" max="10763" width="11.77734375" style="3085" customWidth="1"/>
    <col min="10764" max="10765" width="10.77734375" style="3085" customWidth="1"/>
    <col min="10766" max="10766" width="10" style="3085" customWidth="1"/>
    <col min="10767" max="10768" width="10.44140625" style="3085" bestFit="1" customWidth="1"/>
    <col min="10769" max="10769" width="10" style="3085" customWidth="1"/>
    <col min="10770" max="10770" width="10.109375" style="3085" customWidth="1"/>
    <col min="10771" max="10771" width="10" style="3085" customWidth="1"/>
    <col min="10772" max="10772" width="26.109375" style="3085" customWidth="1"/>
    <col min="10773" max="11008" width="8.88671875" style="3085"/>
    <col min="11009" max="11009" width="9.44140625" style="3085" customWidth="1"/>
    <col min="11010" max="11010" width="8.88671875" style="3085"/>
    <col min="11011" max="11013" width="12.88671875" style="3085" customWidth="1"/>
    <col min="11014" max="11014" width="47.44140625" style="3085" customWidth="1"/>
    <col min="11015" max="11015" width="13" style="3085" customWidth="1"/>
    <col min="11016" max="11017" width="8.88671875" style="3085"/>
    <col min="11018" max="11018" width="5.77734375" style="3085" customWidth="1"/>
    <col min="11019" max="11019" width="11.77734375" style="3085" customWidth="1"/>
    <col min="11020" max="11021" width="10.77734375" style="3085" customWidth="1"/>
    <col min="11022" max="11022" width="10" style="3085" customWidth="1"/>
    <col min="11023" max="11024" width="10.44140625" style="3085" bestFit="1" customWidth="1"/>
    <col min="11025" max="11025" width="10" style="3085" customWidth="1"/>
    <col min="11026" max="11026" width="10.109375" style="3085" customWidth="1"/>
    <col min="11027" max="11027" width="10" style="3085" customWidth="1"/>
    <col min="11028" max="11028" width="26.109375" style="3085" customWidth="1"/>
    <col min="11029" max="11264" width="8.88671875" style="3085"/>
    <col min="11265" max="11265" width="9.44140625" style="3085" customWidth="1"/>
    <col min="11266" max="11266" width="8.88671875" style="3085"/>
    <col min="11267" max="11269" width="12.88671875" style="3085" customWidth="1"/>
    <col min="11270" max="11270" width="47.44140625" style="3085" customWidth="1"/>
    <col min="11271" max="11271" width="13" style="3085" customWidth="1"/>
    <col min="11272" max="11273" width="8.88671875" style="3085"/>
    <col min="11274" max="11274" width="5.77734375" style="3085" customWidth="1"/>
    <col min="11275" max="11275" width="11.77734375" style="3085" customWidth="1"/>
    <col min="11276" max="11277" width="10.77734375" style="3085" customWidth="1"/>
    <col min="11278" max="11278" width="10" style="3085" customWidth="1"/>
    <col min="11279" max="11280" width="10.44140625" style="3085" bestFit="1" customWidth="1"/>
    <col min="11281" max="11281" width="10" style="3085" customWidth="1"/>
    <col min="11282" max="11282" width="10.109375" style="3085" customWidth="1"/>
    <col min="11283" max="11283" width="10" style="3085" customWidth="1"/>
    <col min="11284" max="11284" width="26.109375" style="3085" customWidth="1"/>
    <col min="11285" max="11520" width="8.88671875" style="3085"/>
    <col min="11521" max="11521" width="9.44140625" style="3085" customWidth="1"/>
    <col min="11522" max="11522" width="8.88671875" style="3085"/>
    <col min="11523" max="11525" width="12.88671875" style="3085" customWidth="1"/>
    <col min="11526" max="11526" width="47.44140625" style="3085" customWidth="1"/>
    <col min="11527" max="11527" width="13" style="3085" customWidth="1"/>
    <col min="11528" max="11529" width="8.88671875" style="3085"/>
    <col min="11530" max="11530" width="5.77734375" style="3085" customWidth="1"/>
    <col min="11531" max="11531" width="11.77734375" style="3085" customWidth="1"/>
    <col min="11532" max="11533" width="10.77734375" style="3085" customWidth="1"/>
    <col min="11534" max="11534" width="10" style="3085" customWidth="1"/>
    <col min="11535" max="11536" width="10.44140625" style="3085" bestFit="1" customWidth="1"/>
    <col min="11537" max="11537" width="10" style="3085" customWidth="1"/>
    <col min="11538" max="11538" width="10.109375" style="3085" customWidth="1"/>
    <col min="11539" max="11539" width="10" style="3085" customWidth="1"/>
    <col min="11540" max="11540" width="26.109375" style="3085" customWidth="1"/>
    <col min="11541" max="11776" width="8.88671875" style="3085"/>
    <col min="11777" max="11777" width="9.44140625" style="3085" customWidth="1"/>
    <col min="11778" max="11778" width="8.88671875" style="3085"/>
    <col min="11779" max="11781" width="12.88671875" style="3085" customWidth="1"/>
    <col min="11782" max="11782" width="47.44140625" style="3085" customWidth="1"/>
    <col min="11783" max="11783" width="13" style="3085" customWidth="1"/>
    <col min="11784" max="11785" width="8.88671875" style="3085"/>
    <col min="11786" max="11786" width="5.77734375" style="3085" customWidth="1"/>
    <col min="11787" max="11787" width="11.77734375" style="3085" customWidth="1"/>
    <col min="11788" max="11789" width="10.77734375" style="3085" customWidth="1"/>
    <col min="11790" max="11790" width="10" style="3085" customWidth="1"/>
    <col min="11791" max="11792" width="10.44140625" style="3085" bestFit="1" customWidth="1"/>
    <col min="11793" max="11793" width="10" style="3085" customWidth="1"/>
    <col min="11794" max="11794" width="10.109375" style="3085" customWidth="1"/>
    <col min="11795" max="11795" width="10" style="3085" customWidth="1"/>
    <col min="11796" max="11796" width="26.109375" style="3085" customWidth="1"/>
    <col min="11797" max="12032" width="8.88671875" style="3085"/>
    <col min="12033" max="12033" width="9.44140625" style="3085" customWidth="1"/>
    <col min="12034" max="12034" width="8.88671875" style="3085"/>
    <col min="12035" max="12037" width="12.88671875" style="3085" customWidth="1"/>
    <col min="12038" max="12038" width="47.44140625" style="3085" customWidth="1"/>
    <col min="12039" max="12039" width="13" style="3085" customWidth="1"/>
    <col min="12040" max="12041" width="8.88671875" style="3085"/>
    <col min="12042" max="12042" width="5.77734375" style="3085" customWidth="1"/>
    <col min="12043" max="12043" width="11.77734375" style="3085" customWidth="1"/>
    <col min="12044" max="12045" width="10.77734375" style="3085" customWidth="1"/>
    <col min="12046" max="12046" width="10" style="3085" customWidth="1"/>
    <col min="12047" max="12048" width="10.44140625" style="3085" bestFit="1" customWidth="1"/>
    <col min="12049" max="12049" width="10" style="3085" customWidth="1"/>
    <col min="12050" max="12050" width="10.109375" style="3085" customWidth="1"/>
    <col min="12051" max="12051" width="10" style="3085" customWidth="1"/>
    <col min="12052" max="12052" width="26.109375" style="3085" customWidth="1"/>
    <col min="12053" max="12288" width="8.88671875" style="3085"/>
    <col min="12289" max="12289" width="9.44140625" style="3085" customWidth="1"/>
    <col min="12290" max="12290" width="8.88671875" style="3085"/>
    <col min="12291" max="12293" width="12.88671875" style="3085" customWidth="1"/>
    <col min="12294" max="12294" width="47.44140625" style="3085" customWidth="1"/>
    <col min="12295" max="12295" width="13" style="3085" customWidth="1"/>
    <col min="12296" max="12297" width="8.88671875" style="3085"/>
    <col min="12298" max="12298" width="5.77734375" style="3085" customWidth="1"/>
    <col min="12299" max="12299" width="11.77734375" style="3085" customWidth="1"/>
    <col min="12300" max="12301" width="10.77734375" style="3085" customWidth="1"/>
    <col min="12302" max="12302" width="10" style="3085" customWidth="1"/>
    <col min="12303" max="12304" width="10.44140625" style="3085" bestFit="1" customWidth="1"/>
    <col min="12305" max="12305" width="10" style="3085" customWidth="1"/>
    <col min="12306" max="12306" width="10.109375" style="3085" customWidth="1"/>
    <col min="12307" max="12307" width="10" style="3085" customWidth="1"/>
    <col min="12308" max="12308" width="26.109375" style="3085" customWidth="1"/>
    <col min="12309" max="12544" width="8.88671875" style="3085"/>
    <col min="12545" max="12545" width="9.44140625" style="3085" customWidth="1"/>
    <col min="12546" max="12546" width="8.88671875" style="3085"/>
    <col min="12547" max="12549" width="12.88671875" style="3085" customWidth="1"/>
    <col min="12550" max="12550" width="47.44140625" style="3085" customWidth="1"/>
    <col min="12551" max="12551" width="13" style="3085" customWidth="1"/>
    <col min="12552" max="12553" width="8.88671875" style="3085"/>
    <col min="12554" max="12554" width="5.77734375" style="3085" customWidth="1"/>
    <col min="12555" max="12555" width="11.77734375" style="3085" customWidth="1"/>
    <col min="12556" max="12557" width="10.77734375" style="3085" customWidth="1"/>
    <col min="12558" max="12558" width="10" style="3085" customWidth="1"/>
    <col min="12559" max="12560" width="10.44140625" style="3085" bestFit="1" customWidth="1"/>
    <col min="12561" max="12561" width="10" style="3085" customWidth="1"/>
    <col min="12562" max="12562" width="10.109375" style="3085" customWidth="1"/>
    <col min="12563" max="12563" width="10" style="3085" customWidth="1"/>
    <col min="12564" max="12564" width="26.109375" style="3085" customWidth="1"/>
    <col min="12565" max="12800" width="8.88671875" style="3085"/>
    <col min="12801" max="12801" width="9.44140625" style="3085" customWidth="1"/>
    <col min="12802" max="12802" width="8.88671875" style="3085"/>
    <col min="12803" max="12805" width="12.88671875" style="3085" customWidth="1"/>
    <col min="12806" max="12806" width="47.44140625" style="3085" customWidth="1"/>
    <col min="12807" max="12807" width="13" style="3085" customWidth="1"/>
    <col min="12808" max="12809" width="8.88671875" style="3085"/>
    <col min="12810" max="12810" width="5.77734375" style="3085" customWidth="1"/>
    <col min="12811" max="12811" width="11.77734375" style="3085" customWidth="1"/>
    <col min="12812" max="12813" width="10.77734375" style="3085" customWidth="1"/>
    <col min="12814" max="12814" width="10" style="3085" customWidth="1"/>
    <col min="12815" max="12816" width="10.44140625" style="3085" bestFit="1" customWidth="1"/>
    <col min="12817" max="12817" width="10" style="3085" customWidth="1"/>
    <col min="12818" max="12818" width="10.109375" style="3085" customWidth="1"/>
    <col min="12819" max="12819" width="10" style="3085" customWidth="1"/>
    <col min="12820" max="12820" width="26.109375" style="3085" customWidth="1"/>
    <col min="12821" max="13056" width="8.88671875" style="3085"/>
    <col min="13057" max="13057" width="9.44140625" style="3085" customWidth="1"/>
    <col min="13058" max="13058" width="8.88671875" style="3085"/>
    <col min="13059" max="13061" width="12.88671875" style="3085" customWidth="1"/>
    <col min="13062" max="13062" width="47.44140625" style="3085" customWidth="1"/>
    <col min="13063" max="13063" width="13" style="3085" customWidth="1"/>
    <col min="13064" max="13065" width="8.88671875" style="3085"/>
    <col min="13066" max="13066" width="5.77734375" style="3085" customWidth="1"/>
    <col min="13067" max="13067" width="11.77734375" style="3085" customWidth="1"/>
    <col min="13068" max="13069" width="10.77734375" style="3085" customWidth="1"/>
    <col min="13070" max="13070" width="10" style="3085" customWidth="1"/>
    <col min="13071" max="13072" width="10.44140625" style="3085" bestFit="1" customWidth="1"/>
    <col min="13073" max="13073" width="10" style="3085" customWidth="1"/>
    <col min="13074" max="13074" width="10.109375" style="3085" customWidth="1"/>
    <col min="13075" max="13075" width="10" style="3085" customWidth="1"/>
    <col min="13076" max="13076" width="26.109375" style="3085" customWidth="1"/>
    <col min="13077" max="13312" width="8.88671875" style="3085"/>
    <col min="13313" max="13313" width="9.44140625" style="3085" customWidth="1"/>
    <col min="13314" max="13314" width="8.88671875" style="3085"/>
    <col min="13315" max="13317" width="12.88671875" style="3085" customWidth="1"/>
    <col min="13318" max="13318" width="47.44140625" style="3085" customWidth="1"/>
    <col min="13319" max="13319" width="13" style="3085" customWidth="1"/>
    <col min="13320" max="13321" width="8.88671875" style="3085"/>
    <col min="13322" max="13322" width="5.77734375" style="3085" customWidth="1"/>
    <col min="13323" max="13323" width="11.77734375" style="3085" customWidth="1"/>
    <col min="13324" max="13325" width="10.77734375" style="3085" customWidth="1"/>
    <col min="13326" max="13326" width="10" style="3085" customWidth="1"/>
    <col min="13327" max="13328" width="10.44140625" style="3085" bestFit="1" customWidth="1"/>
    <col min="13329" max="13329" width="10" style="3085" customWidth="1"/>
    <col min="13330" max="13330" width="10.109375" style="3085" customWidth="1"/>
    <col min="13331" max="13331" width="10" style="3085" customWidth="1"/>
    <col min="13332" max="13332" width="26.109375" style="3085" customWidth="1"/>
    <col min="13333" max="13568" width="8.88671875" style="3085"/>
    <col min="13569" max="13569" width="9.44140625" style="3085" customWidth="1"/>
    <col min="13570" max="13570" width="8.88671875" style="3085"/>
    <col min="13571" max="13573" width="12.88671875" style="3085" customWidth="1"/>
    <col min="13574" max="13574" width="47.44140625" style="3085" customWidth="1"/>
    <col min="13575" max="13575" width="13" style="3085" customWidth="1"/>
    <col min="13576" max="13577" width="8.88671875" style="3085"/>
    <col min="13578" max="13578" width="5.77734375" style="3085" customWidth="1"/>
    <col min="13579" max="13579" width="11.77734375" style="3085" customWidth="1"/>
    <col min="13580" max="13581" width="10.77734375" style="3085" customWidth="1"/>
    <col min="13582" max="13582" width="10" style="3085" customWidth="1"/>
    <col min="13583" max="13584" width="10.44140625" style="3085" bestFit="1" customWidth="1"/>
    <col min="13585" max="13585" width="10" style="3085" customWidth="1"/>
    <col min="13586" max="13586" width="10.109375" style="3085" customWidth="1"/>
    <col min="13587" max="13587" width="10" style="3085" customWidth="1"/>
    <col min="13588" max="13588" width="26.109375" style="3085" customWidth="1"/>
    <col min="13589" max="13824" width="8.88671875" style="3085"/>
    <col min="13825" max="13825" width="9.44140625" style="3085" customWidth="1"/>
    <col min="13826" max="13826" width="8.88671875" style="3085"/>
    <col min="13827" max="13829" width="12.88671875" style="3085" customWidth="1"/>
    <col min="13830" max="13830" width="47.44140625" style="3085" customWidth="1"/>
    <col min="13831" max="13831" width="13" style="3085" customWidth="1"/>
    <col min="13832" max="13833" width="8.88671875" style="3085"/>
    <col min="13834" max="13834" width="5.77734375" style="3085" customWidth="1"/>
    <col min="13835" max="13835" width="11.77734375" style="3085" customWidth="1"/>
    <col min="13836" max="13837" width="10.77734375" style="3085" customWidth="1"/>
    <col min="13838" max="13838" width="10" style="3085" customWidth="1"/>
    <col min="13839" max="13840" width="10.44140625" style="3085" bestFit="1" customWidth="1"/>
    <col min="13841" max="13841" width="10" style="3085" customWidth="1"/>
    <col min="13842" max="13842" width="10.109375" style="3085" customWidth="1"/>
    <col min="13843" max="13843" width="10" style="3085" customWidth="1"/>
    <col min="13844" max="13844" width="26.109375" style="3085" customWidth="1"/>
    <col min="13845" max="14080" width="8.88671875" style="3085"/>
    <col min="14081" max="14081" width="9.44140625" style="3085" customWidth="1"/>
    <col min="14082" max="14082" width="8.88671875" style="3085"/>
    <col min="14083" max="14085" width="12.88671875" style="3085" customWidth="1"/>
    <col min="14086" max="14086" width="47.44140625" style="3085" customWidth="1"/>
    <col min="14087" max="14087" width="13" style="3085" customWidth="1"/>
    <col min="14088" max="14089" width="8.88671875" style="3085"/>
    <col min="14090" max="14090" width="5.77734375" style="3085" customWidth="1"/>
    <col min="14091" max="14091" width="11.77734375" style="3085" customWidth="1"/>
    <col min="14092" max="14093" width="10.77734375" style="3085" customWidth="1"/>
    <col min="14094" max="14094" width="10" style="3085" customWidth="1"/>
    <col min="14095" max="14096" width="10.44140625" style="3085" bestFit="1" customWidth="1"/>
    <col min="14097" max="14097" width="10" style="3085" customWidth="1"/>
    <col min="14098" max="14098" width="10.109375" style="3085" customWidth="1"/>
    <col min="14099" max="14099" width="10" style="3085" customWidth="1"/>
    <col min="14100" max="14100" width="26.109375" style="3085" customWidth="1"/>
    <col min="14101" max="14336" width="8.88671875" style="3085"/>
    <col min="14337" max="14337" width="9.44140625" style="3085" customWidth="1"/>
    <col min="14338" max="14338" width="8.88671875" style="3085"/>
    <col min="14339" max="14341" width="12.88671875" style="3085" customWidth="1"/>
    <col min="14342" max="14342" width="47.44140625" style="3085" customWidth="1"/>
    <col min="14343" max="14343" width="13" style="3085" customWidth="1"/>
    <col min="14344" max="14345" width="8.88671875" style="3085"/>
    <col min="14346" max="14346" width="5.77734375" style="3085" customWidth="1"/>
    <col min="14347" max="14347" width="11.77734375" style="3085" customWidth="1"/>
    <col min="14348" max="14349" width="10.77734375" style="3085" customWidth="1"/>
    <col min="14350" max="14350" width="10" style="3085" customWidth="1"/>
    <col min="14351" max="14352" width="10.44140625" style="3085" bestFit="1" customWidth="1"/>
    <col min="14353" max="14353" width="10" style="3085" customWidth="1"/>
    <col min="14354" max="14354" width="10.109375" style="3085" customWidth="1"/>
    <col min="14355" max="14355" width="10" style="3085" customWidth="1"/>
    <col min="14356" max="14356" width="26.109375" style="3085" customWidth="1"/>
    <col min="14357" max="14592" width="8.88671875" style="3085"/>
    <col min="14593" max="14593" width="9.44140625" style="3085" customWidth="1"/>
    <col min="14594" max="14594" width="8.88671875" style="3085"/>
    <col min="14595" max="14597" width="12.88671875" style="3085" customWidth="1"/>
    <col min="14598" max="14598" width="47.44140625" style="3085" customWidth="1"/>
    <col min="14599" max="14599" width="13" style="3085" customWidth="1"/>
    <col min="14600" max="14601" width="8.88671875" style="3085"/>
    <col min="14602" max="14602" width="5.77734375" style="3085" customWidth="1"/>
    <col min="14603" max="14603" width="11.77734375" style="3085" customWidth="1"/>
    <col min="14604" max="14605" width="10.77734375" style="3085" customWidth="1"/>
    <col min="14606" max="14606" width="10" style="3085" customWidth="1"/>
    <col min="14607" max="14608" width="10.44140625" style="3085" bestFit="1" customWidth="1"/>
    <col min="14609" max="14609" width="10" style="3085" customWidth="1"/>
    <col min="14610" max="14610" width="10.109375" style="3085" customWidth="1"/>
    <col min="14611" max="14611" width="10" style="3085" customWidth="1"/>
    <col min="14612" max="14612" width="26.109375" style="3085" customWidth="1"/>
    <col min="14613" max="14848" width="8.88671875" style="3085"/>
    <col min="14849" max="14849" width="9.44140625" style="3085" customWidth="1"/>
    <col min="14850" max="14850" width="8.88671875" style="3085"/>
    <col min="14851" max="14853" width="12.88671875" style="3085" customWidth="1"/>
    <col min="14854" max="14854" width="47.44140625" style="3085" customWidth="1"/>
    <col min="14855" max="14855" width="13" style="3085" customWidth="1"/>
    <col min="14856" max="14857" width="8.88671875" style="3085"/>
    <col min="14858" max="14858" width="5.77734375" style="3085" customWidth="1"/>
    <col min="14859" max="14859" width="11.77734375" style="3085" customWidth="1"/>
    <col min="14860" max="14861" width="10.77734375" style="3085" customWidth="1"/>
    <col min="14862" max="14862" width="10" style="3085" customWidth="1"/>
    <col min="14863" max="14864" width="10.44140625" style="3085" bestFit="1" customWidth="1"/>
    <col min="14865" max="14865" width="10" style="3085" customWidth="1"/>
    <col min="14866" max="14866" width="10.109375" style="3085" customWidth="1"/>
    <col min="14867" max="14867" width="10" style="3085" customWidth="1"/>
    <col min="14868" max="14868" width="26.109375" style="3085" customWidth="1"/>
    <col min="14869" max="15104" width="8.88671875" style="3085"/>
    <col min="15105" max="15105" width="9.44140625" style="3085" customWidth="1"/>
    <col min="15106" max="15106" width="8.88671875" style="3085"/>
    <col min="15107" max="15109" width="12.88671875" style="3085" customWidth="1"/>
    <col min="15110" max="15110" width="47.44140625" style="3085" customWidth="1"/>
    <col min="15111" max="15111" width="13" style="3085" customWidth="1"/>
    <col min="15112" max="15113" width="8.88671875" style="3085"/>
    <col min="15114" max="15114" width="5.77734375" style="3085" customWidth="1"/>
    <col min="15115" max="15115" width="11.77734375" style="3085" customWidth="1"/>
    <col min="15116" max="15117" width="10.77734375" style="3085" customWidth="1"/>
    <col min="15118" max="15118" width="10" style="3085" customWidth="1"/>
    <col min="15119" max="15120" width="10.44140625" style="3085" bestFit="1" customWidth="1"/>
    <col min="15121" max="15121" width="10" style="3085" customWidth="1"/>
    <col min="15122" max="15122" width="10.109375" style="3085" customWidth="1"/>
    <col min="15123" max="15123" width="10" style="3085" customWidth="1"/>
    <col min="15124" max="15124" width="26.109375" style="3085" customWidth="1"/>
    <col min="15125" max="15360" width="8.88671875" style="3085"/>
    <col min="15361" max="15361" width="9.44140625" style="3085" customWidth="1"/>
    <col min="15362" max="15362" width="8.88671875" style="3085"/>
    <col min="15363" max="15365" width="12.88671875" style="3085" customWidth="1"/>
    <col min="15366" max="15366" width="47.44140625" style="3085" customWidth="1"/>
    <col min="15367" max="15367" width="13" style="3085" customWidth="1"/>
    <col min="15368" max="15369" width="8.88671875" style="3085"/>
    <col min="15370" max="15370" width="5.77734375" style="3085" customWidth="1"/>
    <col min="15371" max="15371" width="11.77734375" style="3085" customWidth="1"/>
    <col min="15372" max="15373" width="10.77734375" style="3085" customWidth="1"/>
    <col min="15374" max="15374" width="10" style="3085" customWidth="1"/>
    <col min="15375" max="15376" width="10.44140625" style="3085" bestFit="1" customWidth="1"/>
    <col min="15377" max="15377" width="10" style="3085" customWidth="1"/>
    <col min="15378" max="15378" width="10.109375" style="3085" customWidth="1"/>
    <col min="15379" max="15379" width="10" style="3085" customWidth="1"/>
    <col min="15380" max="15380" width="26.109375" style="3085" customWidth="1"/>
    <col min="15381" max="15616" width="8.88671875" style="3085"/>
    <col min="15617" max="15617" width="9.44140625" style="3085" customWidth="1"/>
    <col min="15618" max="15618" width="8.88671875" style="3085"/>
    <col min="15619" max="15621" width="12.88671875" style="3085" customWidth="1"/>
    <col min="15622" max="15622" width="47.44140625" style="3085" customWidth="1"/>
    <col min="15623" max="15623" width="13" style="3085" customWidth="1"/>
    <col min="15624" max="15625" width="8.88671875" style="3085"/>
    <col min="15626" max="15626" width="5.77734375" style="3085" customWidth="1"/>
    <col min="15627" max="15627" width="11.77734375" style="3085" customWidth="1"/>
    <col min="15628" max="15629" width="10.77734375" style="3085" customWidth="1"/>
    <col min="15630" max="15630" width="10" style="3085" customWidth="1"/>
    <col min="15631" max="15632" width="10.44140625" style="3085" bestFit="1" customWidth="1"/>
    <col min="15633" max="15633" width="10" style="3085" customWidth="1"/>
    <col min="15634" max="15634" width="10.109375" style="3085" customWidth="1"/>
    <col min="15635" max="15635" width="10" style="3085" customWidth="1"/>
    <col min="15636" max="15636" width="26.109375" style="3085" customWidth="1"/>
    <col min="15637" max="15872" width="8.88671875" style="3085"/>
    <col min="15873" max="15873" width="9.44140625" style="3085" customWidth="1"/>
    <col min="15874" max="15874" width="8.88671875" style="3085"/>
    <col min="15875" max="15877" width="12.88671875" style="3085" customWidth="1"/>
    <col min="15878" max="15878" width="47.44140625" style="3085" customWidth="1"/>
    <col min="15879" max="15879" width="13" style="3085" customWidth="1"/>
    <col min="15880" max="15881" width="8.88671875" style="3085"/>
    <col min="15882" max="15882" width="5.77734375" style="3085" customWidth="1"/>
    <col min="15883" max="15883" width="11.77734375" style="3085" customWidth="1"/>
    <col min="15884" max="15885" width="10.77734375" style="3085" customWidth="1"/>
    <col min="15886" max="15886" width="10" style="3085" customWidth="1"/>
    <col min="15887" max="15888" width="10.44140625" style="3085" bestFit="1" customWidth="1"/>
    <col min="15889" max="15889" width="10" style="3085" customWidth="1"/>
    <col min="15890" max="15890" width="10.109375" style="3085" customWidth="1"/>
    <col min="15891" max="15891" width="10" style="3085" customWidth="1"/>
    <col min="15892" max="15892" width="26.109375" style="3085" customWidth="1"/>
    <col min="15893" max="16128" width="8.88671875" style="3085"/>
    <col min="16129" max="16129" width="9.44140625" style="3085" customWidth="1"/>
    <col min="16130" max="16130" width="8.88671875" style="3085"/>
    <col min="16131" max="16133" width="12.88671875" style="3085" customWidth="1"/>
    <col min="16134" max="16134" width="47.44140625" style="3085" customWidth="1"/>
    <col min="16135" max="16135" width="13" style="3085" customWidth="1"/>
    <col min="16136" max="16137" width="8.88671875" style="3085"/>
    <col min="16138" max="16138" width="5.77734375" style="3085" customWidth="1"/>
    <col min="16139" max="16139" width="11.77734375" style="3085" customWidth="1"/>
    <col min="16140" max="16141" width="10.77734375" style="3085" customWidth="1"/>
    <col min="16142" max="16142" width="10" style="3085" customWidth="1"/>
    <col min="16143" max="16144" width="10.44140625" style="3085" bestFit="1" customWidth="1"/>
    <col min="16145" max="16145" width="10" style="3085" customWidth="1"/>
    <col min="16146" max="16146" width="10.109375" style="3085" customWidth="1"/>
    <col min="16147" max="16147" width="10" style="3085" customWidth="1"/>
    <col min="16148" max="16148" width="26.109375" style="3085" customWidth="1"/>
    <col min="16149" max="16384" width="8.88671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2"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2"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2"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2"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2"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2"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2"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2"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2"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2"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2"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2"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2"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2"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2"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2"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2"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2"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2"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2"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2"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2"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2"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2"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2"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2"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2"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2"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2"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2"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2"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2"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2"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2"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2"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2"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2"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2"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2"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2"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246.81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4.4">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 thickBot="1">
      <c r="A7" s="1601" t="s">
        <v>2019</v>
      </c>
      <c r="B7" s="1602"/>
      <c r="C7" s="1603">
        <f>'数据-取费表'!B2</f>
        <v>44893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2.2"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4.4">
      <c r="A58" s="1751" t="s">
        <v>2056</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246.81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4.4">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 thickBot="1">
      <c r="A7" s="1601" t="s">
        <v>2019</v>
      </c>
      <c r="B7" s="1602"/>
      <c r="C7" s="1603">
        <f>'数据-取费表'!B2</f>
        <v>44893</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ht="14.4">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28.8">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4.4">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2022-11</v>
      </c>
      <c r="D58" s="1754">
        <f>EDATE(C58,-1)</f>
        <v>44835</v>
      </c>
      <c r="E58" s="1754">
        <f t="shared" ref="E58:O58" si="16">EDATE(D58,-1)</f>
        <v>44805</v>
      </c>
      <c r="F58" s="1754">
        <f t="shared" si="16"/>
        <v>44774</v>
      </c>
      <c r="G58" s="1754">
        <f t="shared" si="16"/>
        <v>44743</v>
      </c>
      <c r="H58" s="1754">
        <f t="shared" si="16"/>
        <v>44713</v>
      </c>
      <c r="I58" s="1754">
        <f t="shared" si="16"/>
        <v>44682</v>
      </c>
      <c r="J58" s="1754">
        <f t="shared" si="16"/>
        <v>44652</v>
      </c>
      <c r="K58" s="1754">
        <f t="shared" si="16"/>
        <v>44621</v>
      </c>
      <c r="L58" s="1754">
        <f t="shared" si="16"/>
        <v>44593</v>
      </c>
      <c r="M58" s="1754">
        <f t="shared" si="16"/>
        <v>44562</v>
      </c>
      <c r="N58" s="1754">
        <f t="shared" si="16"/>
        <v>44531</v>
      </c>
      <c r="O58" s="1754">
        <f t="shared" si="16"/>
        <v>44501</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4" thickBot="1">
      <c r="A62" s="1768"/>
      <c r="B62" s="1758"/>
      <c r="C62" s="1773">
        <v>100</v>
      </c>
      <c r="D62" s="1760"/>
      <c r="E62" s="1760"/>
      <c r="F62" s="1760"/>
      <c r="G62" s="1760"/>
      <c r="H62" s="1760"/>
      <c r="I62" s="1760"/>
      <c r="J62" s="1760"/>
      <c r="K62" s="1760"/>
      <c r="L62" s="1760"/>
      <c r="M62" s="1774"/>
      <c r="N62" s="2933"/>
      <c r="O62" s="2933"/>
      <c r="P62" s="1762"/>
      <c r="Q62" s="1750"/>
    </row>
    <row r="63" spans="1:29" ht="14.4">
      <c r="A63" s="1775" t="s">
        <v>2060</v>
      </c>
      <c r="B63" s="1776" t="s">
        <v>2025</v>
      </c>
      <c r="C63" s="1777">
        <f>C9</f>
        <v>0</v>
      </c>
      <c r="D63" s="1778"/>
      <c r="E63" s="1778"/>
      <c r="F63" s="1778"/>
      <c r="G63" s="1778"/>
      <c r="H63" s="1778"/>
      <c r="I63" s="1778"/>
      <c r="J63" s="1778"/>
      <c r="K63" s="417"/>
      <c r="L63" s="417"/>
      <c r="M63" s="1779"/>
      <c r="N63" s="2934"/>
      <c r="O63" s="2934"/>
      <c r="P63" s="1781"/>
      <c r="Q63" s="1750"/>
    </row>
    <row r="64" spans="1:29" ht="14.4" thickBot="1">
      <c r="A64" s="1782"/>
      <c r="B64" s="1783"/>
      <c r="C64" s="1784">
        <v>100</v>
      </c>
      <c r="D64" s="1784"/>
      <c r="E64" s="1784"/>
      <c r="F64" s="1784"/>
      <c r="G64" s="1784"/>
      <c r="H64" s="1784"/>
      <c r="I64" s="1784"/>
      <c r="J64" s="1784"/>
      <c r="K64" s="1784"/>
      <c r="L64" s="1784"/>
      <c r="M64" s="1785"/>
      <c r="N64" s="2935"/>
      <c r="O64" s="2935"/>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c r="D68" s="1796"/>
      <c r="E68" s="1796"/>
      <c r="F68" s="1796"/>
      <c r="G68" s="1796"/>
      <c r="H68" s="1796"/>
      <c r="I68" s="1796"/>
      <c r="J68" s="1796"/>
      <c r="K68" s="438"/>
      <c r="L68" s="438"/>
      <c r="M68" s="1797"/>
      <c r="N68" s="2934"/>
      <c r="O68" s="2934"/>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4"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4" thickBot="1">
      <c r="A71" s="1798"/>
      <c r="B71" s="1790"/>
      <c r="C71" s="1803"/>
      <c r="D71" s="1784"/>
      <c r="E71" s="1784"/>
      <c r="F71" s="1784"/>
      <c r="G71" s="1784"/>
      <c r="H71" s="1784"/>
      <c r="I71" s="1784"/>
      <c r="J71" s="1784"/>
      <c r="K71" s="1784"/>
      <c r="L71" s="1784"/>
      <c r="M71" s="1785"/>
      <c r="N71" s="2935"/>
      <c r="O71" s="2935"/>
      <c r="P71" s="1801"/>
      <c r="Q71" s="1802"/>
    </row>
    <row r="72" spans="1:17" s="1700" customFormat="1" ht="14.4"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4" thickBot="1">
      <c r="A73" s="1798"/>
      <c r="B73" s="1790"/>
      <c r="C73" s="1803"/>
      <c r="D73" s="1784"/>
      <c r="E73" s="1784"/>
      <c r="F73" s="1784"/>
      <c r="G73" s="1803"/>
      <c r="H73" s="1806"/>
      <c r="I73" s="1806"/>
      <c r="J73" s="1806"/>
      <c r="K73" s="1806"/>
      <c r="L73" s="1806"/>
      <c r="M73" s="1807"/>
      <c r="N73" s="2936"/>
      <c r="O73" s="2936"/>
      <c r="P73" s="1801"/>
      <c r="Q73" s="1802"/>
    </row>
    <row r="74" spans="1:17" s="1700" customFormat="1" ht="14.4"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4" thickBot="1">
      <c r="A75" s="1809"/>
      <c r="B75" s="1810"/>
      <c r="C75" s="1811"/>
      <c r="D75" s="1811"/>
      <c r="E75" s="1811"/>
      <c r="F75" s="1811"/>
      <c r="G75" s="1811"/>
      <c r="H75" s="1812"/>
      <c r="I75" s="1812"/>
      <c r="J75" s="1812"/>
      <c r="K75" s="1812"/>
      <c r="L75" s="1812"/>
      <c r="M75" s="1813"/>
      <c r="N75" s="2936"/>
      <c r="O75" s="2936"/>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 thickTop="1">
      <c r="A86" s="1818"/>
      <c r="B86" s="1787" t="s">
        <v>2138</v>
      </c>
      <c r="C86" s="468"/>
      <c r="D86" s="468"/>
      <c r="E86" s="468"/>
      <c r="F86" s="468"/>
      <c r="G86" s="468"/>
      <c r="H86" s="468"/>
      <c r="I86" s="468"/>
      <c r="J86" s="468"/>
      <c r="K86" s="468"/>
      <c r="L86" s="468"/>
      <c r="M86" s="1819"/>
      <c r="N86" s="2933"/>
      <c r="O86" s="2933"/>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4" thickBot="1">
      <c r="A89" s="1818"/>
      <c r="B89" s="1790"/>
      <c r="C89" s="1803"/>
      <c r="D89" s="1784"/>
      <c r="E89" s="1784"/>
      <c r="F89" s="1784"/>
      <c r="G89" s="1784"/>
      <c r="H89" s="1784"/>
      <c r="I89" s="1784"/>
      <c r="J89" s="1784"/>
      <c r="K89" s="1784"/>
      <c r="L89" s="1784"/>
      <c r="M89" s="1784"/>
      <c r="N89" s="2935"/>
      <c r="O89" s="2935"/>
      <c r="P89" s="1781"/>
      <c r="Q89" s="1750"/>
    </row>
    <row r="90" spans="1:17" s="1700" customFormat="1" ht="14.4"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4.4" thickTop="1">
      <c r="A92" s="1782"/>
      <c r="B92" s="1787" t="str">
        <f>B28</f>
        <v>楼层</v>
      </c>
      <c r="C92" s="468"/>
      <c r="D92" s="468"/>
      <c r="E92" s="468"/>
      <c r="F92" s="468"/>
      <c r="G92" s="468"/>
      <c r="H92" s="468"/>
      <c r="I92" s="468"/>
      <c r="J92" s="468"/>
      <c r="K92" s="468"/>
      <c r="L92" s="468"/>
      <c r="M92" s="1819"/>
      <c r="N92" s="2934"/>
      <c r="O92" s="2934"/>
      <c r="P92" s="1781"/>
      <c r="Q92" s="1750"/>
    </row>
    <row r="93" spans="1:17" ht="14.4" thickBot="1">
      <c r="A93" s="1782"/>
      <c r="B93" s="1790"/>
      <c r="C93" s="1784"/>
      <c r="D93" s="1784"/>
      <c r="E93" s="1784"/>
      <c r="F93" s="1784"/>
      <c r="G93" s="1784"/>
      <c r="H93" s="1784"/>
      <c r="I93" s="1784"/>
      <c r="J93" s="1784"/>
      <c r="K93" s="1784"/>
      <c r="L93" s="1784"/>
      <c r="M93" s="1785"/>
      <c r="N93" s="2935"/>
      <c r="O93" s="2935"/>
      <c r="P93" s="1781"/>
      <c r="Q93" s="1750"/>
    </row>
    <row r="94" spans="1:17" ht="14.4" thickTop="1">
      <c r="A94" s="1782"/>
      <c r="B94" s="1787">
        <f>B29</f>
        <v>111</v>
      </c>
      <c r="C94" s="468"/>
      <c r="D94" s="468"/>
      <c r="E94" s="468"/>
      <c r="F94" s="468"/>
      <c r="G94" s="1506"/>
      <c r="H94" s="1506"/>
      <c r="I94" s="1506"/>
      <c r="J94" s="1506"/>
      <c r="K94" s="473"/>
      <c r="L94" s="473"/>
      <c r="M94" s="1822"/>
      <c r="N94" s="2934"/>
      <c r="O94" s="2934"/>
      <c r="P94" s="1781"/>
      <c r="Q94" s="1750"/>
    </row>
    <row r="95" spans="1:17" ht="14.4" thickBot="1">
      <c r="A95" s="1782"/>
      <c r="B95" s="1790"/>
      <c r="C95" s="1803"/>
      <c r="D95" s="1784"/>
      <c r="E95" s="1784"/>
      <c r="F95" s="1784"/>
      <c r="G95" s="1784"/>
      <c r="H95" s="1784"/>
      <c r="I95" s="1784"/>
      <c r="J95" s="1784"/>
      <c r="K95" s="1784"/>
      <c r="L95" s="1784"/>
      <c r="M95" s="1785"/>
      <c r="N95" s="2935"/>
      <c r="O95" s="2935"/>
      <c r="P95" s="1781"/>
      <c r="Q95" s="1750"/>
    </row>
    <row r="96" spans="1:17" ht="14.4" thickTop="1">
      <c r="A96" s="1782"/>
      <c r="B96" s="1787">
        <f>B30</f>
        <v>111</v>
      </c>
      <c r="C96" s="468"/>
      <c r="D96" s="468"/>
      <c r="E96" s="468"/>
      <c r="F96" s="468"/>
      <c r="G96" s="1506"/>
      <c r="H96" s="1506"/>
      <c r="I96" s="1506"/>
      <c r="J96" s="1506"/>
      <c r="K96" s="473"/>
      <c r="L96" s="473"/>
      <c r="M96" s="1822"/>
      <c r="N96" s="2934"/>
      <c r="O96" s="2934"/>
      <c r="P96" s="1781"/>
      <c r="Q96" s="1750"/>
    </row>
    <row r="97" spans="1:17" ht="14.4" thickBot="1">
      <c r="A97" s="1782"/>
      <c r="B97" s="1790"/>
      <c r="C97" s="1803"/>
      <c r="D97" s="1784"/>
      <c r="E97" s="1784"/>
      <c r="F97" s="1784"/>
      <c r="G97" s="1784"/>
      <c r="H97" s="1784"/>
      <c r="I97" s="1784"/>
      <c r="J97" s="1784"/>
      <c r="K97" s="1784"/>
      <c r="L97" s="1784"/>
      <c r="M97" s="1785"/>
      <c r="N97" s="2935"/>
      <c r="O97" s="2935"/>
      <c r="P97" s="1781"/>
      <c r="Q97" s="1750"/>
    </row>
    <row r="98" spans="1:17" ht="14.4" thickTop="1">
      <c r="A98" s="1782"/>
      <c r="B98" s="1793">
        <f>B31</f>
        <v>111</v>
      </c>
      <c r="C98" s="468"/>
      <c r="D98" s="468"/>
      <c r="E98" s="468"/>
      <c r="F98" s="468"/>
      <c r="G98" s="1823"/>
      <c r="H98" s="1823"/>
      <c r="I98" s="1823"/>
      <c r="J98" s="1823"/>
      <c r="K98" s="477"/>
      <c r="L98" s="477"/>
      <c r="M98" s="1824"/>
      <c r="N98" s="2934"/>
      <c r="O98" s="2934"/>
      <c r="P98" s="1781"/>
      <c r="Q98" s="1750"/>
    </row>
    <row r="99" spans="1:17" ht="14.4" thickBot="1">
      <c r="A99" s="1825"/>
      <c r="B99" s="1810"/>
      <c r="C99" s="1811"/>
      <c r="D99" s="1811"/>
      <c r="E99" s="1811"/>
      <c r="F99" s="1811"/>
      <c r="G99" s="1826"/>
      <c r="H99" s="1826"/>
      <c r="I99" s="1826"/>
      <c r="J99" s="1826"/>
      <c r="K99" s="1826"/>
      <c r="L99" s="1826"/>
      <c r="M99" s="1827"/>
      <c r="N99" s="2935"/>
      <c r="O99" s="2935"/>
      <c r="P99" s="1781"/>
      <c r="Q99" s="1750"/>
    </row>
    <row r="100" spans="1:17" ht="14.4">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4"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6"/>
      <c r="O127" s="2936"/>
      <c r="P127" s="1801"/>
      <c r="Q127" s="1802"/>
    </row>
    <row r="128" spans="1:17" ht="14.4"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4" thickBot="1">
      <c r="A129" s="1782"/>
      <c r="B129" s="1790"/>
      <c r="C129" s="1803"/>
      <c r="D129" s="1784"/>
      <c r="E129" s="1784"/>
      <c r="F129" s="1784"/>
      <c r="G129" s="1784"/>
      <c r="H129" s="1784"/>
      <c r="I129" s="1784"/>
      <c r="J129" s="1784"/>
      <c r="K129" s="1784"/>
      <c r="L129" s="1784"/>
      <c r="M129" s="1785"/>
      <c r="N129" s="2935"/>
      <c r="O129" s="2935"/>
      <c r="P129" s="1781"/>
      <c r="Q129" s="1750"/>
    </row>
    <row r="130" spans="1:17" ht="14.4"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4"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246.81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4.4">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585"/>
      <c r="AC5" s="3585"/>
    </row>
    <row r="6" spans="1:29" ht="1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 thickBot="1">
      <c r="A7" s="1601" t="s">
        <v>2019</v>
      </c>
      <c r="B7" s="1602"/>
      <c r="C7" s="1603">
        <f>'数据-取费表'!B2</f>
        <v>44893</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ht="14.4">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3"/>
      <c r="Q11" s="283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82.8">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96.6">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41.4">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7"/>
      <c r="Q37" s="2834"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28.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4.4">
      <c r="A48" s="1710" t="s">
        <v>2049</v>
      </c>
      <c r="B48" s="1711"/>
      <c r="C48" s="1712" t="s">
        <v>1</v>
      </c>
      <c r="D48" s="1713"/>
      <c r="E48" s="1714"/>
      <c r="F48" s="1715"/>
      <c r="G48" s="1716"/>
      <c r="H48" s="1717"/>
      <c r="I48" s="1714"/>
      <c r="J48" s="1717"/>
      <c r="K48" s="1942"/>
      <c r="L48" s="2921"/>
      <c r="M48" s="2916"/>
      <c r="N48" s="2916"/>
      <c r="O48" s="2916"/>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5" thickBot="1">
      <c r="A50" s="1728" t="s">
        <v>2155</v>
      </c>
      <c r="B50" s="1729"/>
      <c r="C50" s="1731" t="e">
        <f>R50</f>
        <v>#DIV/0!</v>
      </c>
      <c r="D50" s="1731"/>
      <c r="E50" s="1731"/>
      <c r="F50" s="1731"/>
      <c r="G50" s="1731"/>
      <c r="H50" s="1731"/>
      <c r="I50" s="1731"/>
      <c r="J50" s="1731"/>
      <c r="K50" s="1947"/>
      <c r="L50" s="2921"/>
      <c r="M50" s="2916"/>
      <c r="N50" s="2916"/>
      <c r="O50" s="2916"/>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2.2"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4.4">
      <c r="A59" s="1751" t="s">
        <v>2019</v>
      </c>
      <c r="B59" s="1752"/>
      <c r="C59" s="1753" t="str">
        <f>YEAR(C7)&amp;"-"&amp;MONTH(C7)</f>
        <v>2022-11</v>
      </c>
      <c r="D59" s="1754">
        <f>EDATE(C59,-1)</f>
        <v>44835</v>
      </c>
      <c r="E59" s="1754">
        <f t="shared" ref="E59:O59" si="16">EDATE(D59,-1)</f>
        <v>44805</v>
      </c>
      <c r="F59" s="1754">
        <f t="shared" si="16"/>
        <v>44774</v>
      </c>
      <c r="G59" s="1754">
        <f t="shared" si="16"/>
        <v>44743</v>
      </c>
      <c r="H59" s="1754">
        <f t="shared" si="16"/>
        <v>44713</v>
      </c>
      <c r="I59" s="1754">
        <f t="shared" si="16"/>
        <v>44682</v>
      </c>
      <c r="J59" s="1754">
        <f t="shared" si="16"/>
        <v>44652</v>
      </c>
      <c r="K59" s="1754">
        <f t="shared" si="16"/>
        <v>44621</v>
      </c>
      <c r="L59" s="1754">
        <f t="shared" si="16"/>
        <v>44593</v>
      </c>
      <c r="M59" s="1754">
        <f t="shared" si="16"/>
        <v>44562</v>
      </c>
      <c r="N59" s="1754">
        <f t="shared" si="16"/>
        <v>44531</v>
      </c>
      <c r="O59" s="1754">
        <f t="shared" si="16"/>
        <v>44501</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4.4">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4" thickBot="1">
      <c r="A63" s="1768"/>
      <c r="B63" s="1758"/>
      <c r="C63" s="1773">
        <v>100</v>
      </c>
      <c r="D63" s="1760"/>
      <c r="E63" s="1760"/>
      <c r="F63" s="1760"/>
      <c r="G63" s="1760"/>
      <c r="H63" s="1760"/>
      <c r="I63" s="1760"/>
      <c r="J63" s="1760"/>
      <c r="K63" s="1760"/>
      <c r="L63" s="1760"/>
      <c r="M63" s="1774"/>
      <c r="N63" s="2933"/>
      <c r="O63" s="2933"/>
      <c r="P63" s="1750"/>
      <c r="Q63" s="1750"/>
    </row>
    <row r="64" spans="1:29" ht="14.4">
      <c r="A64" s="1775" t="s">
        <v>2060</v>
      </c>
      <c r="B64" s="1776" t="s">
        <v>2025</v>
      </c>
      <c r="C64" s="1777">
        <f>C9</f>
        <v>0</v>
      </c>
      <c r="D64" s="1778"/>
      <c r="E64" s="1778"/>
      <c r="F64" s="1778"/>
      <c r="G64" s="1778"/>
      <c r="H64" s="1778"/>
      <c r="I64" s="1778"/>
      <c r="J64" s="1778"/>
      <c r="K64" s="417"/>
      <c r="L64" s="417"/>
      <c r="M64" s="1779"/>
      <c r="N64" s="2934"/>
      <c r="O64" s="2934"/>
      <c r="P64" s="1986"/>
      <c r="Q64" s="1750"/>
    </row>
    <row r="65" spans="1:17" ht="14.4" thickBot="1">
      <c r="A65" s="1782"/>
      <c r="B65" s="1783"/>
      <c r="C65" s="1784">
        <v>100</v>
      </c>
      <c r="D65" s="1784"/>
      <c r="E65" s="1784"/>
      <c r="F65" s="1784"/>
      <c r="G65" s="1784"/>
      <c r="H65" s="1784"/>
      <c r="I65" s="1784"/>
      <c r="J65" s="1784"/>
      <c r="K65" s="1784"/>
      <c r="L65" s="1784"/>
      <c r="M65" s="1785"/>
      <c r="N65" s="2935"/>
      <c r="O65" s="2935"/>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4"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c r="D69" s="1796"/>
      <c r="E69" s="1796"/>
      <c r="F69" s="1796"/>
      <c r="G69" s="1796"/>
      <c r="H69" s="1796"/>
      <c r="I69" s="1796"/>
      <c r="J69" s="1796"/>
      <c r="K69" s="438"/>
      <c r="L69" s="438"/>
      <c r="M69" s="1797"/>
      <c r="N69" s="2934"/>
      <c r="O69" s="2934"/>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4"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4" thickBot="1">
      <c r="A72" s="1798"/>
      <c r="B72" s="1790"/>
      <c r="C72" s="1803"/>
      <c r="D72" s="1784"/>
      <c r="E72" s="1784"/>
      <c r="F72" s="1784"/>
      <c r="G72" s="1784"/>
      <c r="H72" s="1784"/>
      <c r="I72" s="1784"/>
      <c r="J72" s="1784"/>
      <c r="K72" s="1784"/>
      <c r="L72" s="1784"/>
      <c r="M72" s="1785"/>
      <c r="N72" s="2935"/>
      <c r="O72" s="2935"/>
      <c r="P72" s="1987"/>
      <c r="Q72" s="1802"/>
    </row>
    <row r="73" spans="1:17" s="1700" customFormat="1" ht="14.4"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4" thickBot="1">
      <c r="A74" s="1798"/>
      <c r="B74" s="1790"/>
      <c r="C74" s="1803"/>
      <c r="D74" s="1803"/>
      <c r="E74" s="1803"/>
      <c r="F74" s="1803"/>
      <c r="G74" s="1803"/>
      <c r="H74" s="1806"/>
      <c r="I74" s="1806"/>
      <c r="J74" s="1806"/>
      <c r="K74" s="1806"/>
      <c r="L74" s="1806"/>
      <c r="M74" s="1807"/>
      <c r="N74" s="2936"/>
      <c r="O74" s="2936"/>
      <c r="P74" s="1987"/>
      <c r="Q74" s="1802"/>
    </row>
    <row r="75" spans="1:17" s="1700" customFormat="1" ht="14.4"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4" thickBot="1">
      <c r="A76" s="1809"/>
      <c r="B76" s="1810"/>
      <c r="C76" s="1811"/>
      <c r="D76" s="1811"/>
      <c r="E76" s="1811"/>
      <c r="F76" s="1811"/>
      <c r="G76" s="1811"/>
      <c r="H76" s="1812"/>
      <c r="I76" s="1812"/>
      <c r="J76" s="1812"/>
      <c r="K76" s="1812"/>
      <c r="L76" s="1812"/>
      <c r="M76" s="1813"/>
      <c r="N76" s="2936"/>
      <c r="O76" s="2936"/>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4"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4"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4"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4"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4"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9.4" thickTop="1">
      <c r="A87" s="1818"/>
      <c r="B87" s="1787" t="s">
        <v>2158</v>
      </c>
      <c r="C87" s="468"/>
      <c r="D87" s="468"/>
      <c r="E87" s="468"/>
      <c r="F87" s="468"/>
      <c r="G87" s="468"/>
      <c r="H87" s="468"/>
      <c r="I87" s="468"/>
      <c r="J87" s="468"/>
      <c r="K87" s="468"/>
      <c r="L87" s="468"/>
      <c r="M87" s="1819"/>
      <c r="N87" s="2933"/>
      <c r="O87" s="2933"/>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4.4"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4.4"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4.4"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4" thickTop="1">
      <c r="A93" s="1782"/>
      <c r="B93" s="1787">
        <f>B29</f>
        <v>111</v>
      </c>
      <c r="C93" s="468"/>
      <c r="D93" s="468"/>
      <c r="E93" s="468"/>
      <c r="F93" s="468"/>
      <c r="G93" s="468"/>
      <c r="H93" s="468"/>
      <c r="I93" s="468"/>
      <c r="J93" s="468"/>
      <c r="K93" s="468"/>
      <c r="L93" s="468"/>
      <c r="M93" s="1819"/>
      <c r="N93" s="2934"/>
      <c r="O93" s="2934"/>
      <c r="P93" s="1986"/>
      <c r="Q93" s="1750"/>
    </row>
    <row r="94" spans="1:17" ht="14.4" thickBot="1">
      <c r="A94" s="1782"/>
      <c r="B94" s="1790"/>
      <c r="C94" s="1803"/>
      <c r="D94" s="1784"/>
      <c r="E94" s="1784"/>
      <c r="F94" s="1784"/>
      <c r="G94" s="1784"/>
      <c r="H94" s="1784"/>
      <c r="I94" s="1784"/>
      <c r="J94" s="1784"/>
      <c r="K94" s="1784"/>
      <c r="L94" s="1784"/>
      <c r="M94" s="1785"/>
      <c r="N94" s="2935"/>
      <c r="O94" s="2935"/>
      <c r="P94" s="1986"/>
      <c r="Q94" s="1750"/>
    </row>
    <row r="95" spans="1:17" ht="14.4" thickTop="1">
      <c r="A95" s="1782"/>
      <c r="B95" s="1787">
        <f>B30</f>
        <v>111</v>
      </c>
      <c r="C95" s="468"/>
      <c r="D95" s="468"/>
      <c r="E95" s="468"/>
      <c r="F95" s="468"/>
      <c r="G95" s="1506"/>
      <c r="H95" s="1506"/>
      <c r="I95" s="1506"/>
      <c r="J95" s="1506"/>
      <c r="K95" s="473"/>
      <c r="L95" s="473"/>
      <c r="M95" s="1822"/>
      <c r="N95" s="2934"/>
      <c r="O95" s="2934"/>
      <c r="P95" s="1986"/>
      <c r="Q95" s="1750"/>
    </row>
    <row r="96" spans="1:17" ht="14.4" thickBot="1">
      <c r="A96" s="1782"/>
      <c r="B96" s="1790"/>
      <c r="C96" s="1803"/>
      <c r="D96" s="1803"/>
      <c r="E96" s="1803"/>
      <c r="F96" s="1803"/>
      <c r="G96" s="1784"/>
      <c r="H96" s="1784"/>
      <c r="I96" s="1784"/>
      <c r="J96" s="1784"/>
      <c r="K96" s="1784"/>
      <c r="L96" s="1784"/>
      <c r="M96" s="1785"/>
      <c r="N96" s="2935"/>
      <c r="O96" s="2935"/>
      <c r="P96" s="1986"/>
      <c r="Q96" s="1750"/>
    </row>
    <row r="97" spans="1:17" ht="14.4" thickTop="1">
      <c r="A97" s="1782"/>
      <c r="B97" s="1787">
        <f>B31</f>
        <v>111</v>
      </c>
      <c r="C97" s="468"/>
      <c r="D97" s="468"/>
      <c r="E97" s="468"/>
      <c r="F97" s="468"/>
      <c r="G97" s="1506"/>
      <c r="H97" s="1506"/>
      <c r="I97" s="1506"/>
      <c r="J97" s="1506"/>
      <c r="K97" s="473"/>
      <c r="L97" s="473"/>
      <c r="M97" s="1822"/>
      <c r="N97" s="2934"/>
      <c r="O97" s="2934"/>
      <c r="P97" s="1986"/>
      <c r="Q97" s="1750"/>
    </row>
    <row r="98" spans="1:17" ht="14.4" thickBot="1">
      <c r="A98" s="1782"/>
      <c r="B98" s="1790"/>
      <c r="C98" s="1803"/>
      <c r="D98" s="1784"/>
      <c r="E98" s="1784"/>
      <c r="F98" s="1784"/>
      <c r="G98" s="1784"/>
      <c r="H98" s="1784"/>
      <c r="I98" s="1784"/>
      <c r="J98" s="1784"/>
      <c r="K98" s="1784"/>
      <c r="L98" s="1784"/>
      <c r="M98" s="1785"/>
      <c r="N98" s="2935"/>
      <c r="O98" s="2935"/>
      <c r="P98" s="1986"/>
      <c r="Q98" s="1750"/>
    </row>
    <row r="99" spans="1:17" ht="14.4" thickTop="1">
      <c r="A99" s="1782"/>
      <c r="B99" s="1793">
        <f>B32</f>
        <v>111</v>
      </c>
      <c r="C99" s="409"/>
      <c r="D99" s="409"/>
      <c r="E99" s="409"/>
      <c r="F99" s="409"/>
      <c r="G99" s="1823"/>
      <c r="H99" s="1823"/>
      <c r="I99" s="1823"/>
      <c r="J99" s="1823"/>
      <c r="K99" s="477"/>
      <c r="L99" s="477"/>
      <c r="M99" s="1824"/>
      <c r="N99" s="2934"/>
      <c r="O99" s="2934"/>
      <c r="P99" s="1986"/>
      <c r="Q99" s="1750"/>
    </row>
    <row r="100" spans="1:17" ht="14.4" thickBot="1">
      <c r="A100" s="1825"/>
      <c r="B100" s="1810"/>
      <c r="C100" s="1811"/>
      <c r="D100" s="1811"/>
      <c r="E100" s="1811"/>
      <c r="F100" s="1811"/>
      <c r="G100" s="1826"/>
      <c r="H100" s="1826"/>
      <c r="I100" s="1826"/>
      <c r="J100" s="1826"/>
      <c r="K100" s="1826"/>
      <c r="L100" s="1826"/>
      <c r="M100" s="1827"/>
      <c r="N100" s="2935"/>
      <c r="O100" s="2935"/>
      <c r="P100" s="1986"/>
      <c r="Q100" s="1750"/>
    </row>
    <row r="101" spans="1:17" ht="14.4">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4.4"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4"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4.4"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4.4"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6"/>
      <c r="O128" s="2936"/>
      <c r="P128" s="1987"/>
      <c r="Q128" s="1802"/>
    </row>
    <row r="129" spans="1:17" ht="14.4"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4" thickBot="1">
      <c r="A130" s="1782"/>
      <c r="B130" s="1790"/>
      <c r="C130" s="1803"/>
      <c r="D130" s="1803"/>
      <c r="E130" s="1803"/>
      <c r="F130" s="1803"/>
      <c r="G130" s="1784"/>
      <c r="H130" s="1784"/>
      <c r="I130" s="1784"/>
      <c r="J130" s="1784"/>
      <c r="K130" s="1784"/>
      <c r="L130" s="1784"/>
      <c r="M130" s="1785"/>
      <c r="N130" s="2935"/>
      <c r="O130" s="2935"/>
      <c r="P130" s="1986"/>
      <c r="Q130" s="1750"/>
    </row>
    <row r="131" spans="1:17" ht="14.4"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4"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246.81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 thickBot="1">
      <c r="A7" s="301" t="s">
        <v>2019</v>
      </c>
      <c r="B7" s="302"/>
      <c r="C7" s="303">
        <f>'数据-取费表'!B2</f>
        <v>44893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2.2" thickBot="1">
      <c r="A51" s="620" t="s">
        <v>2137</v>
      </c>
      <c r="B51" s="618"/>
      <c r="C51" s="621"/>
      <c r="D51" s="621"/>
      <c r="E51" s="621"/>
      <c r="F51" s="622"/>
      <c r="G51" s="622"/>
      <c r="H51" s="621"/>
      <c r="I51" s="621"/>
      <c r="J51" s="621"/>
      <c r="K51" s="623"/>
      <c r="L51" s="624"/>
      <c r="M51" s="621"/>
      <c r="N51" s="2961"/>
      <c r="O51" s="2961"/>
      <c r="P51" s="389"/>
      <c r="Q51" s="390"/>
    </row>
    <row r="52" spans="1:17" s="394" customFormat="1" ht="14.4">
      <c r="A52" s="391" t="s">
        <v>2019</v>
      </c>
      <c r="B52" s="392"/>
      <c r="C52" s="1116" t="str">
        <f>YEAR(C7)&amp;"-"&amp;MONTH(C7)</f>
        <v>2022-11</v>
      </c>
      <c r="D52" s="1117">
        <f>EDATE(C52,-1)</f>
        <v>44835</v>
      </c>
      <c r="E52" s="1118">
        <f t="shared" ref="E52:O52" si="16">EDATE(D52,-1)</f>
        <v>44805</v>
      </c>
      <c r="F52" s="1118">
        <f t="shared" si="16"/>
        <v>44774</v>
      </c>
      <c r="G52" s="1118">
        <f t="shared" si="16"/>
        <v>44743</v>
      </c>
      <c r="H52" s="1118">
        <f t="shared" si="16"/>
        <v>44713</v>
      </c>
      <c r="I52" s="1118">
        <f t="shared" si="16"/>
        <v>44682</v>
      </c>
      <c r="J52" s="1118">
        <f t="shared" si="16"/>
        <v>44652</v>
      </c>
      <c r="K52" s="1118">
        <f t="shared" si="16"/>
        <v>44621</v>
      </c>
      <c r="L52" s="1118">
        <f t="shared" si="16"/>
        <v>44593</v>
      </c>
      <c r="M52" s="1118">
        <f t="shared" si="16"/>
        <v>44562</v>
      </c>
      <c r="N52" s="1118">
        <f t="shared" si="16"/>
        <v>44531</v>
      </c>
      <c r="O52" s="1118">
        <f t="shared" si="16"/>
        <v>44501</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246.81</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 thickBot="1">
      <c r="A7" s="301" t="s">
        <v>2019</v>
      </c>
      <c r="B7" s="302"/>
      <c r="C7" s="303">
        <f>'数据-取费表'!B2</f>
        <v>44893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2022-11</v>
      </c>
      <c r="D48" s="1117">
        <f>EDATE(C48,-1)</f>
        <v>44835</v>
      </c>
      <c r="E48" s="1117">
        <f t="shared" ref="E48:O48" si="16">EDATE(D48,-1)</f>
        <v>44805</v>
      </c>
      <c r="F48" s="1117">
        <f t="shared" si="16"/>
        <v>44774</v>
      </c>
      <c r="G48" s="1117">
        <f t="shared" si="16"/>
        <v>44743</v>
      </c>
      <c r="H48" s="1117">
        <f t="shared" si="16"/>
        <v>44713</v>
      </c>
      <c r="I48" s="1117">
        <f t="shared" si="16"/>
        <v>44682</v>
      </c>
      <c r="J48" s="1117">
        <f t="shared" si="16"/>
        <v>44652</v>
      </c>
      <c r="K48" s="1117">
        <f t="shared" si="16"/>
        <v>44621</v>
      </c>
      <c r="L48" s="1117">
        <f t="shared" si="16"/>
        <v>44593</v>
      </c>
      <c r="M48" s="1117">
        <f t="shared" si="16"/>
        <v>44562</v>
      </c>
      <c r="N48" s="1117">
        <f t="shared" si="16"/>
        <v>44531</v>
      </c>
      <c r="O48" s="1117">
        <f t="shared" si="16"/>
        <v>44501</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246.81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 thickBot="1">
      <c r="A7" s="301" t="s">
        <v>2019</v>
      </c>
      <c r="B7" s="302"/>
      <c r="C7" s="303">
        <f>'数据-取费表'!B2</f>
        <v>44893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2.2" thickBot="1">
      <c r="A45" s="620" t="s">
        <v>2137</v>
      </c>
      <c r="B45" s="618"/>
      <c r="C45" s="621"/>
      <c r="D45" s="621"/>
      <c r="E45" s="621"/>
      <c r="F45" s="622"/>
      <c r="G45" s="622"/>
      <c r="H45" s="621"/>
      <c r="I45" s="621"/>
      <c r="J45" s="621"/>
      <c r="K45" s="623"/>
      <c r="L45" s="624"/>
      <c r="M45" s="621"/>
      <c r="N45" s="2961"/>
      <c r="O45" s="2961"/>
      <c r="P45" s="389"/>
      <c r="Q45" s="390"/>
    </row>
    <row r="46" spans="1:29" s="394" customFormat="1" ht="14.4">
      <c r="A46" s="391" t="s">
        <v>2019</v>
      </c>
      <c r="B46" s="392"/>
      <c r="C46" s="1116" t="str">
        <f>YEAR(C7)&amp;"-"&amp;MONTH(C7)</f>
        <v>2022-11</v>
      </c>
      <c r="D46" s="1117">
        <f>EDATE(C46,-1)</f>
        <v>44835</v>
      </c>
      <c r="E46" s="1117">
        <f t="shared" ref="E46:O46" si="16">EDATE(D46,-1)</f>
        <v>44805</v>
      </c>
      <c r="F46" s="1117">
        <f t="shared" si="16"/>
        <v>44774</v>
      </c>
      <c r="G46" s="1117">
        <f t="shared" si="16"/>
        <v>44743</v>
      </c>
      <c r="H46" s="1117">
        <f t="shared" si="16"/>
        <v>44713</v>
      </c>
      <c r="I46" s="1117">
        <f t="shared" si="16"/>
        <v>44682</v>
      </c>
      <c r="J46" s="1117">
        <f t="shared" si="16"/>
        <v>44652</v>
      </c>
      <c r="K46" s="1117">
        <f t="shared" si="16"/>
        <v>44621</v>
      </c>
      <c r="L46" s="1117">
        <f t="shared" si="16"/>
        <v>44593</v>
      </c>
      <c r="M46" s="1117">
        <f t="shared" si="16"/>
        <v>44562</v>
      </c>
      <c r="N46" s="1117">
        <f t="shared" si="16"/>
        <v>44531</v>
      </c>
      <c r="O46" s="1117">
        <f t="shared" si="16"/>
        <v>44501</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J7" activeCellId="2" sqref="F7:F34 H7:H34 J7:J34"/>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4.4">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 thickBot="1">
      <c r="A7" s="1601" t="s">
        <v>2019</v>
      </c>
      <c r="B7" s="1602"/>
      <c r="C7" s="1603">
        <f>'数据-取费表'!B2</f>
        <v>44893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105</v>
      </c>
      <c r="G10" s="1686"/>
      <c r="H10" s="1626">
        <f>ROUND(100/'数据-取费表'!B14,0)</f>
        <v>105</v>
      </c>
      <c r="I10" s="1686"/>
      <c r="J10" s="1626">
        <f>ROUND(100/'数据-取费表'!B14,0)</f>
        <v>105</v>
      </c>
      <c r="K10" s="1898"/>
      <c r="L10" s="2917"/>
      <c r="M10" s="2918"/>
      <c r="N10" s="2918"/>
      <c r="O10" s="2963"/>
      <c r="P10" s="3623"/>
      <c r="Q10" s="1563" t="str">
        <f t="shared" si="6"/>
        <v>土地使用年限（年）</v>
      </c>
      <c r="R10" s="1609" t="s">
        <v>25</v>
      </c>
      <c r="S10" s="1610">
        <f t="shared" si="0"/>
        <v>105</v>
      </c>
      <c r="T10" s="1609" t="s">
        <v>25</v>
      </c>
      <c r="U10" s="1610">
        <f t="shared" si="1"/>
        <v>105</v>
      </c>
      <c r="V10" s="1609" t="s">
        <v>25</v>
      </c>
      <c r="W10" s="1610">
        <f t="shared" si="2"/>
        <v>105</v>
      </c>
      <c r="X10" s="1611"/>
      <c r="Y10" s="3487"/>
      <c r="Z10" s="1622" t="str">
        <f t="shared" si="7"/>
        <v>土地使用年限（年）</v>
      </c>
      <c r="AA10" s="1612">
        <f t="shared" si="3"/>
        <v>0.95238095238095233</v>
      </c>
      <c r="AB10" s="1612">
        <f t="shared" si="4"/>
        <v>0.95238095238095233</v>
      </c>
      <c r="AC10" s="1612">
        <f t="shared" si="5"/>
        <v>0.95238095238095233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4" thickBot="1">
      <c r="B54" s="2926"/>
      <c r="C54" s="2927"/>
      <c r="K54" s="2928"/>
      <c r="L54" s="2922"/>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2022-11-1</v>
      </c>
      <c r="D67" s="1969">
        <f>EDATE(C67,-3)</f>
        <v>44774</v>
      </c>
      <c r="E67" s="1969">
        <f t="shared" ref="E67:O67" si="18">EDATE(D67,-3)</f>
        <v>44682</v>
      </c>
      <c r="F67" s="1969">
        <f t="shared" si="18"/>
        <v>44593</v>
      </c>
      <c r="G67" s="1969">
        <f t="shared" si="18"/>
        <v>44501</v>
      </c>
      <c r="H67" s="1969">
        <f t="shared" si="18"/>
        <v>44409</v>
      </c>
      <c r="I67" s="1969">
        <f t="shared" si="18"/>
        <v>44317</v>
      </c>
      <c r="J67" s="1969">
        <f t="shared" si="18"/>
        <v>44228</v>
      </c>
      <c r="K67" s="1969">
        <f t="shared" si="18"/>
        <v>44136</v>
      </c>
      <c r="L67" s="1969">
        <f t="shared" si="18"/>
        <v>44044</v>
      </c>
      <c r="M67" s="1969">
        <f t="shared" si="18"/>
        <v>43952</v>
      </c>
      <c r="N67" s="1969">
        <f t="shared" si="18"/>
        <v>43862</v>
      </c>
      <c r="O67" s="1969">
        <f t="shared" si="18"/>
        <v>43770</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4" thickBot="1">
      <c r="A73" s="1768"/>
      <c r="B73" s="1758"/>
      <c r="C73" s="1759">
        <v>100</v>
      </c>
      <c r="D73" s="1760"/>
      <c r="E73" s="1760"/>
      <c r="F73" s="1760"/>
      <c r="G73" s="1760"/>
      <c r="H73" s="1760"/>
      <c r="I73" s="1760"/>
      <c r="J73" s="1760"/>
      <c r="K73" s="1760"/>
      <c r="L73" s="1760"/>
      <c r="M73" s="1774"/>
      <c r="N73" s="2933"/>
      <c r="O73" s="2933"/>
      <c r="P73" s="1750"/>
      <c r="Q73" s="1750"/>
    </row>
    <row r="74" spans="1:17" ht="14.4">
      <c r="A74" s="1775" t="s">
        <v>2060</v>
      </c>
      <c r="B74" s="1776" t="s">
        <v>2025</v>
      </c>
      <c r="C74" s="1778"/>
      <c r="D74" s="1778"/>
      <c r="E74" s="1778"/>
      <c r="F74" s="1778"/>
      <c r="G74" s="1778"/>
      <c r="H74" s="1778"/>
      <c r="I74" s="1778"/>
      <c r="J74" s="1778"/>
      <c r="K74" s="417"/>
      <c r="L74" s="417"/>
      <c r="M74" s="1779"/>
      <c r="N74" s="2934"/>
      <c r="O74" s="2934"/>
      <c r="P74" s="1986"/>
      <c r="Q74" s="1750"/>
    </row>
    <row r="75" spans="1:17" ht="14.4" thickBot="1">
      <c r="A75" s="1782"/>
      <c r="B75" s="1783"/>
      <c r="C75" s="1784"/>
      <c r="D75" s="1784"/>
      <c r="E75" s="1784"/>
      <c r="F75" s="1784"/>
      <c r="G75" s="1784"/>
      <c r="H75" s="1784"/>
      <c r="I75" s="1784"/>
      <c r="J75" s="1784"/>
      <c r="K75" s="1784"/>
      <c r="L75" s="1784"/>
      <c r="M75" s="1785"/>
      <c r="N75" s="2935"/>
      <c r="O75" s="2935"/>
      <c r="P75" s="1986"/>
      <c r="Q75" s="1750"/>
    </row>
    <row r="76" spans="1:17" ht="29.4" thickTop="1">
      <c r="A76" s="1782"/>
      <c r="B76" s="1787" t="s">
        <v>2028</v>
      </c>
      <c r="C76" s="1788"/>
      <c r="D76" s="1788"/>
      <c r="E76" s="1788"/>
      <c r="F76" s="1788"/>
      <c r="G76" s="1788"/>
      <c r="H76" s="1788"/>
      <c r="I76" s="1788"/>
      <c r="J76" s="1788"/>
      <c r="K76" s="428"/>
      <c r="L76" s="428"/>
      <c r="M76" s="1789"/>
      <c r="N76" s="2934"/>
      <c r="O76" s="2934"/>
      <c r="P76" s="1986"/>
      <c r="Q76" s="1750"/>
    </row>
    <row r="77" spans="1:17" ht="14.4" thickBot="1">
      <c r="A77" s="1782"/>
      <c r="B77" s="1790"/>
      <c r="C77" s="1791"/>
      <c r="D77" s="1791"/>
      <c r="E77" s="1791"/>
      <c r="F77" s="1791"/>
      <c r="G77" s="1791"/>
      <c r="H77" s="1791"/>
      <c r="I77" s="1791"/>
      <c r="J77" s="1791"/>
      <c r="K77" s="1791"/>
      <c r="L77" s="1791"/>
      <c r="M77" s="1792"/>
      <c r="N77" s="2935"/>
      <c r="O77" s="2935"/>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4"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4" thickBot="1">
      <c r="A82" s="1798"/>
      <c r="B82" s="1790"/>
      <c r="C82" s="1803"/>
      <c r="D82" s="1784"/>
      <c r="E82" s="1784"/>
      <c r="F82" s="1784"/>
      <c r="G82" s="1784"/>
      <c r="H82" s="1784"/>
      <c r="I82" s="1784"/>
      <c r="J82" s="1784"/>
      <c r="K82" s="1784"/>
      <c r="L82" s="1784"/>
      <c r="M82" s="1785"/>
      <c r="N82" s="2935"/>
      <c r="O82" s="2935"/>
      <c r="P82" s="1987"/>
      <c r="Q82" s="1802"/>
    </row>
    <row r="83" spans="1:17" s="1700" customFormat="1" ht="14.4"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4" thickBot="1">
      <c r="A84" s="1798"/>
      <c r="B84" s="1790"/>
      <c r="C84" s="1803"/>
      <c r="D84" s="1803"/>
      <c r="E84" s="1803"/>
      <c r="F84" s="1803"/>
      <c r="G84" s="1803"/>
      <c r="H84" s="1806"/>
      <c r="I84" s="1806"/>
      <c r="J84" s="1806"/>
      <c r="K84" s="1806"/>
      <c r="L84" s="1806"/>
      <c r="M84" s="1807"/>
      <c r="N84" s="2936"/>
      <c r="O84" s="2936"/>
      <c r="P84" s="1987"/>
      <c r="Q84" s="1802"/>
    </row>
    <row r="85" spans="1:17" s="1700" customFormat="1" ht="14.4"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4" thickBot="1">
      <c r="A86" s="1809"/>
      <c r="B86" s="1810"/>
      <c r="C86" s="1811"/>
      <c r="D86" s="1811"/>
      <c r="E86" s="1811"/>
      <c r="F86" s="1811"/>
      <c r="G86" s="1811"/>
      <c r="H86" s="1812"/>
      <c r="I86" s="1812"/>
      <c r="J86" s="1812"/>
      <c r="K86" s="1812"/>
      <c r="L86" s="1812"/>
      <c r="M86" s="1813"/>
      <c r="N86" s="2936"/>
      <c r="O86" s="2936"/>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9.4"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4"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4" thickBot="1">
      <c r="A110" s="1782"/>
      <c r="B110" s="1810"/>
      <c r="C110" s="1803"/>
      <c r="D110" s="1803"/>
      <c r="E110" s="1803"/>
      <c r="F110" s="1803"/>
      <c r="G110" s="1826"/>
      <c r="H110" s="1826"/>
      <c r="I110" s="1826"/>
      <c r="J110" s="1826"/>
      <c r="K110" s="1826"/>
      <c r="L110" s="1826"/>
      <c r="M110" s="1827"/>
      <c r="N110" s="2935"/>
      <c r="O110" s="2935"/>
      <c r="P110" s="1986"/>
      <c r="Q110" s="1750"/>
    </row>
    <row r="111" spans="1:17" ht="14.4"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4"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5"/>
      <c r="O114" s="2935"/>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4"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4"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4" thickBot="1">
      <c r="A127" s="1782"/>
      <c r="B127" s="1790"/>
      <c r="C127" s="1803"/>
      <c r="D127" s="1803"/>
      <c r="E127" s="1803"/>
      <c r="F127" s="1803"/>
      <c r="G127" s="1784"/>
      <c r="H127" s="1784"/>
      <c r="I127" s="1784"/>
      <c r="J127" s="1784"/>
      <c r="K127" s="1784"/>
      <c r="L127" s="1784"/>
      <c r="M127" s="1785"/>
      <c r="N127" s="2935"/>
      <c r="O127" s="2935"/>
      <c r="P127" s="1986"/>
      <c r="Q127" s="1750"/>
    </row>
    <row r="128" spans="1:17" ht="14.4"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4"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J7" activeCellId="2" sqref="F7:F34 H7:H34 J7:J34"/>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 thickBot="1">
      <c r="A7" s="301" t="s">
        <v>2019</v>
      </c>
      <c r="B7" s="302"/>
      <c r="C7" s="303">
        <f>'数据-取费表'!B2</f>
        <v>44893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105</v>
      </c>
      <c r="G10" s="322"/>
      <c r="H10" s="29">
        <f>ROUND(100/'数据-取费表'!B14,0)</f>
        <v>105</v>
      </c>
      <c r="I10" s="322"/>
      <c r="J10" s="29">
        <f>ROUND(100/'数据-取费表'!B14,0)</f>
        <v>105</v>
      </c>
      <c r="K10" s="553"/>
      <c r="L10" s="2948"/>
      <c r="M10" s="2949"/>
      <c r="N10" s="2949"/>
      <c r="O10" s="2950"/>
      <c r="P10" s="3637"/>
      <c r="Q10" s="1255" t="str">
        <f t="shared" si="6"/>
        <v>土地使用年限（年）</v>
      </c>
      <c r="R10" s="627" t="s">
        <v>25</v>
      </c>
      <c r="S10" s="628">
        <f t="shared" si="0"/>
        <v>105</v>
      </c>
      <c r="T10" s="627" t="s">
        <v>25</v>
      </c>
      <c r="U10" s="628">
        <f t="shared" si="1"/>
        <v>105</v>
      </c>
      <c r="V10" s="627" t="s">
        <v>25</v>
      </c>
      <c r="W10" s="628">
        <f t="shared" si="2"/>
        <v>105</v>
      </c>
      <c r="X10" s="629"/>
      <c r="Y10" s="3667"/>
      <c r="Z10" s="19" t="str">
        <f t="shared" si="7"/>
        <v>土地使用年限（年）</v>
      </c>
      <c r="AA10" s="630">
        <f t="shared" si="3"/>
        <v>0.95238095238095233</v>
      </c>
      <c r="AB10" s="630">
        <f t="shared" si="4"/>
        <v>0.95238095238095233</v>
      </c>
      <c r="AC10" s="630">
        <f t="shared" si="5"/>
        <v>0.95238095238095233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30">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4" thickBot="1">
      <c r="B49" s="2957"/>
      <c r="C49" s="2960"/>
      <c r="K49" s="2959"/>
      <c r="L49" s="2956"/>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2022-11-1</v>
      </c>
      <c r="D62" s="1111">
        <f>EDATE(C62,-3)</f>
        <v>44774</v>
      </c>
      <c r="E62" s="1111">
        <f t="shared" ref="E62:O62" si="18">EDATE(D62,-3)</f>
        <v>44682</v>
      </c>
      <c r="F62" s="1111">
        <f t="shared" si="18"/>
        <v>44593</v>
      </c>
      <c r="G62" s="1111">
        <f t="shared" si="18"/>
        <v>44501</v>
      </c>
      <c r="H62" s="1111">
        <f t="shared" si="18"/>
        <v>44409</v>
      </c>
      <c r="I62" s="1111">
        <f t="shared" si="18"/>
        <v>44317</v>
      </c>
      <c r="J62" s="1111">
        <f t="shared" si="18"/>
        <v>44228</v>
      </c>
      <c r="K62" s="1111">
        <f t="shared" si="18"/>
        <v>44136</v>
      </c>
      <c r="L62" s="1111">
        <f t="shared" si="18"/>
        <v>44044</v>
      </c>
      <c r="M62" s="1111">
        <f t="shared" si="18"/>
        <v>43952</v>
      </c>
      <c r="N62" s="1111">
        <f t="shared" si="18"/>
        <v>43862</v>
      </c>
      <c r="O62" s="1111">
        <f t="shared" si="18"/>
        <v>43770</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估价对象为北京市房地产，为XX所有。根据《》[]，估价对象建筑面积为246.81平方米。根据《》[]，估价对象（分摊）出让国有建设用地使用权面积为平方米。估价对象用途为。</v>
      </c>
      <c r="B6" s="1277"/>
      <c r="C6" s="1277"/>
      <c r="D6" s="1277"/>
      <c r="E6" s="1277"/>
      <c r="F6" s="1277"/>
      <c r="G6" s="1277"/>
    </row>
    <row r="7" spans="1:7" ht="17.399999999999999">
      <c r="A7" s="1278" t="s">
        <v>1016</v>
      </c>
    </row>
    <row r="8" spans="1:7" ht="17.399999999999999">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2022年11月28日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34.799999999999997">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本次估价的“房地产价值”是指在正常市场情况下，在价值时点2022年11月28日，估价对象规划用途为，假定未设立法定优先受偿款下的房地产市场价值。</v>
      </c>
      <c r="B13" s="1277"/>
      <c r="C13" s="1277"/>
      <c r="D13" s="1277"/>
      <c r="E13" s="1277"/>
      <c r="F13" s="1277"/>
      <c r="G13" s="1277"/>
    </row>
    <row r="14" spans="1:7" ht="8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246.81</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44893</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0.95130000000000003</v>
      </c>
      <c r="D20" s="2130" t="s">
        <v>2354</v>
      </c>
      <c r="E20" s="3072">
        <f>存贷款利率!E22/100</f>
        <v>4.3499999999999997E-2</v>
      </c>
      <c r="F20" s="2130" t="s">
        <v>2343</v>
      </c>
      <c r="G20" s="3073">
        <f>SUMIF(M26:P26,E2,M28:P28)</f>
        <v>0.05</v>
      </c>
      <c r="H20" s="2130" t="s">
        <v>2355</v>
      </c>
      <c r="I20" s="2131">
        <f>'数据-取费表'!B13</f>
        <v>51.78</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4.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5.2">
      <c r="A29" s="2171"/>
      <c r="B29" s="1548" t="s">
        <v>2380</v>
      </c>
      <c r="C29" s="54">
        <f>ROUND(C5*C18*C19*C20*C21*C24,0)</f>
        <v>0</v>
      </c>
      <c r="D29" s="2172">
        <f>项目基本情况!C12</f>
        <v>246.81</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8"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8" thickBot="1"/>
    <row r="113" spans="1:13" ht="25.8"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04" t="s">
        <v>597</v>
      </c>
      <c r="B1" s="3704"/>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1"/>
      <c r="C21" s="740" t="s">
        <v>2814</v>
      </c>
      <c r="D21" s="741"/>
      <c r="E21" s="3294">
        <v>1</v>
      </c>
      <c r="F21" s="3293" t="s">
        <v>2815</v>
      </c>
      <c r="G21" s="3293"/>
    </row>
    <row r="22" spans="1:13" ht="19.5" customHeight="1">
      <c r="A22" s="3713"/>
      <c r="B22" s="3711"/>
      <c r="C22" s="740" t="s">
        <v>2816</v>
      </c>
      <c r="D22" s="741"/>
      <c r="E22" s="3294">
        <v>0.9</v>
      </c>
      <c r="F22" s="3293" t="s">
        <v>2817</v>
      </c>
      <c r="G22" s="3293"/>
    </row>
    <row r="23" spans="1:13" ht="19.5" customHeight="1">
      <c r="A23" s="3713"/>
      <c r="B23" s="3711"/>
      <c r="C23" s="740" t="s">
        <v>2818</v>
      </c>
      <c r="D23" s="741"/>
      <c r="E23" s="3294">
        <v>0.9</v>
      </c>
      <c r="F23" s="3293" t="s">
        <v>2819</v>
      </c>
      <c r="G23" s="3293"/>
    </row>
    <row r="24" spans="1:13" ht="19.5" customHeight="1">
      <c r="A24" s="3713"/>
      <c r="B24" s="3711"/>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1"/>
      <c r="C28" s="740" t="s">
        <v>2826</v>
      </c>
      <c r="D28" s="741"/>
      <c r="E28" s="3294">
        <v>1</v>
      </c>
      <c r="F28" s="3293" t="s">
        <v>2867</v>
      </c>
      <c r="G28" s="3293"/>
    </row>
    <row r="29" spans="1:13" ht="19.5" customHeight="1">
      <c r="A29" s="3718"/>
      <c r="B29" s="3711"/>
      <c r="C29" s="740" t="s">
        <v>2827</v>
      </c>
      <c r="D29" s="741"/>
      <c r="E29" s="3294">
        <v>0.8</v>
      </c>
      <c r="F29" s="3293" t="s">
        <v>2868</v>
      </c>
      <c r="G29" s="3293"/>
    </row>
    <row r="30" spans="1:13" ht="19.5" customHeight="1">
      <c r="A30" s="3718"/>
      <c r="B30" s="3711"/>
      <c r="C30" s="740" t="s">
        <v>2828</v>
      </c>
      <c r="D30" s="741"/>
      <c r="E30" s="3294">
        <v>0.8</v>
      </c>
      <c r="F30" s="3293" t="s">
        <v>2869</v>
      </c>
      <c r="G30" s="3293"/>
    </row>
    <row r="31" spans="1:13" ht="19.5" customHeight="1">
      <c r="A31" s="3718"/>
      <c r="B31" s="3711"/>
      <c r="C31" s="740" t="s">
        <v>2829</v>
      </c>
      <c r="D31" s="741"/>
      <c r="E31" s="3294">
        <v>0.8</v>
      </c>
      <c r="F31" s="3293" t="s">
        <v>2870</v>
      </c>
      <c r="G31" s="3293"/>
    </row>
    <row r="32" spans="1:13" ht="19.5" customHeight="1">
      <c r="A32" s="3718"/>
      <c r="B32" s="3711"/>
      <c r="C32" s="740" t="s">
        <v>2830</v>
      </c>
      <c r="D32" s="741"/>
      <c r="E32" s="3294">
        <v>0.7</v>
      </c>
      <c r="F32" s="3293" t="s">
        <v>2871</v>
      </c>
      <c r="G32" s="3293"/>
    </row>
    <row r="33" spans="1:7" ht="19.5" customHeight="1">
      <c r="A33" s="3718"/>
      <c r="B33" s="3711"/>
      <c r="C33" s="740" t="s">
        <v>2831</v>
      </c>
      <c r="D33" s="741"/>
      <c r="E33" s="3294">
        <v>0.8</v>
      </c>
      <c r="F33" s="3293" t="s">
        <v>2872</v>
      </c>
      <c r="G33" s="3293"/>
    </row>
    <row r="34" spans="1:7" ht="19.5" customHeight="1">
      <c r="A34" s="3718"/>
      <c r="B34" s="3711"/>
      <c r="C34" s="740" t="s">
        <v>2832</v>
      </c>
      <c r="D34" s="741"/>
      <c r="E34" s="3294">
        <v>0.6</v>
      </c>
      <c r="F34" s="3293" t="s">
        <v>2873</v>
      </c>
      <c r="G34" s="3293"/>
    </row>
    <row r="35" spans="1:7" ht="19.5" customHeight="1">
      <c r="A35" s="3718"/>
      <c r="B35" s="3711"/>
      <c r="C35" s="740" t="s">
        <v>2833</v>
      </c>
      <c r="D35" s="741"/>
      <c r="E35" s="3294">
        <v>0.2</v>
      </c>
      <c r="F35" s="3293" t="s">
        <v>2874</v>
      </c>
      <c r="G35" s="3293"/>
    </row>
    <row r="36" spans="1:7" ht="19.5" customHeight="1">
      <c r="A36" s="3718"/>
      <c r="B36" s="3711"/>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1"/>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1"/>
      <c r="C42" s="740" t="s">
        <v>2845</v>
      </c>
      <c r="D42" s="741"/>
      <c r="E42" s="3294">
        <v>1</v>
      </c>
      <c r="F42" s="3293" t="s">
        <v>2846</v>
      </c>
      <c r="G42" s="3293"/>
    </row>
    <row r="43" spans="1:7" ht="19.5" customHeight="1">
      <c r="A43" s="3713"/>
      <c r="B43" s="3710"/>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1"/>
      <c r="C46" s="740" t="s">
        <v>2853</v>
      </c>
      <c r="D46" s="741"/>
      <c r="E46" s="3294">
        <v>1</v>
      </c>
      <c r="F46" s="3293" t="s">
        <v>2854</v>
      </c>
      <c r="G46" s="3293"/>
    </row>
    <row r="47" spans="1:7" ht="19.5" customHeight="1">
      <c r="A47" s="3713"/>
      <c r="B47" s="3711"/>
      <c r="C47" s="740" t="s">
        <v>2855</v>
      </c>
      <c r="D47" s="741"/>
      <c r="E47" s="3294">
        <v>1</v>
      </c>
      <c r="F47" s="3293" t="s">
        <v>2856</v>
      </c>
      <c r="G47" s="3293"/>
    </row>
    <row r="48" spans="1:7" ht="19.5" customHeight="1">
      <c r="A48" s="3713"/>
      <c r="B48" s="3711"/>
      <c r="C48" s="740" t="s">
        <v>2857</v>
      </c>
      <c r="D48" s="741"/>
      <c r="E48" s="3294">
        <v>1</v>
      </c>
      <c r="F48" s="3293" t="s">
        <v>2858</v>
      </c>
      <c r="G48" s="3293"/>
    </row>
    <row r="49" spans="1:7" ht="19.5" customHeight="1">
      <c r="A49" s="3713"/>
      <c r="B49" s="3711"/>
      <c r="C49" s="740" t="s">
        <v>2859</v>
      </c>
      <c r="D49" s="741"/>
      <c r="E49" s="3294">
        <v>1</v>
      </c>
      <c r="F49" s="3293" t="s">
        <v>2860</v>
      </c>
      <c r="G49" s="3293"/>
    </row>
    <row r="50" spans="1:7" ht="19.5" customHeight="1">
      <c r="A50" s="3713"/>
      <c r="B50" s="3711"/>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4">
      <c r="A72" s="3303"/>
      <c r="B72" s="3303"/>
      <c r="C72" s="3303" t="s">
        <v>2880</v>
      </c>
      <c r="D72" s="3303"/>
      <c r="E72" s="3309" t="s">
        <v>1</v>
      </c>
      <c r="F72" s="3303" t="s">
        <v>1</v>
      </c>
    </row>
    <row r="73" spans="1:7" ht="14.4">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4.4">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24">
      <c r="A85" s="3303">
        <v>13</v>
      </c>
      <c r="B85" s="3711"/>
      <c r="C85" s="3284" t="s">
        <v>2906</v>
      </c>
      <c r="D85" s="3284" t="s">
        <v>2907</v>
      </c>
      <c r="E85" s="3309">
        <v>0.1</v>
      </c>
      <c r="F85" s="3303">
        <v>15</v>
      </c>
    </row>
    <row r="86" spans="1:6" ht="24">
      <c r="A86" s="3303">
        <v>14</v>
      </c>
      <c r="B86" s="3711"/>
      <c r="C86" s="3284" t="s">
        <v>2908</v>
      </c>
      <c r="D86" s="3284" t="s">
        <v>2909</v>
      </c>
      <c r="E86" s="3309">
        <v>0.1</v>
      </c>
      <c r="F86" s="3303">
        <v>15</v>
      </c>
    </row>
    <row r="87" spans="1:6" ht="24">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4.4">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4.4">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24">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36">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24">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24">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24">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24">
      <c r="A127" s="3303">
        <v>55</v>
      </c>
      <c r="B127" s="3708" t="s">
        <v>2999</v>
      </c>
      <c r="C127" s="3303" t="s">
        <v>3000</v>
      </c>
      <c r="D127" s="3284" t="s">
        <v>3001</v>
      </c>
      <c r="E127" s="3309">
        <v>0.1</v>
      </c>
      <c r="F127" s="3303">
        <v>15</v>
      </c>
    </row>
    <row r="128" spans="1:6" ht="24">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24">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4.4">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J7" activeCellId="2" sqref="F7:F34 H7:H34 J7:J34"/>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J7" activeCellId="2" sqref="F7:F34 H7:H34 J7:J34"/>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44893</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5.6">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5.6">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8">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5.6">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8"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5.6">
      <c r="A6" s="1287"/>
      <c r="B6" s="1292" t="str">
        <f>项目基本情况!I1</f>
        <v>北京市房地产</v>
      </c>
      <c r="C6" s="3331">
        <f>项目基本情况!C12</f>
        <v>246.81</v>
      </c>
      <c r="D6" s="3331"/>
      <c r="E6" s="1287"/>
    </row>
    <row r="7" spans="1:5" ht="15.6">
      <c r="A7" s="1287"/>
      <c r="B7" s="3325" t="s">
        <v>594</v>
      </c>
      <c r="C7" s="1293" t="str">
        <f>IF('数据-取费表'!B3="万元","总价（万元）","总价（元）")</f>
        <v>总价（万元）</v>
      </c>
      <c r="D7" s="1294">
        <f>IF('数据-取费表'!E3="否",结果表!I102,'结果表 (1修多)'!I104)</f>
        <v>0</v>
      </c>
      <c r="E7" s="1287"/>
    </row>
    <row r="8" spans="1:5" ht="15.6">
      <c r="A8" s="1287"/>
      <c r="B8" s="3325"/>
      <c r="C8" s="1295" t="s">
        <v>924</v>
      </c>
      <c r="D8" s="1296" t="str">
        <f>IF('数据-取费表'!B3="万元",NUMBERSTRING(INT(D7*10000),2)&amp;"元整",NUMBERSTRING(INT(D7),2)&amp;"元整")</f>
        <v>零元整</v>
      </c>
      <c r="E8" s="1287"/>
    </row>
    <row r="9" spans="1:5" ht="15.6">
      <c r="A9" s="1287"/>
      <c r="B9" s="3325"/>
      <c r="C9" s="1297" t="s">
        <v>1020</v>
      </c>
      <c r="D9" s="1294" t="e">
        <f>IF('数据-取费表'!E3="否",结果表!I103,'结果表 (1修多)'!I105)</f>
        <v>#DIV/0!</v>
      </c>
      <c r="E9" s="1287"/>
    </row>
    <row r="10" spans="1:5" ht="15.6">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6">
      <c r="A11" s="1287"/>
      <c r="B11" s="3332"/>
      <c r="C11" s="1295" t="s">
        <v>924</v>
      </c>
      <c r="D11" s="1296" t="str">
        <f>IF('数据-取费表'!B3="万元",NUMBERSTRING(INT(D10*10000),2)&amp;"元整",NUMBERSTRING(INT(D10),2)&amp;"元整")</f>
        <v>零元整</v>
      </c>
      <c r="E11" s="1287"/>
    </row>
    <row r="12" spans="1:5" ht="15.6">
      <c r="A12" s="1287"/>
      <c r="B12" s="1299" t="s">
        <v>563</v>
      </c>
      <c r="C12" s="1300" t="str">
        <f>C10</f>
        <v>总额（万元）</v>
      </c>
      <c r="D12" s="1301">
        <f>IF('数据-取费表'!E3="否",结果表!I106,'结果表 (1修多)'!I108)</f>
        <v>0</v>
      </c>
      <c r="E12" s="1287"/>
    </row>
    <row r="13" spans="1:5" ht="15.6">
      <c r="A13" s="1287"/>
      <c r="B13" s="1299" t="s">
        <v>564</v>
      </c>
      <c r="C13" s="1300" t="str">
        <f>C10</f>
        <v>总额（万元）</v>
      </c>
      <c r="D13" s="1301">
        <f>IF('数据-取费表'!E3="否",结果表!I107,'结果表 (1修多)'!I109)</f>
        <v>0</v>
      </c>
      <c r="E13" s="1287"/>
    </row>
    <row r="14" spans="1:5" ht="15.6">
      <c r="A14" s="1287"/>
      <c r="B14" s="1299" t="s">
        <v>565</v>
      </c>
      <c r="C14" s="1300" t="str">
        <f>C10</f>
        <v>总额（万元）</v>
      </c>
      <c r="D14" s="1301">
        <f>IF('数据-取费表'!E3="否",结果表!I108,'结果表 (1修多)'!I110)</f>
        <v>0</v>
      </c>
      <c r="E14" s="1287"/>
    </row>
    <row r="15" spans="1:5" ht="15.6">
      <c r="A15" s="1287"/>
      <c r="B15" s="3332" t="str">
        <f>IF('数据-取费表'!E3="否",结果表!F110,'结果表 (1修多)'!F112)</f>
        <v>3.房地产抵押价值</v>
      </c>
      <c r="C15" s="1288" t="str">
        <f>C7</f>
        <v>总价（万元）</v>
      </c>
      <c r="D15" s="1294">
        <f>IF('数据-取费表'!E3="否",结果表!I110,'结果表 (1修多)'!I112)</f>
        <v>0</v>
      </c>
      <c r="E15" s="1287"/>
    </row>
    <row r="16" spans="1:5" ht="15.6">
      <c r="A16" s="1287"/>
      <c r="B16" s="3332"/>
      <c r="C16" s="1295" t="s">
        <v>924</v>
      </c>
      <c r="D16" s="1294" t="str">
        <f>IF('数据-取费表'!B3="万元",NUMBERSTRING(INT(D15*10000),2)&amp;"元整",NUMBERSTRING(INT(D15),2)&amp;"元整")</f>
        <v>零元整</v>
      </c>
      <c r="E16" s="1287"/>
    </row>
    <row r="17" spans="1:5" ht="15.6">
      <c r="A17" s="1287"/>
      <c r="B17" s="3332"/>
      <c r="C17" s="1297" t="s">
        <v>1020</v>
      </c>
      <c r="D17" s="1294" t="e">
        <f>IF('数据-取费表'!E3="否",结果表!I111,'结果表 (1修多)'!I113)</f>
        <v>#DIV/0!</v>
      </c>
      <c r="E17" s="1287"/>
    </row>
    <row r="18" spans="1:5" ht="15.6">
      <c r="A18" s="1287"/>
      <c r="B18" s="3332" t="str">
        <f>IF('数据-取费表'!E3="否",结果表!F112,'结果表 (1修多)'!F114)</f>
        <v>——</v>
      </c>
      <c r="C18" s="1288" t="str">
        <f>C7</f>
        <v>总价（万元）</v>
      </c>
      <c r="D18" s="1294" t="str">
        <f>IF('数据-取费表'!E3="否",结果表!I112,'结果表 (1修多)'!I114)</f>
        <v>——</v>
      </c>
      <c r="E18" s="1287"/>
    </row>
    <row r="19" spans="1:5" ht="15.6">
      <c r="A19" s="1287"/>
      <c r="B19" s="3332"/>
      <c r="C19" s="1295" t="s">
        <v>924</v>
      </c>
      <c r="D19" s="1294" t="e">
        <f>IF('数据-取费表'!B3="万元",NUMBERSTRING(INT(D18*10000),2)&amp;"元整",NUMBERSTRING(INT(D18),2)&amp;"元整")</f>
        <v>#VALUE!</v>
      </c>
      <c r="E19" s="1287"/>
    </row>
    <row r="20" spans="1:5" ht="15.6">
      <c r="A20" s="1287"/>
      <c r="B20" s="3332"/>
      <c r="C20" s="1297" t="s">
        <v>1020</v>
      </c>
      <c r="D20" s="1294" t="str">
        <f>IF('数据-取费表'!E3="否",结果表!I113,'结果表 (1修多)'!I115)</f>
        <v>——</v>
      </c>
      <c r="E20" s="1287"/>
    </row>
    <row r="21" spans="1:5" ht="15.6">
      <c r="A21" s="1287"/>
      <c r="B21" s="3325" t="str">
        <f>IF('数据-取费表'!E3="否",结果表!F114,'结果表 (1修多)'!F116)</f>
        <v>——</v>
      </c>
      <c r="C21" s="1293" t="str">
        <f>C7</f>
        <v>总价（万元）</v>
      </c>
      <c r="D21" s="1294" t="str">
        <f>IF('数据-取费表'!E3="否",结果表!I114,'结果表 (1修多)'!I116)</f>
        <v>——</v>
      </c>
      <c r="E21" s="1287"/>
    </row>
    <row r="22" spans="1:5" ht="15.6">
      <c r="A22" s="1287"/>
      <c r="B22" s="3325"/>
      <c r="C22" s="1295" t="s">
        <v>924</v>
      </c>
      <c r="D22" s="1296" t="e">
        <f>IF('数据-取费表'!B3="万元",NUMBERSTRING(INT(D21*10000),2)&amp;"元整",NUMBERSTRING(INT(D21),2)&amp;"元整")</f>
        <v>#VALUE!</v>
      </c>
      <c r="E22" s="1287"/>
    </row>
    <row r="23" spans="1:5" ht="16.2" thickBot="1">
      <c r="A23" s="1287"/>
      <c r="B23" s="3326"/>
      <c r="C23" s="1302" t="s">
        <v>1020</v>
      </c>
      <c r="D23" s="1303" t="str">
        <f>IF('数据-取费表'!E3="否",结果表!I115,'结果表 (1修多)'!I117)</f>
        <v>——</v>
      </c>
      <c r="E23" s="1287"/>
    </row>
    <row r="24" spans="1:5" ht="1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5.6">
      <c r="A28" s="1287"/>
      <c r="B28" s="3333" t="s">
        <v>594</v>
      </c>
      <c r="C28" s="1304" t="s">
        <v>925</v>
      </c>
      <c r="D28" s="1305">
        <f>IF('数据-取费表'!E3="否",结果表!I102,'结果表 (1修多)'!I104)</f>
        <v>0</v>
      </c>
      <c r="E28" s="1287"/>
    </row>
    <row r="29" spans="1:5" ht="15.6">
      <c r="A29" s="1287"/>
      <c r="B29" s="3334"/>
      <c r="C29" s="1306" t="s">
        <v>924</v>
      </c>
      <c r="D29" s="1307" t="str">
        <f>IF('数据-取费表'!B3="万元",NUMBERSTRING(INT(D28*10000),2)&amp;"元整",NUMBERSTRING(INT(D28),2)&amp;"元整")</f>
        <v>零元整</v>
      </c>
      <c r="E29" s="1287"/>
    </row>
    <row r="30" spans="1:5" ht="15.6">
      <c r="A30" s="1287"/>
      <c r="B30" s="3335"/>
      <c r="C30" s="1297" t="s">
        <v>927</v>
      </c>
      <c r="D30" s="1308" t="e">
        <f>IF('数据-取费表'!E3="否",结果表!I103,'结果表 (1修多)'!I105)</f>
        <v>#DIV/0!</v>
      </c>
      <c r="E30" s="1287"/>
    </row>
    <row r="31" spans="1:5" ht="15.6">
      <c r="A31" s="1287"/>
      <c r="B31" s="3338" t="str">
        <f>B10</f>
        <v>2.估价师所知悉的法定优先受偿款</v>
      </c>
      <c r="C31" s="1309" t="s">
        <v>926</v>
      </c>
      <c r="D31" s="1310">
        <f>IF('数据-取费表'!E3="否",结果表!I105,'结果表 (1修多)'!I107)</f>
        <v>0</v>
      </c>
      <c r="E31" s="1287"/>
    </row>
    <row r="32" spans="1:5" ht="15.6">
      <c r="A32" s="1287"/>
      <c r="B32" s="3347"/>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36" t="str">
        <f>B15</f>
        <v>3.房地产抵押价值</v>
      </c>
      <c r="C36" s="1309" t="str">
        <f>C28</f>
        <v>总价</v>
      </c>
      <c r="D36" s="1310">
        <f>IF('数据-取费表'!E3="否",结果表!I110,'结果表 (1修多)'!I112)</f>
        <v>0</v>
      </c>
      <c r="E36" s="1287"/>
    </row>
    <row r="37" spans="1:5" ht="15.6">
      <c r="A37" s="1287"/>
      <c r="B37" s="3336"/>
      <c r="C37" s="1306" t="s">
        <v>924</v>
      </c>
      <c r="D37" s="1311" t="str">
        <f>IF('数据-取费表'!B3="万元",NUMBERSTRING(INT(D36*10000),2)&amp;"元整",NUMBERSTRING(INT(D36),2)&amp;"元整")</f>
        <v>零元整</v>
      </c>
      <c r="E37" s="1287"/>
    </row>
    <row r="38" spans="1:5" ht="15.6">
      <c r="A38" s="1287"/>
      <c r="B38" s="3336"/>
      <c r="C38" s="1297" t="s">
        <v>928</v>
      </c>
      <c r="D38" s="1308" t="e">
        <f>IF('数据-取费表'!E3="否",结果表!D113,'结果表 (1修多)'!D117)</f>
        <v>#DIV/0!</v>
      </c>
      <c r="E38" s="1287"/>
    </row>
    <row r="39" spans="1:5" ht="15.6">
      <c r="A39" s="1287"/>
      <c r="B39" s="3337" t="str">
        <f>B18</f>
        <v>——</v>
      </c>
      <c r="C39" s="1309" t="str">
        <f>C28</f>
        <v>总价</v>
      </c>
      <c r="D39" s="1310" t="str">
        <f>IF('数据-取费表'!E3="否",结果表!I112,'结果表 (1修多)'!I114)</f>
        <v>——</v>
      </c>
      <c r="E39" s="1287"/>
    </row>
    <row r="40" spans="1:5" ht="15.6">
      <c r="A40" s="1287"/>
      <c r="B40" s="3337"/>
      <c r="C40" s="1306" t="s">
        <v>924</v>
      </c>
      <c r="D40" s="1311" t="e">
        <f>IF('数据-取费表'!B3="万元",NUMBERSTRING(INT(D39*10000),2)&amp;"元整",NUMBERSTRING(INT(D39),2)&amp;"元整")</f>
        <v>#VALUE!</v>
      </c>
      <c r="E40" s="1287"/>
    </row>
    <row r="41" spans="1:5" ht="15.6">
      <c r="A41" s="1287"/>
      <c r="B41" s="3337"/>
      <c r="C41" s="1297" t="s">
        <v>928</v>
      </c>
      <c r="D41" s="1308" t="str">
        <f>IF('数据-取费表'!E3="否",结果表!D115,'结果表 (1修多)'!D119)</f>
        <v>——</v>
      </c>
      <c r="E41" s="1287"/>
    </row>
    <row r="42" spans="1:5" ht="15.6">
      <c r="A42" s="1287"/>
      <c r="B42" s="3336" t="str">
        <f>B21</f>
        <v>——</v>
      </c>
      <c r="C42" s="1309" t="str">
        <f>C28</f>
        <v>总价</v>
      </c>
      <c r="D42" s="1310" t="str">
        <f>IF('数据-取费表'!E3="否",结果表!I114,'结果表 (1修多)'!I116)</f>
        <v>——</v>
      </c>
      <c r="E42" s="1287"/>
    </row>
    <row r="43" spans="1:5" ht="15.6">
      <c r="A43" s="1287"/>
      <c r="B43" s="3338"/>
      <c r="C43" s="1306" t="s">
        <v>924</v>
      </c>
      <c r="D43" s="1312" t="e">
        <f>IF('数据-取费表'!B3="万元",NUMBERSTRING(INT(D42*10000),2)&amp;"元整",NUMBERSTRING(INT(D42),2)&amp;"元整")</f>
        <v>#VALUE!</v>
      </c>
      <c r="E43" s="1287"/>
    </row>
    <row r="44" spans="1:5" ht="16.2" thickBot="1">
      <c r="A44" s="1287"/>
      <c r="B44" s="3339"/>
      <c r="C44" s="1302" t="s">
        <v>928</v>
      </c>
      <c r="D44" s="1313" t="str">
        <f>IF('数据-取费表'!E3="否",结果表!D117,'结果表 (1修多)'!D121)</f>
        <v>——</v>
      </c>
      <c r="E44" s="1287"/>
    </row>
    <row r="45" spans="1:5" ht="15" thickTop="1">
      <c r="A45" s="1287"/>
      <c r="B45" s="1287" t="str">
        <f>IF('数据-取费表'!B3="元","单位：元、元/平方米（单位：人民币）","单位：万元、元/平方米（单位：人民币）")</f>
        <v>单位：万元、元/平方米（单位：人民币）</v>
      </c>
      <c r="C45" s="1287"/>
      <c r="D45" s="1287"/>
      <c r="E45" s="1287"/>
    </row>
    <row r="46" spans="1:5" ht="17.399999999999999">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6">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246.81</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0" t="s">
        <v>1030</v>
      </c>
      <c r="B5" s="3350"/>
      <c r="C5" s="3350"/>
      <c r="D5" s="3348" t="str">
        <f>IF('数据-取费表'!E3="否",结果表!D122,'结果表 (1修多)'!D126)</f>
        <v>零元整</v>
      </c>
      <c r="E5" s="3348"/>
      <c r="F5" s="3348" t="str">
        <f>IF('数据-取费表'!E3="否",结果表!F122,'结果表 (1修多)'!F126)</f>
        <v>零元整</v>
      </c>
      <c r="G5" s="3348"/>
      <c r="H5" s="3348" t="str">
        <f>IF('数据-取费表'!E3="否",结果表!H122,'结果表 (1修多)'!H126)</f>
        <v>零元整</v>
      </c>
      <c r="I5" s="3348"/>
    </row>
    <row r="6" spans="1:9" ht="15.6">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6">
      <c r="A8" s="3349" t="str">
        <f>IF('数据-取费表'!E3="否",结果表!A125,'结果表 (1修多)'!A129)</f>
        <v>房地产抵押价值</v>
      </c>
      <c r="B8" s="3349"/>
      <c r="C8" s="3349"/>
      <c r="D8" s="3349">
        <f>IF('数据-取费表'!E3="否",结果表!D125,'结果表 (1修多)'!D129)</f>
        <v>0</v>
      </c>
      <c r="E8" s="3349"/>
      <c r="F8" s="3349"/>
      <c r="G8" s="3349"/>
      <c r="H8" s="3349"/>
      <c r="I8" s="3349"/>
    </row>
    <row r="9" spans="1:9" ht="15">
      <c r="A9" s="3350" t="s">
        <v>1030</v>
      </c>
      <c r="B9" s="3350"/>
      <c r="C9" s="3350"/>
      <c r="D9" s="3348" t="e">
        <f>IF('数据-取费表'!E3="否",结果表!D126,'结果表 (1修多)'!D130)</f>
        <v>#DIV/0!</v>
      </c>
      <c r="E9" s="3348"/>
      <c r="F9" s="3348"/>
      <c r="G9" s="3348"/>
      <c r="H9" s="3348"/>
      <c r="I9" s="3348"/>
    </row>
    <row r="10" spans="1:9" ht="15.6">
      <c r="A10" s="3349" t="str">
        <f>IF('数据-取费表'!E3="否",结果表!A127,'结果表 (1修多)'!A131)</f>
        <v/>
      </c>
      <c r="B10" s="3349"/>
      <c r="C10" s="3349"/>
      <c r="D10" s="3349" t="e">
        <f>IF('数据-取费表'!E3="否",结果表!D127,'结果表 (1修多)'!D130)</f>
        <v>#DIV/0!</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6">
      <c r="A12" s="3349" t="str">
        <f>IF('数据-取费表'!E3="否",结果表!A129,'结果表 (1修多)'!A133)</f>
        <v/>
      </c>
      <c r="B12" s="3349"/>
      <c r="C12" s="3349"/>
      <c r="D12" s="3349" t="str">
        <f>IF('数据-取费表'!E3="否",结果表!D129,'结果表 (1修多)'!D133)</f>
        <v>——</v>
      </c>
      <c r="E12" s="3349"/>
      <c r="F12" s="3349"/>
      <c r="G12" s="3349"/>
      <c r="H12" s="3349"/>
      <c r="I12" s="3349"/>
    </row>
    <row r="13" spans="1:9" ht="15.6" thickBot="1">
      <c r="A13" s="3356" t="s">
        <v>1030</v>
      </c>
      <c r="B13" s="3356"/>
      <c r="C13" s="3356"/>
      <c r="D13" s="3357">
        <f>IF('数据-取费表'!E3="否",结果表!D130,'结果表 (1修多)'!D134)</f>
        <v>0</v>
      </c>
      <c r="E13" s="3357"/>
      <c r="F13" s="3357"/>
      <c r="G13" s="3357"/>
      <c r="H13" s="3357"/>
      <c r="I13" s="3357"/>
    </row>
    <row r="14" spans="1:9" ht="14.4"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63" t="s">
        <v>1043</v>
      </c>
      <c r="B1" s="3363"/>
      <c r="C1" s="3363"/>
      <c r="D1" s="3363"/>
    </row>
    <row r="2" spans="1:4" ht="17.399999999999999">
      <c r="A2" s="3362" t="s">
        <v>1032</v>
      </c>
      <c r="B2" s="3362"/>
      <c r="C2" s="3362"/>
      <c r="D2" s="3362"/>
    </row>
    <row r="3" spans="1:4" ht="17.399999999999999">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7.399999999999999">
      <c r="A7" s="3362" t="s">
        <v>1037</v>
      </c>
      <c r="B7" s="3362"/>
      <c r="C7" s="3362"/>
      <c r="D7" s="3362"/>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59" t="s">
        <v>2496</v>
      </c>
      <c r="B12" s="3361"/>
      <c r="C12" s="3361"/>
      <c r="D12" s="3361"/>
    </row>
    <row r="13" spans="1:4" ht="15.6">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1"/>
      <c r="C13" s="3361"/>
      <c r="D13" s="3361"/>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1"/>
      <c r="C14" s="3361"/>
      <c r="D14" s="3361"/>
    </row>
    <row r="15" spans="1:4" ht="15.75" customHeight="1">
      <c r="A15" s="3359" t="str">
        <f>IF(项目基本情况!D4="抵押","4.本次评估估价师所知悉的法定优先受偿款情况说明如下：","——")</f>
        <v>4.本次评估估价师所知悉的法定优先受偿款情况说明如下：</v>
      </c>
      <c r="B15" s="3361"/>
      <c r="C15" s="3361"/>
      <c r="D15" s="3361"/>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0" t="s">
        <v>1045</v>
      </c>
      <c r="B17" s="3360"/>
      <c r="C17" s="3360"/>
      <c r="D17" s="3360"/>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69" t="s">
        <v>1124</v>
      </c>
      <c r="B15" s="3364" t="s">
        <v>1125</v>
      </c>
      <c r="C15" s="3365"/>
    </row>
    <row r="16" spans="1:7" ht="14.4">
      <c r="A16" s="3370"/>
      <c r="B16" s="3364" t="s">
        <v>1126</v>
      </c>
      <c r="C16" s="3365"/>
    </row>
    <row r="17" spans="1:3" ht="14.4">
      <c r="A17" s="3370"/>
      <c r="B17" s="3364" t="s">
        <v>1127</v>
      </c>
      <c r="C17" s="3365"/>
    </row>
    <row r="18" spans="1:3" ht="14.4">
      <c r="A18" s="3371"/>
      <c r="B18" s="3366" t="s">
        <v>1128</v>
      </c>
      <c r="C18" s="3365"/>
    </row>
    <row r="19" spans="1:3" ht="14.4">
      <c r="A19" s="1340" t="s">
        <v>1129</v>
      </c>
      <c r="B19" s="1341"/>
      <c r="C19" s="1342"/>
    </row>
    <row r="20" spans="1:3" ht="14.4">
      <c r="A20" s="3367" t="s">
        <v>1130</v>
      </c>
      <c r="B20" s="3366" t="s">
        <v>1131</v>
      </c>
      <c r="C20" s="3365"/>
    </row>
    <row r="21" spans="1:3" ht="14.4">
      <c r="A21" s="3367"/>
      <c r="B21" s="3366" t="s">
        <v>1132</v>
      </c>
      <c r="C21" s="3365"/>
    </row>
    <row r="22" spans="1:3" ht="14.4">
      <c r="A22" s="3367"/>
      <c r="B22" s="3366" t="s">
        <v>1133</v>
      </c>
      <c r="C22" s="3365"/>
    </row>
    <row r="23" spans="1:3" ht="14.4">
      <c r="A23" s="3367"/>
      <c r="B23" s="3368" t="s">
        <v>1134</v>
      </c>
      <c r="C23" s="1343" t="s">
        <v>1135</v>
      </c>
    </row>
    <row r="24" spans="1:3" ht="14.4">
      <c r="A24" s="3367"/>
      <c r="B24" s="3368"/>
      <c r="C24" s="1343" t="s">
        <v>1136</v>
      </c>
    </row>
    <row r="25" spans="1:3" ht="14.4">
      <c r="A25" s="3367"/>
      <c r="B25" s="3368"/>
      <c r="C25" s="1343" t="s">
        <v>1137</v>
      </c>
    </row>
    <row r="26" spans="1:3" ht="14.4">
      <c r="A26" s="3367"/>
      <c r="B26" s="3368"/>
      <c r="C26" s="1343" t="s">
        <v>1138</v>
      </c>
    </row>
    <row r="27" spans="1:3" ht="14.4">
      <c r="A27" s="3367"/>
      <c r="B27" s="3368"/>
      <c r="C27" s="1343" t="s">
        <v>1139</v>
      </c>
    </row>
    <row r="28" spans="1:3" ht="14.4">
      <c r="A28" s="3367"/>
      <c r="B28" s="3368"/>
      <c r="C28" s="1343" t="s">
        <v>1140</v>
      </c>
    </row>
    <row r="29" spans="1:3" ht="14.4">
      <c r="A29" s="3367"/>
      <c r="B29" s="3368"/>
      <c r="C29" s="1343" t="s">
        <v>1141</v>
      </c>
    </row>
    <row r="30" spans="1:3" ht="14.4">
      <c r="A30" s="3367"/>
      <c r="B30" s="3368"/>
      <c r="C30" s="1343" t="s">
        <v>1142</v>
      </c>
    </row>
    <row r="31" spans="1:3" ht="14.4">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2978" customWidth="1"/>
    <col min="2" max="2" width="38.6640625" style="2978" customWidth="1"/>
    <col min="3" max="3" width="26" style="2978" customWidth="1"/>
    <col min="4" max="4" width="35" style="2978" hidden="1" customWidth="1"/>
    <col min="5" max="5" width="30.109375" style="2978" customWidth="1"/>
    <col min="6" max="6" width="35.44140625" style="2978" customWidth="1"/>
    <col min="7" max="7" width="31" style="2978" customWidth="1"/>
    <col min="8" max="8" width="37.44140625" style="2978" hidden="1" customWidth="1"/>
    <col min="9" max="16384" width="22.6640625" style="2978"/>
  </cols>
  <sheetData>
    <row r="1" spans="1:8" ht="24" customHeight="1">
      <c r="A1" s="2981"/>
      <c r="B1" s="2981"/>
      <c r="C1" s="2981"/>
      <c r="D1" s="2981"/>
      <c r="E1" s="2981"/>
      <c r="F1" s="2981"/>
      <c r="G1" s="2981"/>
      <c r="H1" s="2981"/>
    </row>
    <row r="2" spans="1:8" ht="24" customHeight="1">
      <c r="A2" s="2982" t="s">
        <v>566</v>
      </c>
      <c r="B2" s="2983">
        <f ca="1">TODAY()</f>
        <v>44893</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t="str">
        <f ca="1">IF(C4&lt;B2,"已过期",1119970066)</f>
        <v>已过期</v>
      </c>
      <c r="C4" s="2988">
        <v>44876</v>
      </c>
      <c r="D4" s="2998" t="str">
        <f ca="1">A4&amp;"（注册号："&amp;B4&amp;"）"</f>
        <v>梁津（注册号：已过期）</v>
      </c>
      <c r="E4" s="3000" t="s">
        <v>573</v>
      </c>
      <c r="F4" s="1230">
        <f ca="1">IF(G4&lt;B2,"已过期",96010014)</f>
        <v>96010014</v>
      </c>
      <c r="G4" s="2989">
        <v>47118</v>
      </c>
      <c r="H4" s="2990" t="str">
        <f ca="1">E4&amp;"（注册号："&amp;F4&amp;"）"</f>
        <v>梁津（注册号：96010014）</v>
      </c>
    </row>
    <row r="5" spans="1:8" ht="24" customHeight="1">
      <c r="A5" s="1230" t="s">
        <v>574</v>
      </c>
      <c r="B5" s="1230" t="str">
        <f ca="1">IF(C5&lt;B2,"已过期",1119970111)</f>
        <v>已过期</v>
      </c>
      <c r="C5" s="2988">
        <v>44876</v>
      </c>
      <c r="D5" s="2998" t="str">
        <f t="shared" ref="D5:D14" ca="1" si="0">A5&amp;"（注册号："&amp;B5&amp;"）"</f>
        <v>叶凌（注册号：已过期）</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t="str">
        <f ca="1">IF(C7&lt;B2,"已过期",1120000080)</f>
        <v>已过期</v>
      </c>
      <c r="C7" s="2988">
        <v>44876</v>
      </c>
      <c r="D7" s="2998" t="str">
        <f t="shared" ca="1" si="0"/>
        <v>欧红伟（注册号：已过期）</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t="str">
        <f ca="1">IF(C12&lt;B2,"已过期",1120040230)</f>
        <v>已过期</v>
      </c>
      <c r="C12" s="2991">
        <v>44864</v>
      </c>
      <c r="D12" s="2998" t="str">
        <f t="shared" ca="1" si="0"/>
        <v>苏海（注册号：已过期）</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本次估价的“房地产价值”是指在正常市场情况下，在价值时点2022年11月28日，估价对象规划用途为，假定未设立法定优先受偿款下的房地产市场价值。</v>
      </c>
    </row>
    <row r="54" spans="1:4" ht="14.4">
      <c r="A54" s="3375"/>
      <c r="B54" s="9" t="s">
        <v>1280</v>
      </c>
      <c r="C54" s="9" t="s">
        <v>1281</v>
      </c>
    </row>
    <row r="55" spans="1:4" ht="14.4">
      <c r="A55" s="3375"/>
      <c r="B55" s="9" t="s">
        <v>1282</v>
      </c>
      <c r="C55" s="9" t="s">
        <v>1283</v>
      </c>
    </row>
    <row r="56" spans="1:4" ht="14.4">
      <c r="A56" s="3375"/>
      <c r="B56" s="9" t="s">
        <v>1284</v>
      </c>
      <c r="C56" s="9" t="s">
        <v>1285</v>
      </c>
    </row>
    <row r="57" spans="1:4" ht="14.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邢轲</cp:lastModifiedBy>
  <cp:lastPrinted>2020-08-03T08:20:51Z</cp:lastPrinted>
  <dcterms:created xsi:type="dcterms:W3CDTF">2015-07-13T07:17:23Z</dcterms:created>
  <dcterms:modified xsi:type="dcterms:W3CDTF">2022-11-28T08:03:46Z</dcterms:modified>
</cp:coreProperties>
</file>