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19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详情"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 name="Sheet3" sheetId="80"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 i="68" l="1"/>
  <c r="E57" i="39" l="1"/>
  <c r="I38" i="39"/>
  <c r="G38" i="39"/>
  <c r="E38" i="39"/>
  <c r="C38" i="39"/>
  <c r="I46" i="39"/>
  <c r="G46" i="39"/>
  <c r="E46" i="39"/>
  <c r="I11" i="39"/>
  <c r="G11" i="39"/>
  <c r="E11" i="39"/>
  <c r="C11" i="39"/>
  <c r="I7" i="39"/>
  <c r="G7" i="39"/>
  <c r="E7" i="39"/>
  <c r="I5" i="39"/>
  <c r="G5" i="39"/>
  <c r="E5" i="39"/>
  <c r="E5" i="80"/>
  <c r="D5" i="80"/>
  <c r="C5" i="80"/>
  <c r="G10" i="79" l="1"/>
  <c r="G9" i="79"/>
  <c r="G8" i="79"/>
  <c r="G7" i="79"/>
  <c r="G6" i="79"/>
  <c r="G5" i="79"/>
  <c r="G4" i="79"/>
  <c r="G3" i="79"/>
  <c r="G2" i="79"/>
  <c r="Y6" i="1" l="1"/>
  <c r="N6" i="1"/>
  <c r="N21" i="1"/>
  <c r="G19" i="6"/>
  <c r="F19" i="6"/>
  <c r="M13" i="3"/>
  <c r="K13" i="3"/>
  <c r="I13" i="3"/>
  <c r="C338" i="78"/>
  <c r="G18" i="78" s="1"/>
  <c r="I18" i="78" s="1"/>
  <c r="H37" i="78"/>
  <c r="C37" i="78"/>
  <c r="G28" i="78"/>
  <c r="I20" i="78"/>
  <c r="G19" i="78"/>
  <c r="G17" i="78"/>
  <c r="G21" i="78" s="1"/>
  <c r="H14" i="78"/>
  <c r="G14" i="78"/>
  <c r="I13" i="78"/>
  <c r="I12" i="78"/>
  <c r="G36" i="78" s="1"/>
  <c r="I11" i="78"/>
  <c r="G35" i="78" s="1"/>
  <c r="I10" i="78"/>
  <c r="G34" i="78" s="1"/>
  <c r="I9" i="78"/>
  <c r="G33" i="78" s="1"/>
  <c r="I8" i="78"/>
  <c r="G32" i="78" s="1"/>
  <c r="I7" i="78"/>
  <c r="G31" i="78" s="1"/>
  <c r="I6" i="78"/>
  <c r="H19" i="78" s="1"/>
  <c r="I5" i="78"/>
  <c r="H18" i="78" s="1"/>
  <c r="I4" i="78"/>
  <c r="H17" i="78" s="1"/>
  <c r="H21" i="78" s="1"/>
  <c r="I21" i="78" l="1"/>
  <c r="G37" i="78"/>
  <c r="I37" i="78" s="1"/>
  <c r="I19" i="78"/>
  <c r="I17" i="78"/>
  <c r="I14" i="78"/>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7" i="72"/>
  <c r="B66" i="72"/>
  <c r="B10" i="72"/>
  <c r="C53" i="10"/>
  <c r="B51" i="10"/>
  <c r="B19" i="72"/>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F63" i="71" s="1"/>
  <c r="Q63" i="71"/>
  <c r="D62" i="71"/>
  <c r="Q61" i="71"/>
  <c r="P61" i="71"/>
  <c r="O61" i="71"/>
  <c r="N61" i="71"/>
  <c r="Q60" i="71"/>
  <c r="P60" i="71"/>
  <c r="O60" i="71"/>
  <c r="N60" i="71"/>
  <c r="Q59" i="71"/>
  <c r="P59" i="71"/>
  <c r="O59" i="71"/>
  <c r="N59" i="71"/>
  <c r="Q58" i="71"/>
  <c r="F59" i="71"/>
  <c r="F60" i="71" s="1"/>
  <c r="F61" i="71"/>
  <c r="V61" i="71" s="1"/>
  <c r="P58" i="71"/>
  <c r="E59" i="71" s="1"/>
  <c r="O58" i="71"/>
  <c r="C59" i="71" s="1"/>
  <c r="N58" i="71"/>
  <c r="B59" i="71" s="1"/>
  <c r="B60" i="71"/>
  <c r="B61" i="71" s="1"/>
  <c r="S61" i="71" s="1"/>
  <c r="D58" i="71"/>
  <c r="Q57" i="71"/>
  <c r="P57" i="71"/>
  <c r="O57" i="71"/>
  <c r="N57" i="71"/>
  <c r="Q56" i="71"/>
  <c r="P56" i="71"/>
  <c r="O56" i="71"/>
  <c r="N56" i="71"/>
  <c r="Q55" i="71"/>
  <c r="P55" i="71"/>
  <c r="O55" i="71"/>
  <c r="N55" i="71"/>
  <c r="Q54" i="71"/>
  <c r="F55" i="71" s="1"/>
  <c r="F56" i="7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s="1"/>
  <c r="U45" i="71" s="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N38" i="71"/>
  <c r="B39" i="71"/>
  <c r="B40" i="71" s="1"/>
  <c r="B41" i="7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Y32" i="71" s="1"/>
  <c r="Z32" i="71" s="1"/>
  <c r="N32" i="71"/>
  <c r="Q31" i="71"/>
  <c r="AB31" i="71" s="1"/>
  <c r="P31" i="71"/>
  <c r="O31" i="71"/>
  <c r="Y31" i="71"/>
  <c r="Z31" i="71" s="1"/>
  <c r="N31" i="71"/>
  <c r="Q30" i="71"/>
  <c r="F31" i="71" s="1"/>
  <c r="F32" i="71" s="1"/>
  <c r="F33" i="71" s="1"/>
  <c r="V33" i="71" s="1"/>
  <c r="P30" i="71"/>
  <c r="O30" i="71"/>
  <c r="N30" i="71"/>
  <c r="D30" i="71"/>
  <c r="Q29" i="71"/>
  <c r="AB29" i="71" s="1"/>
  <c r="P29" i="71"/>
  <c r="O29" i="71"/>
  <c r="Y29" i="71"/>
  <c r="Z29" i="71" s="1"/>
  <c r="N29" i="71"/>
  <c r="Q28" i="71"/>
  <c r="AB28" i="71"/>
  <c r="P28" i="71"/>
  <c r="O28" i="71"/>
  <c r="Y28" i="71" s="1"/>
  <c r="Z28" i="71"/>
  <c r="N28" i="71"/>
  <c r="Q27" i="71"/>
  <c r="AB27" i="71" s="1"/>
  <c r="P27" i="71"/>
  <c r="O27" i="71"/>
  <c r="Y27" i="71"/>
  <c r="Z27" i="71" s="1"/>
  <c r="N27" i="71"/>
  <c r="Q26" i="71"/>
  <c r="F27" i="71" s="1"/>
  <c r="F28" i="71" s="1"/>
  <c r="F29" i="71" s="1"/>
  <c r="V29" i="71" s="1"/>
  <c r="P26" i="71"/>
  <c r="O26" i="71"/>
  <c r="N26" i="71"/>
  <c r="D26" i="71"/>
  <c r="O25" i="71"/>
  <c r="N25" i="71"/>
  <c r="B27" i="71"/>
  <c r="B28" i="71" s="1"/>
  <c r="B29" i="71" s="1"/>
  <c r="S29" i="71" s="1"/>
  <c r="X26" i="71"/>
  <c r="B31" i="71"/>
  <c r="B32" i="71" s="1"/>
  <c r="B33" i="71"/>
  <c r="S33" i="71" s="1"/>
  <c r="X30" i="71"/>
  <c r="E35" i="71"/>
  <c r="E36" i="71" s="1"/>
  <c r="E37" i="71" s="1"/>
  <c r="U37" i="71" s="1"/>
  <c r="AA34" i="71"/>
  <c r="N65" i="71"/>
  <c r="E31" i="71"/>
  <c r="E32" i="71" s="1"/>
  <c r="E33" i="71" s="1"/>
  <c r="U33" i="71" s="1"/>
  <c r="AA30" i="71"/>
  <c r="C27" i="71"/>
  <c r="Y26" i="71"/>
  <c r="Z26" i="71" s="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s="1"/>
  <c r="V49" i="71" s="1"/>
  <c r="C25" i="71"/>
  <c r="Y22" i="71"/>
  <c r="Z22" i="71" s="1"/>
  <c r="Y23" i="71"/>
  <c r="Z23" i="71" s="1"/>
  <c r="Y24" i="71"/>
  <c r="Z24" i="71" s="1"/>
  <c r="Y25" i="71"/>
  <c r="Z25" i="71" s="1"/>
  <c r="B25" i="71"/>
  <c r="B24" i="71" s="1"/>
  <c r="B23" i="71" s="1"/>
  <c r="X22" i="71"/>
  <c r="X23" i="71"/>
  <c r="X24" i="71"/>
  <c r="X25" i="71"/>
  <c r="C28" i="71"/>
  <c r="D27" i="71"/>
  <c r="D31" i="71"/>
  <c r="C36" i="71"/>
  <c r="D35" i="71"/>
  <c r="C40" i="71"/>
  <c r="D39" i="71"/>
  <c r="C44" i="71"/>
  <c r="D44" i="71" s="1"/>
  <c r="D43" i="71"/>
  <c r="C48" i="71"/>
  <c r="D47" i="71"/>
  <c r="P25" i="71"/>
  <c r="E52" i="71"/>
  <c r="E53" i="71" s="1"/>
  <c r="U53" i="71" s="1"/>
  <c r="E56" i="71"/>
  <c r="E57" i="71"/>
  <c r="U57" i="71" s="1"/>
  <c r="E60" i="71"/>
  <c r="E61" i="71" s="1"/>
  <c r="U61" i="71" s="1"/>
  <c r="Q62" i="71"/>
  <c r="U65" i="71"/>
  <c r="E64" i="71"/>
  <c r="Q25" i="71"/>
  <c r="AB22" i="71" s="1"/>
  <c r="C52" i="71"/>
  <c r="D51" i="71"/>
  <c r="C56" i="71"/>
  <c r="D55" i="71"/>
  <c r="C60" i="71"/>
  <c r="D59" i="71"/>
  <c r="Q64" i="71"/>
  <c r="T65" i="71"/>
  <c r="O65" i="71"/>
  <c r="D65" i="71"/>
  <c r="C64" i="71"/>
  <c r="Q65" i="71"/>
  <c r="C68" i="71"/>
  <c r="E68" i="71"/>
  <c r="E67" i="71" s="1"/>
  <c r="D69" i="71"/>
  <c r="C72" i="71"/>
  <c r="E72" i="71"/>
  <c r="E71" i="71" s="1"/>
  <c r="D73" i="71"/>
  <c r="C76" i="71"/>
  <c r="E76" i="71"/>
  <c r="E75" i="71" s="1"/>
  <c r="D77" i="71"/>
  <c r="C80" i="71"/>
  <c r="C84" i="71"/>
  <c r="T25" i="71"/>
  <c r="C24" i="71"/>
  <c r="S25" i="71"/>
  <c r="F25" i="71"/>
  <c r="F24" i="71" s="1"/>
  <c r="F23" i="71" s="1"/>
  <c r="AB23" i="71"/>
  <c r="AB25" i="71"/>
  <c r="E25" i="71"/>
  <c r="E24" i="71"/>
  <c r="E23" i="71" s="1"/>
  <c r="AA3" i="71"/>
  <c r="AA22" i="71"/>
  <c r="AA23" i="71"/>
  <c r="AA24" i="71"/>
  <c r="AA25" i="71"/>
  <c r="D25" i="71"/>
  <c r="U25" i="71"/>
  <c r="C63" i="71"/>
  <c r="O64" i="71"/>
  <c r="D64" i="71"/>
  <c r="C61" i="71"/>
  <c r="D61" i="71" s="1"/>
  <c r="D60" i="71"/>
  <c r="D80" i="71"/>
  <c r="C79" i="71"/>
  <c r="D79" i="71"/>
  <c r="D72" i="71"/>
  <c r="C71" i="71"/>
  <c r="D71" i="71" s="1"/>
  <c r="D84" i="71"/>
  <c r="C83" i="71"/>
  <c r="D83" i="71"/>
  <c r="D76" i="71"/>
  <c r="C75" i="71"/>
  <c r="D75" i="71" s="1"/>
  <c r="D68" i="71"/>
  <c r="C67" i="71"/>
  <c r="D67" i="71"/>
  <c r="C57" i="71"/>
  <c r="D56" i="71"/>
  <c r="C53" i="71"/>
  <c r="D52" i="71"/>
  <c r="P64" i="71"/>
  <c r="E63" i="71"/>
  <c r="P62" i="71" s="1"/>
  <c r="C49" i="71"/>
  <c r="D48" i="71"/>
  <c r="C41" i="71"/>
  <c r="D40" i="71"/>
  <c r="C37" i="71"/>
  <c r="D36" i="71"/>
  <c r="C33" i="71"/>
  <c r="D32" i="71"/>
  <c r="C29" i="71"/>
  <c r="D28" i="71"/>
  <c r="C23" i="71"/>
  <c r="D23" i="71"/>
  <c r="D24" i="71"/>
  <c r="V25" i="71"/>
  <c r="P63" i="71"/>
  <c r="O63" i="71"/>
  <c r="D63" i="71"/>
  <c r="O62" i="71"/>
  <c r="T29" i="71"/>
  <c r="D29" i="71"/>
  <c r="T33" i="71"/>
  <c r="D33" i="71"/>
  <c r="T37" i="71"/>
  <c r="D37" i="71"/>
  <c r="T41" i="71"/>
  <c r="D41" i="71"/>
  <c r="T49" i="71"/>
  <c r="D49" i="71"/>
  <c r="T53" i="71"/>
  <c r="D53" i="71"/>
  <c r="T57" i="71"/>
  <c r="D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W18" i="36"/>
  <c r="AB21" i="37"/>
  <c r="U21" i="37"/>
  <c r="S21" i="37"/>
  <c r="U21" i="34"/>
  <c r="AB21" i="33"/>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W21" i="37"/>
  <c r="W21" i="34"/>
  <c r="W21" i="33"/>
  <c r="U21" i="21"/>
  <c r="J21" i="21"/>
  <c r="W21" i="21" s="1"/>
  <c r="C40" i="69"/>
  <c r="F38" i="68"/>
  <c r="E37" i="68"/>
  <c r="F36" i="68"/>
  <c r="F35" i="68"/>
  <c r="F21" i="68"/>
  <c r="F40" i="68" s="1"/>
  <c r="F20" i="68"/>
  <c r="F39" i="68" s="1"/>
  <c r="E10" i="68"/>
  <c r="E9" i="68"/>
  <c r="C7"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s="1"/>
  <c r="H103" i="37"/>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s="1"/>
  <c r="F27" i="39"/>
  <c r="F11" i="21"/>
  <c r="S11" i="21" s="1"/>
  <c r="S40" i="21"/>
  <c r="U34" i="21"/>
  <c r="S34" i="21"/>
  <c r="C25" i="39"/>
  <c r="C27" i="39"/>
  <c r="C21" i="39"/>
  <c r="H11" i="39"/>
  <c r="U11" i="39" s="1"/>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s="1"/>
  <c r="H15" i="39"/>
  <c r="U15" i="39" s="1"/>
  <c r="J15" i="39"/>
  <c r="W15" i="39" s="1"/>
  <c r="H41" i="39"/>
  <c r="AB41" i="39" s="1"/>
  <c r="U40" i="39"/>
  <c r="S42" i="39"/>
  <c r="W9" i="39"/>
  <c r="W8" i="39"/>
  <c r="J19" i="40"/>
  <c r="AC19" i="40"/>
  <c r="J50" i="40"/>
  <c r="B54" i="72"/>
  <c r="H103" i="9"/>
  <c r="D8" i="53" s="1"/>
  <c r="B16" i="53"/>
  <c r="B33" i="72" s="1"/>
  <c r="C7" i="37"/>
  <c r="C7" i="34"/>
  <c r="C7" i="36"/>
  <c r="W35" i="40"/>
  <c r="A118" i="9"/>
  <c r="A4" i="52"/>
  <c r="B41" i="72"/>
  <c r="F11" i="39"/>
  <c r="AA11" i="39" s="1"/>
  <c r="A12" i="52"/>
  <c r="B56" i="72" s="1"/>
  <c r="G4" i="4"/>
  <c r="I4" i="4"/>
  <c r="A2" i="9"/>
  <c r="F59" i="43"/>
  <c r="H62" i="43" s="1"/>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E8" i="6"/>
  <c r="G509" i="3"/>
  <c r="BL493" i="3"/>
  <c r="AZ493" i="3" s="1"/>
  <c r="AZ491" i="3"/>
  <c r="AZ376" i="3"/>
  <c r="AZ382"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AE9" i="1"/>
  <c r="E15" i="6"/>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AZ80" i="3"/>
  <c r="AZ84" i="3"/>
  <c r="AZ88" i="3"/>
  <c r="AZ107" i="3"/>
  <c r="AZ111" i="3"/>
  <c r="K12" i="1"/>
  <c r="M12" i="1" s="1"/>
  <c r="O12" i="1" s="1"/>
  <c r="P12" i="1" s="1"/>
  <c r="S13" i="1"/>
  <c r="AR13" i="1" s="1"/>
  <c r="R13" i="1"/>
  <c r="S11" i="1"/>
  <c r="AQ11" i="1" s="1"/>
  <c r="R11" i="1"/>
  <c r="S9" i="1"/>
  <c r="R9" i="1"/>
  <c r="J51" i="67"/>
  <c r="C42" i="1"/>
  <c r="H100" i="43"/>
  <c r="AC34" i="33"/>
  <c r="AA34" i="33"/>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c r="F34" i="67"/>
  <c r="F62" i="67"/>
  <c r="M20" i="67"/>
  <c r="F34" i="15"/>
  <c r="F62" i="15" s="1"/>
  <c r="BA13" i="3"/>
  <c r="AZ13" i="3" s="1"/>
  <c r="BL17" i="3"/>
  <c r="AZ17" i="3"/>
  <c r="BL13" i="3"/>
  <c r="G30" i="6"/>
  <c r="G31" i="6" s="1"/>
  <c r="J56" i="9"/>
  <c r="J57" i="9" s="1"/>
  <c r="J59" i="9" s="1"/>
  <c r="J61" i="9" s="1"/>
  <c r="A24" i="51"/>
  <c r="B18" i="72" s="1"/>
  <c r="U29" i="34"/>
  <c r="E14" i="6"/>
  <c r="E5" i="6"/>
  <c r="D9" i="11" s="1"/>
  <c r="C9" i="11" s="1"/>
  <c r="P10" i="1"/>
  <c r="E32" i="6"/>
  <c r="L19" i="6"/>
  <c r="L27" i="6" s="1"/>
  <c r="G1" i="68"/>
  <c r="K1" i="12"/>
  <c r="E28" i="6"/>
  <c r="AR12" i="1"/>
  <c r="E19" i="69"/>
  <c r="E19" i="68"/>
  <c r="E19" i="11"/>
  <c r="E1" i="73"/>
  <c r="G22" i="69"/>
  <c r="G22" i="68"/>
  <c r="G26" i="12"/>
  <c r="G22" i="11"/>
  <c r="C100" i="43"/>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56" i="39"/>
  <c r="B6" i="1"/>
  <c r="E6" i="1" s="1"/>
  <c r="S8" i="1"/>
  <c r="AR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41" i="39"/>
  <c r="AC25" i="39"/>
  <c r="U13" i="39"/>
  <c r="AB13" i="39"/>
  <c r="AA13" i="39"/>
  <c r="S13" i="39"/>
  <c r="S14" i="39"/>
  <c r="AA14" i="39"/>
  <c r="U43" i="39"/>
  <c r="AB43" i="39"/>
  <c r="AB11" i="39"/>
  <c r="AA27" i="39"/>
  <c r="S27" i="39"/>
  <c r="AC17" i="39"/>
  <c r="W31" i="39"/>
  <c r="AC31" i="39"/>
  <c r="S23" i="39"/>
  <c r="AA45" i="39"/>
  <c r="AB39"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T11" i="1"/>
  <c r="D19" i="12"/>
  <c r="C19" i="12" s="1"/>
  <c r="AQ9" i="1"/>
  <c r="S7" i="1"/>
  <c r="T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K14" i="1"/>
  <c r="M14" i="1" s="1"/>
  <c r="O14" i="1" s="1"/>
  <c r="BL5" i="3"/>
  <c r="R22" i="31"/>
  <c r="AP7" i="1"/>
  <c r="AB45" i="21"/>
  <c r="AC33" i="21"/>
  <c r="W33" i="21"/>
  <c r="S33" i="21"/>
  <c r="AA33" i="21"/>
  <c r="W32" i="21"/>
  <c r="AC32" i="21"/>
  <c r="AB9" i="21"/>
  <c r="U9" i="21"/>
  <c r="AA32" i="21"/>
  <c r="S32" i="21"/>
  <c r="W9" i="21"/>
  <c r="AC9" i="21"/>
  <c r="AB32" i="21"/>
  <c r="U32" i="21"/>
  <c r="AA10" i="21"/>
  <c r="S10" i="21"/>
  <c r="E6" i="70"/>
  <c r="U32" i="39"/>
  <c r="AC32" i="39"/>
  <c r="W32" i="39"/>
  <c r="AC19" i="37"/>
  <c r="W23" i="37"/>
  <c r="AC23" i="37"/>
  <c r="U11" i="37"/>
  <c r="H63" i="37"/>
  <c r="I63" i="37"/>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U19" i="33"/>
  <c r="S17" i="33"/>
  <c r="U17" i="33"/>
  <c r="AB17" i="33"/>
  <c r="U23" i="21"/>
  <c r="AB23" i="21"/>
  <c r="W23" i="21"/>
  <c r="AC11" i="37"/>
  <c r="W11" i="37"/>
  <c r="W11" i="34"/>
  <c r="AC11" i="34"/>
  <c r="R7" i="1"/>
  <c r="F34" i="11"/>
  <c r="C36" i="11" s="1"/>
  <c r="F11" i="12"/>
  <c r="C23" i="12" s="1"/>
  <c r="F34" i="68"/>
  <c r="R8" i="1"/>
  <c r="AE7" i="1"/>
  <c r="AE8" i="1"/>
  <c r="AG6" i="1"/>
  <c r="H109" i="9"/>
  <c r="M49" i="9"/>
  <c r="L68" i="9" s="1"/>
  <c r="M68" i="9" s="1"/>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AB19" i="71"/>
  <c r="X17" i="71"/>
  <c r="X16" i="71"/>
  <c r="AA17" i="71"/>
  <c r="AA16" i="71"/>
  <c r="X20" i="71"/>
  <c r="Y16" i="71"/>
  <c r="Z16" i="71" s="1"/>
  <c r="AB17" i="71"/>
  <c r="AB16" i="71"/>
  <c r="C94" i="9"/>
  <c r="C92" i="9"/>
  <c r="F18" i="71"/>
  <c r="F17" i="71" s="1"/>
  <c r="F16" i="71" s="1"/>
  <c r="F15" i="71" s="1"/>
  <c r="F14" i="71" s="1"/>
  <c r="Y17" i="71"/>
  <c r="Z17" i="71" s="1"/>
  <c r="X3" i="71"/>
  <c r="E18" i="71"/>
  <c r="E17" i="71"/>
  <c r="E16" i="71" s="1"/>
  <c r="E15" i="71" s="1"/>
  <c r="E14" i="71" s="1"/>
  <c r="E13" i="71" s="1"/>
  <c r="G20" i="43"/>
  <c r="C20" i="43" s="1"/>
  <c r="V17" i="71"/>
  <c r="I59" i="34"/>
  <c r="J59" i="34" s="1"/>
  <c r="AO12" i="1"/>
  <c r="C76" i="67"/>
  <c r="D2" i="33"/>
  <c r="M24" i="67"/>
  <c r="M9" i="67"/>
  <c r="M29" i="67"/>
  <c r="D2" i="21"/>
  <c r="F38" i="67"/>
  <c r="F35" i="67"/>
  <c r="M23" i="15"/>
  <c r="F16" i="15"/>
  <c r="M6" i="67"/>
  <c r="L48" i="67"/>
  <c r="AO7" i="1"/>
  <c r="B9" i="76"/>
  <c r="M21" i="67"/>
  <c r="E10" i="76"/>
  <c r="M27" i="67"/>
  <c r="F42" i="67"/>
  <c r="M24" i="15"/>
  <c r="D2" i="35"/>
  <c r="F5" i="73"/>
  <c r="AO13" i="1"/>
  <c r="F13" i="15"/>
  <c r="F36" i="67"/>
  <c r="M29" i="15"/>
  <c r="F8" i="67"/>
  <c r="AO10" i="1"/>
  <c r="C76" i="15"/>
  <c r="D3" i="73"/>
  <c r="J15" i="15"/>
  <c r="M8" i="67"/>
  <c r="B13" i="76"/>
  <c r="J15" i="67"/>
  <c r="M27" i="15"/>
  <c r="M6" i="15"/>
  <c r="F38" i="15"/>
  <c r="M26" i="15"/>
  <c r="M22" i="67"/>
  <c r="D5" i="73"/>
  <c r="F7" i="67"/>
  <c r="F3" i="73"/>
  <c r="L47" i="67"/>
  <c r="F37" i="15"/>
  <c r="F37" i="67"/>
  <c r="F43" i="67"/>
  <c r="F9" i="15"/>
  <c r="E8" i="76"/>
  <c r="F7" i="15"/>
  <c r="M28" i="67"/>
  <c r="L48" i="15"/>
  <c r="F7" i="73"/>
  <c r="F6" i="73"/>
  <c r="M9" i="15"/>
  <c r="D4" i="73"/>
  <c r="D7" i="73"/>
  <c r="AO11" i="1"/>
  <c r="M22" i="15"/>
  <c r="F13" i="67"/>
  <c r="F4" i="73"/>
  <c r="B8" i="76"/>
  <c r="E2" i="69"/>
  <c r="D6" i="73"/>
  <c r="M26" i="67"/>
  <c r="F40" i="67"/>
  <c r="M23" i="67"/>
  <c r="E12" i="76"/>
  <c r="AO8" i="1"/>
  <c r="D2" i="34"/>
  <c r="F41" i="67"/>
  <c r="M8" i="15"/>
  <c r="E13" i="76"/>
  <c r="F26" i="15"/>
  <c r="M28" i="15"/>
  <c r="F6" i="67"/>
  <c r="F9" i="67"/>
  <c r="L47" i="15"/>
  <c r="F40" i="15"/>
  <c r="F42" i="15"/>
  <c r="B12" i="76"/>
  <c r="B10" i="76"/>
  <c r="D2" i="37"/>
  <c r="D2" i="36"/>
  <c r="E2" i="68"/>
  <c r="F20" i="31"/>
  <c r="F36" i="15"/>
  <c r="F26" i="67"/>
  <c r="B11" i="76"/>
  <c r="AO9" i="1"/>
  <c r="F6" i="15"/>
  <c r="F16" i="67"/>
  <c r="F43" i="15"/>
  <c r="B7" i="76"/>
  <c r="E11" i="76"/>
  <c r="E7" i="76"/>
  <c r="F8" i="15"/>
  <c r="E9" i="76"/>
  <c r="AC41" i="39" l="1"/>
  <c r="AA41" i="39"/>
  <c r="W40" i="39"/>
  <c r="W34" i="39"/>
  <c r="S34" i="39"/>
  <c r="AB34" i="39"/>
  <c r="U29" i="39"/>
  <c r="W29" i="39"/>
  <c r="W27" i="39"/>
  <c r="J11" i="39"/>
  <c r="S17" i="39"/>
  <c r="S11" i="39"/>
  <c r="P61" i="15"/>
  <c r="B41" i="1"/>
  <c r="F53" i="9" s="1"/>
  <c r="D93" i="9"/>
  <c r="C21" i="69"/>
  <c r="D22" i="67"/>
  <c r="AQ8" i="1"/>
  <c r="T10" i="1"/>
  <c r="T12" i="1"/>
  <c r="AR7" i="1"/>
  <c r="AQ7" i="1"/>
  <c r="H5" i="3"/>
  <c r="G13" i="3"/>
  <c r="E63" i="39"/>
  <c r="E59" i="40"/>
  <c r="BA5" i="3"/>
  <c r="AR9" i="1"/>
  <c r="T9" i="1"/>
  <c r="E60" i="40"/>
  <c r="E64" i="39"/>
  <c r="F27" i="6"/>
  <c r="E51" i="40"/>
  <c r="E10" i="6"/>
  <c r="E11" i="6"/>
  <c r="E60" i="39" s="1"/>
  <c r="H16" i="1"/>
  <c r="C36" i="69"/>
  <c r="T8" i="1"/>
  <c r="E2" i="70"/>
  <c r="D9" i="68"/>
  <c r="C9" i="68" s="1"/>
  <c r="Q16" i="1"/>
  <c r="F27" i="11" s="1"/>
  <c r="T13" i="1"/>
  <c r="AR11" i="1"/>
  <c r="C34" i="69"/>
  <c r="C35" i="69" s="1"/>
  <c r="AR10" i="1"/>
  <c r="E57" i="40"/>
  <c r="E61" i="39"/>
  <c r="O8" i="1"/>
  <c r="P8" i="1" s="1"/>
  <c r="M16" i="1"/>
  <c r="L16" i="1" s="1"/>
  <c r="P7" i="1"/>
  <c r="D9" i="69"/>
  <c r="C9" i="69" s="1"/>
  <c r="E13" i="6"/>
  <c r="F22" i="43"/>
  <c r="K101" i="43"/>
  <c r="F101" i="43"/>
  <c r="N101" i="43"/>
  <c r="E22" i="43"/>
  <c r="C101" i="43"/>
  <c r="N104" i="46"/>
  <c r="L101" i="43"/>
  <c r="D101" i="43"/>
  <c r="M101" i="43"/>
  <c r="I101" i="43"/>
  <c r="E101" i="43"/>
  <c r="AF11" i="43"/>
  <c r="AB11" i="43"/>
  <c r="AB13" i="43" s="1"/>
  <c r="Z11" i="43"/>
  <c r="AE11" i="43"/>
  <c r="AE13" i="43" s="1"/>
  <c r="AC11" i="43"/>
  <c r="J22" i="43"/>
  <c r="B113" i="43"/>
  <c r="G101" i="43"/>
  <c r="J101" i="43"/>
  <c r="H22" i="43"/>
  <c r="H101" i="43"/>
  <c r="G22" i="43"/>
  <c r="AJ11" i="43"/>
  <c r="AJ13" i="43" s="1"/>
  <c r="AH11" i="43"/>
  <c r="AD11" i="43"/>
  <c r="Z7" i="43"/>
  <c r="AI11" i="43"/>
  <c r="AI13" i="43" s="1"/>
  <c r="AG11" i="43"/>
  <c r="AA11" i="43"/>
  <c r="AA13" i="43" s="1"/>
  <c r="Y11" i="43"/>
  <c r="Y13" i="43" s="1"/>
  <c r="C69" i="39"/>
  <c r="D67" i="39"/>
  <c r="D69" i="39" s="1"/>
  <c r="E12" i="71"/>
  <c r="E11" i="71" s="1"/>
  <c r="E10" i="71" s="1"/>
  <c r="E9" i="71" s="1"/>
  <c r="V13" i="71"/>
  <c r="O9" i="1"/>
  <c r="F30" i="6"/>
  <c r="E29" i="6"/>
  <c r="D12" i="52"/>
  <c r="D127" i="9"/>
  <c r="D13" i="52" s="1"/>
  <c r="L67" i="9"/>
  <c r="M67" i="9" s="1"/>
  <c r="L63" i="9"/>
  <c r="M63" i="9" s="1"/>
  <c r="M69" i="9" s="1"/>
  <c r="N69" i="9" s="1"/>
  <c r="L64" i="9"/>
  <c r="M64" i="9" s="1"/>
  <c r="L66" i="9"/>
  <c r="M66" i="9" s="1"/>
  <c r="L65" i="9"/>
  <c r="M65" i="9" s="1"/>
  <c r="P14" i="1"/>
  <c r="AZ521" i="3"/>
  <c r="S32" i="37"/>
  <c r="S27" i="36"/>
  <c r="D117" i="43"/>
  <c r="E117" i="43" s="1"/>
  <c r="F117" i="43" s="1"/>
  <c r="G117" i="43" s="1"/>
  <c r="H117" i="43" s="1"/>
  <c r="AA39" i="34"/>
  <c r="AC34" i="35"/>
  <c r="W34" i="35"/>
  <c r="AZ398" i="3"/>
  <c r="AZ405" i="3"/>
  <c r="AZ407" i="3"/>
  <c r="AZ410" i="3"/>
  <c r="AZ415" i="3"/>
  <c r="AZ480" i="3"/>
  <c r="K5" i="4"/>
  <c r="B47" i="48" s="1"/>
  <c r="AA14" i="37"/>
  <c r="AA14" i="33"/>
  <c r="AA44" i="33"/>
  <c r="AZ424" i="3"/>
  <c r="AZ429" i="3"/>
  <c r="AZ439" i="3"/>
  <c r="AZ444" i="3"/>
  <c r="AZ448" i="3"/>
  <c r="AZ452" i="3"/>
  <c r="AZ461" i="3"/>
  <c r="AZ463" i="3"/>
  <c r="AZ468" i="3"/>
  <c r="AZ470" i="3"/>
  <c r="AZ476" i="3"/>
  <c r="AZ478" i="3"/>
  <c r="AZ484" i="3"/>
  <c r="H9" i="34"/>
  <c r="F34" i="35"/>
  <c r="H34" i="35"/>
  <c r="J36" i="35"/>
  <c r="AZ247" i="3"/>
  <c r="AZ485" i="3"/>
  <c r="AZ385" i="3"/>
  <c r="AZ210" i="3"/>
  <c r="AZ225" i="3"/>
  <c r="AZ239" i="3"/>
  <c r="AZ255" i="3"/>
  <c r="AZ264" i="3"/>
  <c r="AZ282" i="3"/>
  <c r="AZ285" i="3"/>
  <c r="AZ290" i="3"/>
  <c r="AZ293" i="3"/>
  <c r="AZ153" i="3"/>
  <c r="AZ169" i="3"/>
  <c r="AZ185" i="3"/>
  <c r="AZ201" i="3"/>
  <c r="AZ207" i="3"/>
  <c r="AZ25" i="3"/>
  <c r="AZ5" i="3" s="1"/>
  <c r="AZ30" i="3"/>
  <c r="AZ36" i="3"/>
  <c r="AZ40" i="3"/>
  <c r="AZ46" i="3"/>
  <c r="AZ49" i="3"/>
  <c r="AZ62" i="3"/>
  <c r="AZ65" i="3"/>
  <c r="AZ76" i="3"/>
  <c r="AZ81" i="3"/>
  <c r="AZ90" i="3"/>
  <c r="AZ96" i="3"/>
  <c r="AZ112" i="3"/>
  <c r="F3" i="35"/>
  <c r="M100" i="43"/>
  <c r="I100" i="43"/>
  <c r="E100" i="43"/>
  <c r="D100" i="43"/>
  <c r="C40" i="68"/>
  <c r="C21" i="68"/>
  <c r="U18" i="36"/>
  <c r="E27" i="71"/>
  <c r="E28" i="71" s="1"/>
  <c r="E29" i="71" s="1"/>
  <c r="U29" i="71" s="1"/>
  <c r="AA26" i="71"/>
  <c r="B35" i="71"/>
  <c r="B36" i="71" s="1"/>
  <c r="B37" i="71" s="1"/>
  <c r="S37" i="71" s="1"/>
  <c r="X34" i="71"/>
  <c r="AB7" i="71"/>
  <c r="AB6" i="71"/>
  <c r="AB36" i="71"/>
  <c r="S65" i="71"/>
  <c r="B64" i="71"/>
  <c r="Z12" i="43"/>
  <c r="Z13" i="43" s="1"/>
  <c r="Z10" i="43"/>
  <c r="AD12" i="43"/>
  <c r="AD10" i="43"/>
  <c r="AF12" i="43"/>
  <c r="AF13" i="43" s="1"/>
  <c r="AF10" i="43"/>
  <c r="AH12" i="43"/>
  <c r="AH13" i="43" s="1"/>
  <c r="AH10" i="43"/>
  <c r="X5" i="71"/>
  <c r="AB5" i="71"/>
  <c r="AA5" i="71"/>
  <c r="Y5" i="71"/>
  <c r="Z5" i="71" s="1"/>
  <c r="AB24" i="71"/>
  <c r="X6" i="71"/>
  <c r="X7" i="71"/>
  <c r="X36" i="71"/>
  <c r="AJ10" i="43"/>
  <c r="Y18" i="71"/>
  <c r="Z18" i="71" s="1"/>
  <c r="AB18" i="71"/>
  <c r="AA18" i="71"/>
  <c r="X15" i="71"/>
  <c r="AA15" i="71"/>
  <c r="AB15" i="71"/>
  <c r="X11" i="71"/>
  <c r="AA9" i="71"/>
  <c r="X14" i="71"/>
  <c r="AA14" i="71"/>
  <c r="Y6" i="71"/>
  <c r="Z6" i="71" s="1"/>
  <c r="Y7" i="71"/>
  <c r="Z7" i="71" s="1"/>
  <c r="AA6" i="71"/>
  <c r="AA7" i="71"/>
  <c r="AC12" i="43"/>
  <c r="AC13" i="43" s="1"/>
  <c r="AC10" i="43"/>
  <c r="AG12" i="43"/>
  <c r="AG10" i="43"/>
  <c r="X21" i="71"/>
  <c r="Y21" i="71"/>
  <c r="Z21" i="71" s="1"/>
  <c r="AA19" i="71"/>
  <c r="X18" i="71"/>
  <c r="Y15" i="71"/>
  <c r="Z15" i="71" s="1"/>
  <c r="Y11" i="71"/>
  <c r="Z11" i="71" s="1"/>
  <c r="Y14" i="71"/>
  <c r="Z14" i="71" s="1"/>
  <c r="AB8" i="71"/>
  <c r="AA21" i="71"/>
  <c r="AB21" i="71"/>
  <c r="B21" i="71"/>
  <c r="C21" i="71"/>
  <c r="Y20" i="71"/>
  <c r="Z20" i="71" s="1"/>
  <c r="Y19" i="71"/>
  <c r="Z19" i="71" s="1"/>
  <c r="AA20" i="71"/>
  <c r="AB20" i="71"/>
  <c r="X19" i="71"/>
  <c r="AB12" i="71"/>
  <c r="AB14" i="71"/>
  <c r="AB9" i="71"/>
  <c r="AB11" i="71"/>
  <c r="AA10" i="71"/>
  <c r="X8" i="71"/>
  <c r="Y9" i="71"/>
  <c r="Z9" i="71" s="1"/>
  <c r="Y10" i="71"/>
  <c r="Z10" i="71" s="1"/>
  <c r="X12" i="71"/>
  <c r="AA12" i="71"/>
  <c r="AB10" i="71"/>
  <c r="AA8" i="71"/>
  <c r="AA11" i="71"/>
  <c r="X9" i="71"/>
  <c r="X10" i="71"/>
  <c r="Y8" i="71"/>
  <c r="Z8" i="71" s="1"/>
  <c r="E41" i="43"/>
  <c r="C41" i="43" s="1"/>
  <c r="E67" i="39"/>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C14" i="67"/>
  <c r="C17" i="15"/>
  <c r="C16" i="15"/>
  <c r="C17" i="67"/>
  <c r="C16" i="67"/>
  <c r="G1" i="73"/>
  <c r="W11" i="39" l="1"/>
  <c r="AC11" i="39"/>
  <c r="F48" i="9"/>
  <c r="O52" i="9" s="1"/>
  <c r="F30" i="68"/>
  <c r="F52" i="9"/>
  <c r="F32" i="67"/>
  <c r="F60" i="67" s="1"/>
  <c r="F32" i="15"/>
  <c r="F60" i="15" s="1"/>
  <c r="F28" i="15"/>
  <c r="C28" i="15" s="1"/>
  <c r="F54" i="9"/>
  <c r="F30" i="11"/>
  <c r="F31" i="12"/>
  <c r="C31" i="12" s="1"/>
  <c r="M18" i="67"/>
  <c r="J18" i="67" s="1"/>
  <c r="F30" i="69"/>
  <c r="M18" i="15"/>
  <c r="J18" i="15" s="1"/>
  <c r="D68" i="9"/>
  <c r="F28" i="67"/>
  <c r="C28" i="67" s="1"/>
  <c r="O16" i="1"/>
  <c r="E16" i="6"/>
  <c r="E56" i="40"/>
  <c r="D22" i="43"/>
  <c r="G5" i="3"/>
  <c r="B3" i="3" s="1"/>
  <c r="E13" i="3" s="1"/>
  <c r="F31" i="6"/>
  <c r="F27" i="68"/>
  <c r="C29" i="68" s="1"/>
  <c r="D27" i="68" s="1"/>
  <c r="E27" i="6"/>
  <c r="C38" i="69"/>
  <c r="C18" i="15"/>
  <c r="C15" i="15"/>
  <c r="F27" i="69"/>
  <c r="F28" i="12"/>
  <c r="C29" i="12" s="1"/>
  <c r="D28" i="12" s="1"/>
  <c r="AG13" i="43"/>
  <c r="C47" i="11"/>
  <c r="D45" i="11" s="1"/>
  <c r="C29" i="11"/>
  <c r="D27" i="11" s="1"/>
  <c r="C34" i="68"/>
  <c r="E58" i="40"/>
  <c r="E62" i="39"/>
  <c r="E65" i="39" s="1"/>
  <c r="C34" i="11"/>
  <c r="N16" i="1"/>
  <c r="AD13" i="43"/>
  <c r="H102" i="43"/>
  <c r="H103" i="43"/>
  <c r="H104" i="43"/>
  <c r="H107" i="43"/>
  <c r="H106" i="43"/>
  <c r="H105" i="43"/>
  <c r="H109" i="43"/>
  <c r="J104" i="43"/>
  <c r="J107" i="43"/>
  <c r="J102" i="43"/>
  <c r="J106" i="43"/>
  <c r="J109" i="43"/>
  <c r="J105" i="43"/>
  <c r="J103" i="43"/>
  <c r="B115" i="43"/>
  <c r="I115" i="43"/>
  <c r="J115" i="43" s="1"/>
  <c r="K115" i="43" s="1"/>
  <c r="L115" i="43" s="1"/>
  <c r="M115" i="43" s="1"/>
  <c r="D118" i="43"/>
  <c r="E118" i="43" s="1"/>
  <c r="F118" i="43" s="1"/>
  <c r="G118" i="43"/>
  <c r="H118" i="43" s="1"/>
  <c r="B118" i="43"/>
  <c r="C118" i="43" s="1"/>
  <c r="I116" i="43"/>
  <c r="J116" i="43" s="1"/>
  <c r="K116" i="43" s="1"/>
  <c r="L116" i="43" s="1"/>
  <c r="M116"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E102" i="43"/>
  <c r="E106" i="43"/>
  <c r="E103" i="43"/>
  <c r="E109" i="43"/>
  <c r="E104" i="43"/>
  <c r="E107" i="43"/>
  <c r="E105" i="43"/>
  <c r="M102" i="43"/>
  <c r="M106" i="43"/>
  <c r="M103" i="43"/>
  <c r="M109" i="43"/>
  <c r="M104" i="43"/>
  <c r="M107" i="43"/>
  <c r="M105" i="43"/>
  <c r="L109" i="43"/>
  <c r="L102" i="43"/>
  <c r="L105" i="43"/>
  <c r="L104" i="43"/>
  <c r="L106" i="43"/>
  <c r="L107" i="43"/>
  <c r="L103" i="43"/>
  <c r="C104" i="43"/>
  <c r="C106" i="43"/>
  <c r="C107" i="43"/>
  <c r="C103" i="43"/>
  <c r="C102" i="43"/>
  <c r="C105" i="43"/>
  <c r="C109" i="43"/>
  <c r="N105" i="43"/>
  <c r="N107" i="43"/>
  <c r="N109" i="43"/>
  <c r="N102" i="43"/>
  <c r="N103" i="43"/>
  <c r="N106" i="43"/>
  <c r="N104" i="43"/>
  <c r="K102" i="43"/>
  <c r="K106" i="43"/>
  <c r="K109" i="43"/>
  <c r="K103" i="43"/>
  <c r="K107" i="43"/>
  <c r="K104" i="43"/>
  <c r="K105" i="43"/>
  <c r="G105" i="43"/>
  <c r="G107" i="43"/>
  <c r="G104" i="43"/>
  <c r="G102" i="43"/>
  <c r="G103" i="43"/>
  <c r="G106" i="43"/>
  <c r="G109" i="43"/>
  <c r="I102" i="43"/>
  <c r="I106" i="43"/>
  <c r="I103" i="43"/>
  <c r="I109" i="43"/>
  <c r="I104" i="43"/>
  <c r="I107" i="43"/>
  <c r="I105" i="43"/>
  <c r="D103" i="43"/>
  <c r="D104" i="43"/>
  <c r="D107" i="43"/>
  <c r="D109" i="43"/>
  <c r="D105" i="43"/>
  <c r="D106" i="43"/>
  <c r="D102" i="43"/>
  <c r="F102" i="43"/>
  <c r="F103" i="43"/>
  <c r="F109" i="43"/>
  <c r="F104" i="43"/>
  <c r="F107" i="43"/>
  <c r="F106" i="43"/>
  <c r="F105" i="43"/>
  <c r="J10" i="40"/>
  <c r="AC10" i="40" s="1"/>
  <c r="H10" i="39"/>
  <c r="AB10" i="39" s="1"/>
  <c r="F10" i="40"/>
  <c r="S10" i="40" s="1"/>
  <c r="J10" i="39"/>
  <c r="AC10" i="39" s="1"/>
  <c r="H10" i="40"/>
  <c r="AB10" i="40" s="1"/>
  <c r="F7" i="36"/>
  <c r="J7" i="34"/>
  <c r="AY6" i="3"/>
  <c r="E3" i="6"/>
  <c r="J7" i="37"/>
  <c r="H7" i="36"/>
  <c r="H7" i="34"/>
  <c r="F7" i="34"/>
  <c r="C7" i="43"/>
  <c r="B20" i="71"/>
  <c r="B19" i="71" s="1"/>
  <c r="B18" i="71" s="1"/>
  <c r="B17" i="71" s="1"/>
  <c r="S21" i="71"/>
  <c r="N64" i="71"/>
  <c r="B63" i="71"/>
  <c r="AC36" i="35"/>
  <c r="W36" i="35"/>
  <c r="AA34" i="35"/>
  <c r="S34" i="35"/>
  <c r="E30" i="6"/>
  <c r="K15" i="1"/>
  <c r="K16" i="1" s="1"/>
  <c r="P9" i="1"/>
  <c r="P16" i="1" s="1"/>
  <c r="C11" i="12" s="1"/>
  <c r="C20" i="71"/>
  <c r="D21" i="71"/>
  <c r="U21" i="71" s="1"/>
  <c r="T21" i="71"/>
  <c r="AB34" i="35"/>
  <c r="U34" i="35"/>
  <c r="AB9" i="34"/>
  <c r="U9" i="34"/>
  <c r="E8" i="71"/>
  <c r="E7" i="71" s="1"/>
  <c r="E6" i="71" s="1"/>
  <c r="E5" i="71" s="1"/>
  <c r="V9"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Q60" i="67"/>
  <c r="Q73" i="67"/>
  <c r="M28" i="43"/>
  <c r="N28" i="43"/>
  <c r="O28" i="43"/>
  <c r="P28" i="43"/>
  <c r="M11" i="67"/>
  <c r="J10" i="67" s="1"/>
  <c r="J5" i="67" s="1"/>
  <c r="F11" i="15"/>
  <c r="M11" i="15"/>
  <c r="J10" i="15" s="1"/>
  <c r="J5" i="15" s="1"/>
  <c r="F11" i="67"/>
  <c r="F1" i="15"/>
  <c r="Q52" i="15"/>
  <c r="F1" i="67"/>
  <c r="Q52" i="67"/>
  <c r="Q60" i="15"/>
  <c r="Q73" i="15"/>
  <c r="Q61" i="67"/>
  <c r="Q74" i="67"/>
  <c r="Q74" i="15"/>
  <c r="Q61" i="15"/>
  <c r="AE6" i="1"/>
  <c r="C32" i="67" l="1"/>
  <c r="C32" i="15"/>
  <c r="C48" i="11"/>
  <c r="C30" i="11"/>
  <c r="F48" i="68"/>
  <c r="C30" i="68"/>
  <c r="C48" i="68"/>
  <c r="F48" i="69"/>
  <c r="C30" i="69"/>
  <c r="C48" i="69"/>
  <c r="W10" i="40"/>
  <c r="U10" i="40"/>
  <c r="E31" i="6"/>
  <c r="F45" i="68"/>
  <c r="C47" i="68"/>
  <c r="D45" i="68" s="1"/>
  <c r="K25" i="6"/>
  <c r="M25" i="6" s="1"/>
  <c r="I25" i="6" s="1"/>
  <c r="S25" i="6" s="1"/>
  <c r="K26" i="6"/>
  <c r="M26" i="6" s="1"/>
  <c r="I26" i="6" s="1"/>
  <c r="S26" i="6" s="1"/>
  <c r="K19" i="6"/>
  <c r="S6" i="1" s="1"/>
  <c r="K20" i="6"/>
  <c r="M20" i="6" s="1"/>
  <c r="I20" i="6" s="1"/>
  <c r="S20" i="6" s="1"/>
  <c r="K24" i="6"/>
  <c r="M24" i="6" s="1"/>
  <c r="I24" i="6" s="1"/>
  <c r="S24" i="6" s="1"/>
  <c r="K23" i="6"/>
  <c r="M23" i="6" s="1"/>
  <c r="I23" i="6" s="1"/>
  <c r="S23" i="6" s="1"/>
  <c r="K22" i="6"/>
  <c r="M22" i="6" s="1"/>
  <c r="I22" i="6" s="1"/>
  <c r="S22" i="6" s="1"/>
  <c r="K21" i="6"/>
  <c r="M21" i="6" s="1"/>
  <c r="I21" i="6" s="1"/>
  <c r="S21" i="6" s="1"/>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583" i="3"/>
  <c r="X6" i="3"/>
  <c r="E336" i="3"/>
  <c r="E246" i="3"/>
  <c r="E293" i="3"/>
  <c r="E390" i="3"/>
  <c r="S6" i="3"/>
  <c r="E523" i="3"/>
  <c r="E506" i="3"/>
  <c r="E418" i="3"/>
  <c r="E338" i="3"/>
  <c r="E321" i="3"/>
  <c r="E298" i="3"/>
  <c r="E169" i="3"/>
  <c r="E61" i="3"/>
  <c r="E290" i="3"/>
  <c r="E117" i="3"/>
  <c r="E149" i="3"/>
  <c r="E212" i="3"/>
  <c r="E167" i="3"/>
  <c r="E141" i="3"/>
  <c r="E330" i="3"/>
  <c r="Q6" i="3"/>
  <c r="E560" i="3"/>
  <c r="E437" i="3"/>
  <c r="E472" i="3"/>
  <c r="E481" i="3"/>
  <c r="E406" i="3"/>
  <c r="E424" i="3"/>
  <c r="E465" i="3"/>
  <c r="E344" i="3"/>
  <c r="E587" i="3"/>
  <c r="AE6" i="3"/>
  <c r="E577" i="3"/>
  <c r="E429" i="3"/>
  <c r="E468" i="3"/>
  <c r="E496"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47" i="3"/>
  <c r="AA6" i="3"/>
  <c r="E399" i="3"/>
  <c r="E280" i="3"/>
  <c r="E124" i="3"/>
  <c r="E270" i="3"/>
  <c r="E533" i="3"/>
  <c r="AR6" i="3"/>
  <c r="E561" i="3"/>
  <c r="E538" i="3"/>
  <c r="E439" i="3"/>
  <c r="E380" i="3"/>
  <c r="E231" i="3"/>
  <c r="E216" i="3"/>
  <c r="E185" i="3"/>
  <c r="E135" i="3"/>
  <c r="E161" i="3"/>
  <c r="E77" i="3"/>
  <c r="E253" i="3"/>
  <c r="E199" i="3"/>
  <c r="E313" i="3"/>
  <c r="E519" i="3"/>
  <c r="E532" i="3"/>
  <c r="E573" i="3"/>
  <c r="E529" i="3"/>
  <c r="E458" i="3"/>
  <c r="E474" i="3"/>
  <c r="E527" i="3"/>
  <c r="E438" i="3"/>
  <c r="E457" i="3"/>
  <c r="E288" i="3"/>
  <c r="E562" i="3"/>
  <c r="W6" i="3"/>
  <c r="E571" i="3"/>
  <c r="E537" i="3"/>
  <c r="E450" i="3"/>
  <c r="E471" i="3"/>
  <c r="E433" i="3"/>
  <c r="E454" i="3"/>
  <c r="E55" i="3"/>
  <c r="E72" i="3"/>
  <c r="E106" i="3"/>
  <c r="E54" i="3"/>
  <c r="E73" i="3"/>
  <c r="E111" i="3"/>
  <c r="E146" i="3"/>
  <c r="E168" i="3"/>
  <c r="E203" i="3"/>
  <c r="E150" i="3"/>
  <c r="E171" i="3"/>
  <c r="E208" i="3"/>
  <c r="E256" i="3"/>
  <c r="E279" i="3"/>
  <c r="E257" i="3"/>
  <c r="E274" i="3"/>
  <c r="E315" i="3"/>
  <c r="E357" i="3"/>
  <c r="E318" i="3"/>
  <c r="E14" i="3"/>
  <c r="E31" i="3"/>
  <c r="E93" i="3"/>
  <c r="E475" i="3"/>
  <c r="E214" i="3"/>
  <c r="E351" i="3"/>
  <c r="E394" i="3"/>
  <c r="E362" i="3"/>
  <c r="E580" i="3"/>
  <c r="E74" i="3"/>
  <c r="E32" i="3"/>
  <c r="E409" i="3"/>
  <c r="E15" i="3"/>
  <c r="E79" i="3"/>
  <c r="E100" i="3"/>
  <c r="E137" i="3"/>
  <c r="E234" i="3"/>
  <c r="E299" i="3"/>
  <c r="E325" i="3"/>
  <c r="AQ6" i="3"/>
  <c r="E36" i="3"/>
  <c r="E123" i="3"/>
  <c r="E289" i="3"/>
  <c r="E364" i="3"/>
  <c r="E20" i="3"/>
  <c r="E176" i="3"/>
  <c r="E265" i="3"/>
  <c r="E524" i="3"/>
  <c r="E75" i="3"/>
  <c r="E473" i="3"/>
  <c r="E455" i="3"/>
  <c r="E38" i="3"/>
  <c r="E170" i="3"/>
  <c r="E194" i="3"/>
  <c r="E219" i="3"/>
  <c r="E339" i="3"/>
  <c r="E392" i="3"/>
  <c r="E52" i="3"/>
  <c r="E112" i="3"/>
  <c r="E147" i="3"/>
  <c r="E340" i="3"/>
  <c r="E50" i="3"/>
  <c r="E62" i="3"/>
  <c r="E218" i="3"/>
  <c r="E365" i="3"/>
  <c r="E101" i="3"/>
  <c r="E53" i="3"/>
  <c r="E175" i="3"/>
  <c r="E319" i="3"/>
  <c r="E530" i="3"/>
  <c r="E501" i="3"/>
  <c r="E343" i="3"/>
  <c r="E153" i="3"/>
  <c r="E305" i="3"/>
  <c r="E426" i="3"/>
  <c r="E508" i="3"/>
  <c r="E328"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125" i="3"/>
  <c r="E366" i="3"/>
  <c r="E553" i="3"/>
  <c r="E282" i="3"/>
  <c r="N6" i="3"/>
  <c r="E69" i="3"/>
  <c r="E278" i="3"/>
  <c r="E563" i="3"/>
  <c r="E172" i="3"/>
  <c r="E445" i="3"/>
  <c r="E535" i="3"/>
  <c r="E509" i="3"/>
  <c r="E579" i="3"/>
  <c r="E431" i="3"/>
  <c r="E247" i="3"/>
  <c r="E201" i="3"/>
  <c r="E353" i="3"/>
  <c r="E495" i="3"/>
  <c r="AN6" i="3"/>
  <c r="E586" i="3"/>
  <c r="E402" i="3"/>
  <c r="E350" i="3"/>
  <c r="E303" i="3"/>
  <c r="E301" i="3"/>
  <c r="E159" i="3"/>
  <c r="E99" i="3"/>
  <c r="E228" i="3"/>
  <c r="E157" i="3"/>
  <c r="E85" i="3"/>
  <c r="E238" i="3"/>
  <c r="E116" i="3"/>
  <c r="E105" i="3"/>
  <c r="E379" i="3"/>
  <c r="E585" i="3"/>
  <c r="U6" i="3"/>
  <c r="E515" i="3"/>
  <c r="E411" i="3"/>
  <c r="E478" i="3"/>
  <c r="E548"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21" i="3"/>
  <c r="K6" i="3"/>
  <c r="E217" i="3"/>
  <c r="E526" i="3"/>
  <c r="E268" i="3"/>
  <c r="E322" i="3"/>
  <c r="AJ6" i="3"/>
  <c r="E114" i="3"/>
  <c r="E415" i="3"/>
  <c r="E395" i="3"/>
  <c r="E260" i="3"/>
  <c r="E550" i="3"/>
  <c r="E239" i="3"/>
  <c r="E516" i="3"/>
  <c r="E569" i="3"/>
  <c r="E396" i="3"/>
  <c r="E229" i="3"/>
  <c r="E151" i="3"/>
  <c r="E385" i="3"/>
  <c r="E518" i="3"/>
  <c r="AI6" i="3"/>
  <c r="E578" i="3"/>
  <c r="E423" i="3"/>
  <c r="E382" i="3"/>
  <c r="E263" i="3"/>
  <c r="E245" i="3"/>
  <c r="E191" i="3"/>
  <c r="E188" i="3"/>
  <c r="E181" i="3"/>
  <c r="E140" i="3"/>
  <c r="E223" i="3"/>
  <c r="E197" i="3"/>
  <c r="E173" i="3"/>
  <c r="E327" i="3"/>
  <c r="E576" i="3"/>
  <c r="Z6" i="3"/>
  <c r="AO6" i="3"/>
  <c r="E485"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46" i="3"/>
  <c r="E98" i="3"/>
  <c r="E138" i="3"/>
  <c r="E163" i="3"/>
  <c r="E209" i="3"/>
  <c r="E307" i="3"/>
  <c r="E354" i="3"/>
  <c r="E66" i="3"/>
  <c r="E48" i="3"/>
  <c r="E127" i="3"/>
  <c r="E284" i="3"/>
  <c r="Y6" i="3"/>
  <c r="E19" i="3"/>
  <c r="E179" i="3"/>
  <c r="E323" i="3"/>
  <c r="E82" i="3"/>
  <c r="AG6" i="3"/>
  <c r="E448"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7" i="3"/>
  <c r="E65" i="3"/>
  <c r="E195" i="3"/>
  <c r="E248" i="3"/>
  <c r="E266" i="3"/>
  <c r="E386" i="3"/>
  <c r="E584" i="3"/>
  <c r="E24" i="3"/>
  <c r="E87" i="3"/>
  <c r="E250" i="3"/>
  <c r="E341" i="3"/>
  <c r="E51" i="3"/>
  <c r="E154" i="3"/>
  <c r="E222" i="3"/>
  <c r="E373" i="3"/>
  <c r="AA10" i="40"/>
  <c r="C19" i="15"/>
  <c r="C20" i="15" s="1"/>
  <c r="C26" i="15" s="1"/>
  <c r="U10" i="39"/>
  <c r="F45" i="69"/>
  <c r="C47" i="69"/>
  <c r="D45" i="69" s="1"/>
  <c r="C29" i="69"/>
  <c r="D27" i="69" s="1"/>
  <c r="C38" i="11"/>
  <c r="C35" i="11"/>
  <c r="W10" i="39"/>
  <c r="F50" i="69"/>
  <c r="F50" i="68"/>
  <c r="F50" i="11"/>
  <c r="C35" i="68"/>
  <c r="C38" i="68"/>
  <c r="C115" i="43"/>
  <c r="D113" i="43" s="1"/>
  <c r="S6" i="43"/>
  <c r="T6" i="43" s="1"/>
  <c r="V6" i="43" s="1"/>
  <c r="S5" i="43"/>
  <c r="T5" i="43" s="1"/>
  <c r="V5" i="43" s="1"/>
  <c r="S3" i="43"/>
  <c r="T3" i="43" s="1"/>
  <c r="V3" i="43" s="1"/>
  <c r="S2" i="43"/>
  <c r="T2" i="43" s="1"/>
  <c r="V2" i="43" s="1"/>
  <c r="S4" i="43"/>
  <c r="T4" i="43" s="1"/>
  <c r="V4" i="43" s="1"/>
  <c r="C23" i="43"/>
  <c r="C21" i="43" s="1"/>
  <c r="C29" i="43" s="1"/>
  <c r="C30" i="43" s="1"/>
  <c r="E30" i="43" s="1"/>
  <c r="S7" i="43"/>
  <c r="T7" i="43" s="1"/>
  <c r="V7" i="43" s="1"/>
  <c r="U7" i="37"/>
  <c r="C19" i="71"/>
  <c r="D20" i="71"/>
  <c r="C15" i="12"/>
  <c r="C12" i="12"/>
  <c r="B16" i="71"/>
  <c r="B15" i="71" s="1"/>
  <c r="B14" i="71" s="1"/>
  <c r="B13" i="71" s="1"/>
  <c r="S17" i="71"/>
  <c r="D3" i="34"/>
  <c r="D3" i="33"/>
  <c r="D19" i="11"/>
  <c r="C19" i="11" s="1"/>
  <c r="C17" i="4"/>
  <c r="B4" i="52" s="1"/>
  <c r="B43" i="72" s="1"/>
  <c r="L18" i="9"/>
  <c r="D3" i="37"/>
  <c r="D3" i="21"/>
  <c r="E6" i="6"/>
  <c r="D14" i="12"/>
  <c r="D37" i="11"/>
  <c r="C37" i="11" s="1"/>
  <c r="M18" i="9"/>
  <c r="B118" i="9" s="1"/>
  <c r="B14" i="74" s="1"/>
  <c r="B1" i="74" s="1"/>
  <c r="N63" i="71"/>
  <c r="N62"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AR6" i="1"/>
  <c r="S16" i="1"/>
  <c r="T6" i="1"/>
  <c r="T16" i="1" s="1"/>
  <c r="AQ6" i="1"/>
  <c r="AC6" i="3"/>
  <c r="H6" i="3"/>
  <c r="M19" i="6"/>
  <c r="K27" i="6"/>
  <c r="C33" i="11"/>
  <c r="C39" i="11" s="1"/>
  <c r="C46" i="11" s="1"/>
  <c r="C45" i="11" s="1"/>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C7" i="74"/>
  <c r="C8" i="74"/>
  <c r="D17" i="12"/>
  <c r="C17" i="12" s="1"/>
  <c r="C14" i="12"/>
  <c r="C20" i="11"/>
  <c r="C28" i="11" s="1"/>
  <c r="C27" i="11" s="1"/>
  <c r="B12" i="71"/>
  <c r="B11" i="71" s="1"/>
  <c r="B10" i="71" s="1"/>
  <c r="B9" i="71" s="1"/>
  <c r="S13" i="71"/>
  <c r="C16" i="12"/>
  <c r="D10" i="11"/>
  <c r="C10" i="11" s="1"/>
  <c r="D20" i="12"/>
  <c r="C20" i="12" s="1"/>
  <c r="D10" i="68"/>
  <c r="D10" i="69"/>
  <c r="D19" i="71"/>
  <c r="C18"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B6" i="76"/>
  <c r="C25" i="11" l="1"/>
  <c r="C22" i="11" s="1"/>
  <c r="C31" i="11" s="1"/>
  <c r="C43" i="11"/>
  <c r="E6" i="3"/>
  <c r="D30" i="6"/>
  <c r="M27" i="6"/>
  <c r="I19" i="6"/>
  <c r="C42" i="11"/>
  <c r="D16" i="6"/>
  <c r="C17" i="71"/>
  <c r="D18" i="71"/>
  <c r="C10" i="69"/>
  <c r="C8" i="69" s="1"/>
  <c r="C5" i="69" s="1"/>
  <c r="D19" i="69"/>
  <c r="B8" i="71"/>
  <c r="B7" i="71" s="1"/>
  <c r="B6" i="71" s="1"/>
  <c r="B5" i="71" s="1"/>
  <c r="S9" i="71"/>
  <c r="R26" i="6"/>
  <c r="D7" i="74"/>
  <c r="D8" i="74"/>
  <c r="R20" i="6"/>
  <c r="R21" i="6"/>
  <c r="C10" i="68"/>
  <c r="B29" i="1" s="1"/>
  <c r="C8" i="68" s="1"/>
  <c r="C5" i="68" s="1"/>
  <c r="C23" i="68" s="1"/>
  <c r="D19" i="68"/>
  <c r="R23" i="6"/>
  <c r="A7" i="51"/>
  <c r="B7" i="72" s="1"/>
  <c r="C4" i="52"/>
  <c r="B45" i="72" s="1"/>
  <c r="A10" i="51"/>
  <c r="B9" i="72" s="1"/>
  <c r="D27" i="6"/>
  <c r="D31" i="6" s="1"/>
  <c r="R24" i="6"/>
  <c r="R22" i="6"/>
  <c r="R25"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36" i="67"/>
  <c r="C33" i="67"/>
  <c r="C31" i="67" s="1"/>
  <c r="J14" i="67"/>
  <c r="C13" i="67"/>
  <c r="J19" i="67"/>
  <c r="J17" i="67" s="1"/>
  <c r="C57" i="67"/>
  <c r="C61" i="67" s="1"/>
  <c r="Q49" i="67"/>
  <c r="J59" i="67"/>
  <c r="J60" i="67" s="1"/>
  <c r="C18" i="12" l="1"/>
  <c r="C21" i="12" s="1"/>
  <c r="C22" i="12" s="1"/>
  <c r="C30" i="12" s="1"/>
  <c r="C28" i="12" s="1"/>
  <c r="C41" i="11"/>
  <c r="C49" i="11" s="1"/>
  <c r="C51" i="11" s="1"/>
  <c r="C52" i="11" s="1"/>
  <c r="B2" i="11" s="1"/>
  <c r="B3" i="11" s="1"/>
  <c r="S19" i="6"/>
  <c r="S27" i="6" s="1"/>
  <c r="I27" i="6"/>
  <c r="H19" i="6"/>
  <c r="I6" i="6"/>
  <c r="I5" i="6"/>
  <c r="C19" i="69"/>
  <c r="C24" i="69" s="1"/>
  <c r="D37" i="69"/>
  <c r="C37" i="69" s="1"/>
  <c r="C33" i="69" s="1"/>
  <c r="C19" i="68"/>
  <c r="D37" i="68"/>
  <c r="C37" i="68" s="1"/>
  <c r="C33" i="68" s="1"/>
  <c r="C23" i="69"/>
  <c r="C16" i="71"/>
  <c r="T17" i="71"/>
  <c r="D17" i="71"/>
  <c r="U17" i="71" s="1"/>
  <c r="I69" i="39"/>
  <c r="J67" i="39"/>
  <c r="B3" i="76"/>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H27" i="6" l="1"/>
  <c r="R19" i="6"/>
  <c r="C20" i="69"/>
  <c r="C25" i="69" s="1"/>
  <c r="C22" i="69" s="1"/>
  <c r="C27" i="12"/>
  <c r="C25" i="12" s="1"/>
  <c r="C32" i="12" s="1"/>
  <c r="B2" i="12" s="1"/>
  <c r="B3" i="12" s="1"/>
  <c r="C15" i="71"/>
  <c r="D16" i="71"/>
  <c r="C28" i="69"/>
  <c r="C27" i="69" s="1"/>
  <c r="C39" i="68"/>
  <c r="C42" i="68"/>
  <c r="C39" i="69"/>
  <c r="C43" i="69" s="1"/>
  <c r="C42" i="69"/>
  <c r="C20" i="68"/>
  <c r="C25" i="68" s="1"/>
  <c r="C24" i="68"/>
  <c r="J69" i="39"/>
  <c r="K67"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C41" i="69" l="1"/>
  <c r="C22" i="68"/>
  <c r="R27" i="6"/>
  <c r="R6" i="1"/>
  <c r="C28" i="68"/>
  <c r="C27" i="68" s="1"/>
  <c r="C46" i="68"/>
  <c r="C45" i="68" s="1"/>
  <c r="C43" i="68"/>
  <c r="C41" i="68" s="1"/>
  <c r="C14" i="71"/>
  <c r="D15" i="71"/>
  <c r="J7" i="35"/>
  <c r="C31" i="69"/>
  <c r="C46" i="69"/>
  <c r="C45" i="69" s="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C34" i="15" l="1"/>
  <c r="C31" i="15" s="1"/>
  <c r="C30" i="15" s="1"/>
  <c r="C39" i="15" s="1"/>
  <c r="F63" i="15"/>
  <c r="C62" i="15" s="1"/>
  <c r="C59" i="15" s="1"/>
  <c r="C58" i="15" s="1"/>
  <c r="C67" i="15" s="1"/>
  <c r="C68" i="15" s="1"/>
  <c r="J20" i="15"/>
  <c r="J17" i="15" s="1"/>
  <c r="J16" i="15" s="1"/>
  <c r="J25" i="15" s="1"/>
  <c r="R16" i="1"/>
  <c r="C49" i="69"/>
  <c r="C51" i="69" s="1"/>
  <c r="C52" i="69" s="1"/>
  <c r="B2" i="69" s="1"/>
  <c r="B3" i="69" s="1"/>
  <c r="C31" i="68"/>
  <c r="C49" i="68"/>
  <c r="C51" i="68" s="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Q67" i="15" l="1"/>
  <c r="L57" i="15"/>
  <c r="L60" i="15" s="1"/>
  <c r="C80" i="15"/>
  <c r="C79" i="15" s="1"/>
  <c r="C40" i="15"/>
  <c r="C46" i="15" s="1"/>
  <c r="Q69" i="15"/>
  <c r="Q68" i="15" s="1"/>
  <c r="C71" i="15"/>
  <c r="C52" i="68"/>
  <c r="B2" i="68" s="1"/>
  <c r="C57" i="69"/>
  <c r="C56" i="69" s="1"/>
  <c r="C12" i="71"/>
  <c r="T13" i="71"/>
  <c r="D13" i="71"/>
  <c r="U13" i="71" s="1"/>
  <c r="M69" i="39"/>
  <c r="N67" i="39"/>
  <c r="R39" i="35"/>
  <c r="E38" i="35"/>
  <c r="M63" i="40"/>
  <c r="L65" i="40"/>
  <c r="C19" i="9"/>
  <c r="C4" i="80" l="1"/>
  <c r="C102" i="9"/>
  <c r="C21" i="9"/>
  <c r="B3" i="68"/>
  <c r="Q65" i="15"/>
  <c r="Q47" i="15"/>
  <c r="Q53" i="15" s="1"/>
  <c r="Q56" i="15"/>
  <c r="C43" i="15"/>
  <c r="C83" i="15"/>
  <c r="C82" i="15" s="1"/>
  <c r="L46" i="15"/>
  <c r="B2" i="15" s="1"/>
  <c r="Q66" i="15"/>
  <c r="Q75" i="15" s="1"/>
  <c r="Q57" i="15"/>
  <c r="C57" i="68"/>
  <c r="C56" i="68" s="1"/>
  <c r="D12" i="71"/>
  <c r="C11" i="71"/>
  <c r="O67" i="39"/>
  <c r="O69" i="39" s="1"/>
  <c r="N69" i="39"/>
  <c r="F7" i="39"/>
  <c r="C39" i="35"/>
  <c r="B2" i="35" s="1"/>
  <c r="B3" i="35" s="1"/>
  <c r="C38" i="35"/>
  <c r="N63" i="40"/>
  <c r="M65" i="40"/>
  <c r="E43" i="35"/>
  <c r="F43" i="35" s="1"/>
  <c r="E42" i="35"/>
  <c r="F42" i="35" s="1"/>
  <c r="I43" i="35"/>
  <c r="J43" i="35" s="1"/>
  <c r="D35" i="9"/>
  <c r="AO6" i="1"/>
  <c r="C20" i="9"/>
  <c r="D19" i="9"/>
  <c r="D34" i="9"/>
  <c r="D4" i="80" l="1"/>
  <c r="D102" i="9"/>
  <c r="D21" i="9"/>
  <c r="D22" i="9"/>
  <c r="G19" i="9"/>
  <c r="C103" i="9"/>
  <c r="Q62" i="15"/>
  <c r="B6" i="70"/>
  <c r="B2" i="70" s="1"/>
  <c r="B3" i="70" s="1"/>
  <c r="B3" i="15"/>
  <c r="D11" i="71"/>
  <c r="C10" i="71"/>
  <c r="H7" i="39"/>
  <c r="J7" i="39"/>
  <c r="S7" i="39"/>
  <c r="AA7" i="39"/>
  <c r="R47" i="39" s="1"/>
  <c r="O63" i="40"/>
  <c r="O65" i="40" s="1"/>
  <c r="N65" i="40"/>
  <c r="D20" i="9"/>
  <c r="G21" i="9" l="1"/>
  <c r="E4" i="80"/>
  <c r="D103" i="9"/>
  <c r="G20" i="9"/>
  <c r="C32" i="9" s="1"/>
  <c r="C35" i="9" s="1"/>
  <c r="C34" i="9" s="1"/>
  <c r="C9" i="71"/>
  <c r="D10" i="71"/>
  <c r="W7" i="39"/>
  <c r="AC7" i="39"/>
  <c r="V47" i="39" s="1"/>
  <c r="I47" i="39" s="1"/>
  <c r="E47" i="39"/>
  <c r="U7" i="39"/>
  <c r="AB7" i="39"/>
  <c r="T47" i="39" s="1"/>
  <c r="G47" i="39" s="1"/>
  <c r="J7" i="40"/>
  <c r="F7" i="40"/>
  <c r="H7" i="40"/>
  <c r="R48" i="39" l="1"/>
  <c r="C47" i="39" s="1"/>
  <c r="C8" i="71"/>
  <c r="T9" i="71"/>
  <c r="D9" i="71"/>
  <c r="U9" i="71"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56" i="39" s="1"/>
  <c r="F56" i="39" s="1"/>
  <c r="D8" i="71"/>
  <c r="C7" i="71"/>
  <c r="I46" i="40"/>
  <c r="J46" i="40" s="1"/>
  <c r="R43" i="40"/>
  <c r="E42" i="40"/>
  <c r="G47" i="40"/>
  <c r="H47" i="40" s="1"/>
  <c r="G46" i="40"/>
  <c r="H46" i="40" s="1"/>
  <c r="B62" i="39" l="1"/>
  <c r="F62" i="39" s="1"/>
  <c r="B60" i="39"/>
  <c r="F60" i="39" s="1"/>
  <c r="B57" i="39"/>
  <c r="F57" i="39" s="1"/>
  <c r="B63" i="39"/>
  <c r="F63" i="39" s="1"/>
  <c r="B59" i="39"/>
  <c r="F59" i="39" s="1"/>
  <c r="B58" i="39"/>
  <c r="F58" i="39" s="1"/>
  <c r="B61" i="39"/>
  <c r="F61" i="39" s="1"/>
  <c r="B64" i="39"/>
  <c r="F64" i="39" s="1"/>
  <c r="C6" i="71"/>
  <c r="D7" i="71"/>
  <c r="C42" i="40"/>
  <c r="C43" i="40"/>
  <c r="E47" i="40"/>
  <c r="F47" i="40" s="1"/>
  <c r="E46" i="40"/>
  <c r="F46" i="40" s="1"/>
  <c r="I47" i="40"/>
  <c r="J47" i="40" s="1"/>
  <c r="F65" i="39" l="1"/>
  <c r="B2" i="39" s="1"/>
  <c r="B3" i="39" s="1"/>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s="1"/>
  <c r="F118" i="9" l="1"/>
  <c r="G118" i="9" s="1"/>
  <c r="G4" i="52" s="1"/>
  <c r="B52" i="72" s="1"/>
  <c r="H118" i="9"/>
  <c r="I118" i="9" s="1"/>
  <c r="D118" i="9"/>
  <c r="D4" i="52" s="1"/>
  <c r="B47" i="72" s="1"/>
  <c r="D119" i="9" l="1"/>
  <c r="D5" i="52" s="1"/>
  <c r="B49" i="72" s="1"/>
  <c r="C105" i="9"/>
  <c r="I4" i="52"/>
  <c r="H102" i="9"/>
  <c r="D7" i="53" s="1"/>
  <c r="B21" i="72" s="1"/>
  <c r="E118" i="9"/>
  <c r="E4" i="52" s="1"/>
  <c r="B48" i="72" s="1"/>
  <c r="F4" i="52"/>
  <c r="B51" i="72" s="1"/>
  <c r="C104" i="9"/>
  <c r="D14" i="74"/>
  <c r="H4" i="52"/>
  <c r="H119" i="9"/>
  <c r="H5" i="52" s="1"/>
  <c r="H101" i="9"/>
  <c r="F119" i="9"/>
  <c r="F5" i="52" s="1"/>
  <c r="B53" i="72" s="1"/>
  <c r="M48" i="9" l="1"/>
  <c r="D5" i="53"/>
  <c r="H107" i="9"/>
  <c r="D45" i="9"/>
  <c r="E14" i="74"/>
  <c r="F14" i="74"/>
  <c r="B5" i="74"/>
  <c r="C5" i="74" l="1"/>
  <c r="D5" i="74"/>
  <c r="D53" i="9"/>
  <c r="C78" i="9"/>
  <c r="C73" i="9" s="1"/>
  <c r="D55" i="9"/>
  <c r="M53" i="9" s="1"/>
  <c r="D52" i="9"/>
  <c r="C64" i="9"/>
  <c r="C63" i="9" s="1"/>
  <c r="C67" i="9" s="1"/>
  <c r="C93" i="9"/>
  <c r="C86" i="9" s="1"/>
  <c r="C72" i="9"/>
  <c r="C85" i="9"/>
  <c r="B20" i="72"/>
  <c r="D6" i="53"/>
  <c r="B22" i="72" s="1"/>
  <c r="D13" i="53"/>
  <c r="D122" i="9"/>
  <c r="H108" i="9"/>
  <c r="D15" i="53" s="1"/>
  <c r="B31" i="72" s="1"/>
  <c r="C95" i="9" l="1"/>
  <c r="C79" i="9"/>
  <c r="C80" i="9" s="1"/>
  <c r="E80" i="9" s="1"/>
  <c r="E81" i="9" s="1"/>
  <c r="C96" i="9"/>
  <c r="E96" i="9" s="1"/>
  <c r="E97" i="9" s="1"/>
  <c r="D123" i="9"/>
  <c r="D9" i="52" s="1"/>
  <c r="D8" i="52"/>
  <c r="G14" i="74"/>
  <c r="B6" i="74" s="1"/>
  <c r="B30" i="72"/>
  <c r="D14" i="53"/>
  <c r="B32" i="72" s="1"/>
  <c r="C68" i="9"/>
  <c r="D54" i="9" s="1"/>
  <c r="D59" i="9"/>
  <c r="M55" i="9" s="1"/>
  <c r="C97" i="9" l="1"/>
  <c r="D58" i="9" s="1"/>
  <c r="D56" i="9" s="1"/>
  <c r="M54" i="9" s="1"/>
  <c r="N57" i="9" s="1"/>
  <c r="C6" i="74"/>
  <c r="D6" i="74"/>
  <c r="C81" i="9"/>
  <c r="P57" i="9" l="1"/>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<sst xmlns="http://schemas.openxmlformats.org/spreadsheetml/2006/main" count="7979" uniqueCount="3675">
  <si>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</si>
  <si>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</si>
  <si>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</si>
  <si>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</si>
  <si>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</si>
  <si>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</si>
  <si>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</si>
  <si>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</si>
  <si>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</si>
  <si>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</si>
  <si>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</si>
  <si>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</si>
  <si>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</si>
  <si>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</si>
  <si>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</si>
  <si>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</si>
  <si>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</si>
  <si>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</si>
  <si>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</si>
  <si>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</si>
  <si>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</si>
  <si>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</si>
  <si>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</si>
  <si>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</si>
  <si>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</si>
  <si>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</si>
  <si>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</si>
  <si>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</si>
  <si>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</si>
  <si>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</si>
  <si>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</si>
  <si>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</si>
  <si>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</si>
  <si>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</si>
  <si>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</si>
  <si>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</si>
  <si>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</si>
  <si>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</si>
  <si>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</si>
  <si>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</si>
  <si>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</si>
  <si>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</si>
  <si>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</si>
  <si>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</si>
  <si>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</si>
  <si>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</si>
  <si>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</si>
  <si>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</si>
  <si>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</si>
  <si>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</si>
  <si>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</si>
  <si>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</si>
  <si>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</si>
  <si>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</si>
  <si>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</si>
  <si>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</si>
  <si>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</si>
  <si>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</si>
  <si>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</si>
  <si>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</si>
  <si>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</si>
  <si>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</si>
  <si>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</si>
  <si>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</si>
  <si>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</si>
  <si>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</si>
  <si>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</si>
  <si>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</si>
  <si>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</si>
  <si>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</si>
  <si>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</si>
  <si>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</si>
  <si>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</si>
  <si>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</si>
  <si>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</si>
  <si>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</si>
  <si>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</si>
  <si>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</si>
  <si>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</si>
  <si>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</si>
  <si>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</si>
  <si>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</si>
  <si>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</si>
  <si>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</si>
  <si>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</si>
  <si>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</si>
  <si>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</si>
  <si>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</si>
  <si>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</si>
  <si>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</si>
  <si>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</si>
  <si>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</si>
  <si>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</si>
  <si>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</si>
  <si>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</si>
  <si>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</si>
  <si>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</si>
  <si>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</si>
  <si>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</si>
  <si>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</si>
  <si>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</si>
  <si>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</si>
  <si>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</si>
  <si>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</si>
  <si>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</si>
  <si>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</si>
  <si>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</si>
  <si>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</si>
  <si>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</si>
  <si>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</si>
  <si>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</si>
  <si>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</si>
  <si>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</si>
  <si>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</si>
  <si>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</si>
  <si>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</si>
  <si>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</si>
  <si>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</si>
  <si>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</si>
  <si>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</si>
  <si>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</si>
  <si>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</si>
  <si>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</si>
  <si>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</si>
  <si>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</si>
  <si>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</si>
  <si>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</si>
  <si>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</si>
  <si>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</si>
  <si>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</si>
  <si>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</si>
  <si>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</si>
  <si>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</si>
  <si>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</si>
  <si>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</si>
  <si>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</si>
  <si>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</si>
  <si>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</si>
  <si>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</si>
  <si>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</si>
  <si>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</si>
  <si>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</si>
  <si>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</si>
  <si>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</si>
  <si>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</si>
  <si>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</si>
  <si>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</si>
  <si>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</si>
  <si>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</si>
  <si>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</si>
  <si>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</si>
  <si>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</si>
  <si>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</si>
  <si>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</si>
  <si>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</si>
  <si>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</si>
  <si>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</si>
  <si>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</si>
  <si>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</si>
  <si>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</si>
  <si>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</si>
  <si>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</si>
  <si>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</si>
  <si>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</si>
  <si>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</si>
  <si>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</si>
  <si>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</si>
  <si>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</si>
  <si>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</si>
  <si>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</si>
  <si>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</si>
  <si>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</si>
  <si>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</si>
  <si>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</si>
  <si>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</si>
  <si>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</si>
  <si>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</si>
  <si>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</si>
  <si>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</si>
  <si>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</si>
  <si>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</si>
  <si>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</si>
  <si>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</si>
  <si>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</si>
  <si>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</si>
  <si>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</si>
  <si>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</si>
  <si>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</si>
  <si>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</si>
  <si>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</si>
  <si>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</si>
  <si>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</si>
  <si>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</si>
  <si>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</si>
  <si>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</si>
  <si>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</si>
  <si>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</si>
  <si>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</si>
  <si>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</si>
  <si>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</si>
  <si>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</si>
  <si>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</si>
  <si>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</si>
  <si>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</si>
  <si>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</si>
  <si>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</si>
  <si>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</si>
  <si>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</si>
  <si>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</si>
  <si>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</si>
  <si>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</si>
  <si>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</si>
  <si>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</si>
  <si>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</si>
  <si>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</si>
  <si>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</si>
  <si>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</si>
  <si>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</si>
  <si>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</si>
  <si>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</si>
  <si>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</si>
  <si>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</si>
  <si>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</si>
  <si>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</si>
  <si>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</si>
  <si>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</si>
  <si>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</si>
  <si>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</si>
  <si>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</si>
  <si>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</si>
  <si>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</si>
  <si>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</si>
  <si>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</si>
  <si>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</si>
  <si>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</si>
  <si>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</si>
  <si>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</si>
  <si>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</si>
  <si>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</si>
  <si>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</si>
  <si>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</si>
  <si>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</si>
  <si>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</si>
  <si>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</si>
  <si>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</si>
  <si>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</si>
  <si>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</si>
  <si>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</si>
  <si>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</si>
  <si>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</si>
  <si>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</si>
  <si>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</si>
  <si>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</si>
  <si>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</si>
  <si>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</si>
  <si>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</si>
  <si>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</si>
  <si>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</si>
  <si>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</si>
  <si>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</si>
  <si>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</si>
  <si>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</si>
  <si>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</si>
  <si>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</si>
  <si>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</si>
  <si>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</si>
  <si>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</si>
  <si>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</si>
  <si>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</si>
  <si>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</si>
  <si>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</si>
  <si>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</si>
  <si>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</si>
  <si>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</si>
  <si>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</si>
  <si>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</si>
  <si>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</si>
  <si>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</si>
  <si>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</si>
  <si>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</si>
  <si>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</si>
  <si>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</si>
  <si>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</si>
  <si>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</si>
  <si>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</si>
  <si>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</si>
  <si>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</si>
  <si>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</si>
  <si>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</si>
  <si>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</si>
  <si>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</si>
  <si>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</si>
  <si>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</si>
  <si>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</si>
  <si>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</si>
  <si>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</si>
  <si>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</si>
  <si>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</si>
  <si>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</si>
  <si>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</si>
  <si>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</si>
  <si>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</si>
  <si>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</si>
  <si>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</si>
  <si>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</si>
  <si>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</si>
  <si>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</si>
  <si>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</si>
  <si>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</si>
  <si>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</si>
  <si>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</si>
  <si>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</si>
  <si>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</si>
  <si>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</si>
  <si>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</si>
  <si>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</si>
  <si>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</si>
  <si>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</si>
  <si>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</si>
  <si>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</si>
  <si>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</si>
  <si>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</si>
  <si>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</si>
  <si>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</si>
  <si>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</si>
  <si>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</si>
  <si>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</si>
  <si>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</si>
  <si>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</si>
  <si>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</si>
  <si>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</si>
  <si>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</si>
  <si>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</si>
  <si>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</si>
  <si>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</si>
  <si>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</si>
  <si>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</si>
  <si>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</si>
  <si>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</si>
  <si>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</si>
  <si>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</si>
  <si>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</si>
  <si>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</si>
  <si>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</si>
  <si>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</si>
  <si>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</si>
  <si>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</si>
  <si>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</si>
  <si>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</si>
  <si>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</si>
  <si>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</si>
  <si>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</si>
  <si>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</si>
  <si>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</si>
  <si>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</si>
  <si>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</si>
  <si>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</si>
  <si>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</si>
  <si>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</si>
  <si>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</si>
  <si>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</si>
  <si>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</si>
  <si>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</si>
  <si>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</si>
  <si>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</si>
  <si>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</si>
  <si>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</si>
  <si>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</si>
  <si>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</si>
  <si>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</si>
  <si>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</si>
  <si>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</si>
  <si>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</si>
  <si>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</si>
  <si>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</si>
  <si>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</si>
  <si>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</si>
  <si>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</si>
  <si>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</si>
  <si>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</si>
  <si>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</si>
  <si>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</si>
  <si>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</si>
  <si>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</si>
  <si>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</si>
  <si>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</si>
  <si>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</si>
  <si>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</si>
  <si>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</si>
  <si>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</si>
  <si>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</si>
  <si>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</si>
  <si>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</si>
  <si>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</si>
  <si>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</si>
  <si>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</si>
  <si>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</si>
  <si>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</si>
  <si>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</si>
  <si>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</si>
  <si>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</si>
  <si>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</si>
  <si>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</si>
  <si>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</si>
  <si>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</si>
  <si>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</si>
  <si>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</si>
  <si>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</si>
  <si>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</si>
  <si>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</si>
  <si>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</si>
  <si>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</si>
  <si>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</si>
  <si>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</si>
  <si>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</si>
  <si>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</si>
  <si>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</si>
  <si>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</si>
  <si>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</si>
  <si>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</si>
  <si>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</si>
  <si>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</si>
  <si>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</si>
  <si>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</si>
  <si>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</si>
  <si>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</si>
  <si>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</si>
  <si>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</si>
  <si>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</si>
  <si>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</si>
  <si>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</si>
  <si>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</si>
  <si>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</si>
  <si>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</si>
  <si>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</si>
  <si>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</si>
  <si>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</si>
  <si>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</si>
  <si>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</si>
  <si>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</si>
  <si>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</si>
  <si>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</si>
  <si>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</si>
  <si>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</si>
  <si>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</si>
  <si>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</si>
  <si>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</si>
  <si>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</si>
  <si>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</si>
  <si>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</si>
  <si>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</si>
  <si>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</si>
  <si>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</si>
  <si>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</si>
  <si>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</si>
  <si>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</si>
  <si>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</si>
  <si>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</si>
  <si>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</si>
  <si>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</si>
  <si>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</si>
  <si>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</si>
  <si>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</si>
  <si>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</si>
  <si>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</si>
  <si>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</si>
  <si>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</si>
  <si>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</si>
  <si>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</si>
  <si>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</si>
  <si>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</si>
  <si>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</si>
  <si>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</si>
  <si>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</si>
  <si>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</si>
  <si>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</si>
  <si>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</si>
  <si>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</si>
  <si>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</si>
  <si>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</si>
  <si>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</si>
  <si>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</si>
  <si>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</si>
  <si>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</si>
  <si>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</si>
  <si>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</si>
  <si>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</si>
  <si>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</si>
  <si>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</si>
  <si>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</si>
  <si>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</si>
  <si>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</si>
  <si>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</si>
  <si>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</si>
  <si>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</si>
  <si>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</si>
  <si>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</si>
  <si>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</si>
  <si>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</si>
  <si>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</si>
  <si>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</si>
  <si>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</si>
  <si>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</si>
  <si>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</si>
  <si>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</si>
  <si>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</si>
  <si>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</si>
  <si>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</si>
  <si>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</si>
  <si>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</si>
  <si>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</si>
  <si>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</si>
  <si>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</si>
  <si>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</si>
  <si>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</si>
  <si>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</si>
  <si>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</si>
  <si>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</si>
  <si>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</si>
  <si>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</si>
  <si>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</si>
  <si>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</si>
  <si>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</si>
  <si>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</si>
  <si>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</si>
  <si>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</si>
  <si>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</si>
  <si>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</si>
  <si>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</si>
  <si>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</si>
  <si>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</si>
  <si>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</si>
  <si>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</si>
  <si>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</si>
  <si>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</si>
  <si>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</si>
  <si>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</si>
  <si>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</si>
  <si>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</si>
  <si>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</si>
  <si>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</si>
  <si>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</si>
  <si>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</si>
  <si>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</si>
  <si>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</si>
  <si>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</si>
  <si>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</si>
  <si>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</si>
  <si>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</si>
  <si>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</si>
  <si>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</si>
  <si>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</si>
  <si>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</si>
  <si>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</si>
  <si>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</si>
  <si>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</si>
  <si>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</si>
  <si>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</si>
  <si>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</si>
  <si>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</si>
  <si>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</si>
  <si>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</si>
  <si>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</si>
  <si>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</si>
  <si>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</si>
  <si>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</si>
  <si>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</si>
  <si>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</si>
  <si>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</si>
  <si>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</si>
  <si>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</si>
  <si>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</si>
  <si>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</si>
  <si>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</si>
  <si>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</si>
  <si>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</si>
  <si>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</si>
  <si>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</si>
  <si>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</si>
  <si>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</si>
  <si>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</si>
  <si>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</si>
  <si>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</si>
  <si>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</si>
  <si>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</si>
  <si>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</si>
  <si>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</si>
  <si>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</si>
  <si>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</si>
  <si>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</si>
  <si>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</si>
  <si>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</si>
  <si>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</si>
  <si>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</si>
  <si>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</si>
  <si>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</si>
  <si>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</si>
  <si>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</si>
  <si>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</si>
  <si>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</si>
  <si>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</si>
  <si>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</si>
  <si>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</si>
  <si>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</si>
  <si>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</si>
  <si>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</si>
  <si>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</si>
  <si>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</si>
  <si>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</si>
  <si>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</si>
  <si>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</si>
  <si>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</si>
  <si>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</si>
  <si>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</si>
  <si>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</si>
  <si>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</si>
  <si>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</si>
  <si>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</si>
  <si>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</si>
  <si>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</si>
  <si>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</si>
  <si>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</si>
  <si>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</si>
  <si>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</si>
  <si>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</si>
  <si>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</si>
  <si>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</si>
  <si>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</si>
  <si>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</si>
  <si>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</si>
  <si>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</si>
  <si>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</si>
  <si>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</si>
  <si>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</si>
  <si>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</si>
  <si>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</si>
  <si>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</si>
  <si>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</si>
  <si>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</si>
  <si>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</si>
  <si>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</si>
  <si>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</si>
  <si>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</si>
  <si>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</si>
  <si>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</si>
  <si>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</si>
  <si>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</si>
  <si>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</si>
  <si>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</si>
  <si>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</si>
  <si>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</si>
  <si>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</si>
  <si>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</si>
  <si>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</si>
  <si>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</si>
  <si>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</si>
  <si>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</si>
  <si>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</si>
  <si>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</si>
  <si>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</si>
  <si>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</si>
  <si>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</si>
  <si>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</si>
  <si>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</si>
  <si>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</si>
  <si>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</si>
  <si>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</si>
  <si>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</si>
  <si>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</si>
  <si>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</si>
  <si>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</si>
  <si>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</si>
  <si>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</si>
  <si>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</si>
  <si>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</si>
  <si>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</si>
  <si>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</si>
  <si>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</si>
  <si>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</si>
  <si>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</si>
  <si>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</si>
  <si>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</si>
  <si>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</si>
  <si>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</si>
  <si>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</si>
  <si>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</si>
  <si>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</si>
  <si>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</si>
  <si>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</si>
  <si>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</si>
  <si>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</si>
  <si>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</si>
  <si>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</si>
  <si>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</si>
  <si>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</si>
  <si>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</si>
  <si>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</si>
  <si>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</si>
  <si>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</si>
  <si>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</si>
  <si>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</si>
  <si>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</si>
  <si>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</si>
  <si>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</si>
  <si>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</si>
  <si>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</si>
  <si>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</si>
  <si>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</si>
  <si>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</si>
  <si>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</si>
  <si>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</si>
  <si>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</si>
  <si>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</si>
  <si>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</si>
  <si>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</si>
  <si>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</si>
  <si>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</si>
  <si>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</si>
  <si>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</si>
  <si>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</si>
  <si>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</si>
  <si>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</si>
  <si>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</si>
  <si>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</si>
  <si>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</si>
  <si>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</si>
  <si>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</si>
  <si>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</si>
  <si>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</si>
  <si>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</si>
  <si>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</si>
  <si>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</si>
  <si>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</si>
  <si>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</si>
  <si>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</si>
  <si>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</si>
  <si>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</si>
  <si>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</si>
  <si>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</si>
  <si>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</si>
  <si>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</si>
  <si>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</si>
  <si>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</si>
  <si>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</si>
  <si>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</si>
  <si>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</si>
  <si>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</si>
  <si>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</si>
  <si>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</si>
  <si>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</si>
  <si>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</si>
  <si>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</si>
  <si>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</si>
  <si>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</si>
  <si>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</si>
  <si>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</si>
  <si>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</si>
  <si>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</si>
  <si>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</si>
  <si>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</si>
  <si>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</si>
  <si>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</si>
  <si>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</si>
  <si>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</si>
  <si>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</si>
  <si>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</si>
  <si>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</si>
  <si>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</si>
  <si>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</si>
  <si>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</si>
  <si>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</si>
  <si>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</si>
  <si>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</si>
  <si>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</si>
  <si>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</si>
  <si>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</si>
  <si>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</si>
  <si>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</si>
  <si>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</si>
  <si>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</si>
  <si>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</si>
  <si>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</si>
  <si>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</si>
  <si>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</si>
  <si>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</si>
  <si>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</si>
  <si>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</si>
  <si>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</si>
  <si>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</si>
  <si>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</si>
  <si>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</si>
  <si>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</si>
  <si>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</si>
  <si>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</si>
  <si>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</si>
  <si>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</si>
  <si>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</si>
  <si>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</si>
  <si>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</si>
  <si>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</si>
  <si>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</si>
  <si>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</si>
  <si>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</si>
  <si>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</si>
  <si>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</si>
  <si>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</si>
  <si>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</si>
  <si>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</si>
  <si>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</si>
  <si>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</si>
  <si>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</si>
  <si>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</si>
  <si>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</si>
  <si>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</si>
  <si>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</si>
  <si>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</si>
  <si>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</si>
  <si>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</si>
  <si>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</si>
  <si>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</si>
  <si>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</si>
  <si>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</si>
  <si>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</si>
  <si>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</si>
  <si>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</si>
  <si>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</si>
  <si>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</si>
  <si>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</si>
  <si>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</si>
  <si>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</si>
  <si>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</si>
  <si>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</si>
  <si>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</si>
  <si>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</si>
  <si>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</si>
  <si>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</si>
  <si>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</si>
  <si>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</si>
  <si>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</si>
  <si>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</si>
  <si>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</si>
  <si>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</si>
  <si>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</si>
  <si>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</si>
  <si>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</si>
  <si>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</si>
  <si>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</si>
  <si>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</si>
  <si>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</si>
  <si>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</si>
  <si>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</si>
  <si>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</si>
  <si>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</si>
  <si>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</si>
  <si>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</si>
  <si>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</si>
  <si>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</si>
  <si>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</si>
  <si>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</si>
  <si>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</si>
  <si>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</si>
  <si>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</si>
  <si>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</si>
  <si>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</si>
  <si>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</si>
  <si>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</si>
  <si>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</si>
  <si>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</si>
  <si>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</si>
  <si>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</si>
  <si>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</si>
  <si>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</si>
  <si>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</si>
  <si>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</si>
  <si>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</si>
  <si>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</si>
  <si>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</si>
  <si>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</si>
  <si>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</si>
  <si>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</si>
  <si>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</si>
  <si>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</si>
  <si>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</si>
  <si>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</si>
  <si>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</si>
  <si>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</si>
  <si>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</si>
  <si>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</si>
  <si>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</si>
  <si>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</si>
  <si>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</si>
  <si>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</si>
  <si>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</si>
  <si>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</si>
  <si>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</si>
  <si>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</si>
  <si>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</si>
  <si>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</si>
  <si>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</si>
  <si>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</si>
  <si>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</si>
  <si>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</si>
  <si>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</si>
  <si>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</si>
  <si>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</si>
  <si>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</si>
  <si>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</si>
  <si>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</si>
  <si>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</si>
  <si>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</si>
  <si>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</si>
  <si>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</si>
  <si>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</si>
  <si>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</si>
  <si>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</si>
  <si>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</si>
  <si>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</si>
  <si>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</si>
  <si>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</si>
  <si>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</si>
  <si>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</si>
  <si>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</si>
  <si>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</si>
  <si>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</si>
  <si>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</si>
  <si>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</si>
  <si>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</si>
  <si>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</si>
  <si>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</si>
  <si>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</si>
  <si>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</si>
  <si>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</si>
  <si>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</si>
  <si>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</si>
  <si>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</si>
  <si>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</si>
  <si>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</si>
  <si>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</si>
  <si>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</si>
  <si>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</si>
  <si>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</si>
  <si>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</si>
  <si>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</si>
  <si>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</si>
  <si>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</si>
  <si>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</si>
  <si>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</si>
  <si>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</si>
  <si>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</si>
  <si>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</si>
  <si>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</si>
  <si>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</si>
  <si>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</si>
  <si>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</si>
  <si>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</si>
  <si>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</si>
  <si>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</si>
  <si>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</si>
  <si>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</si>
  <si>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</si>
  <si>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</si>
  <si>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</si>
  <si>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</si>
  <si>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</si>
  <si>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</si>
  <si>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</si>
  <si>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</si>
  <si>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</si>
  <si>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</si>
  <si>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</si>
  <si>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</si>
  <si>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</si>
  <si>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</si>
  <si>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</si>
  <si>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</si>
  <si>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</si>
  <si>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</si>
  <si>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</si>
  <si>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</si>
  <si>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</si>
  <si>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</si>
  <si>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</si>
  <si>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</si>
  <si>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</si>
  <si>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</si>
  <si>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</si>
  <si>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</si>
  <si>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</si>
  <si>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</si>
  <si>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</si>
  <si>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</si>
  <si>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</si>
  <si>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</si>
  <si>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</si>
  <si>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</si>
  <si>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</si>
  <si>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</si>
  <si>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</si>
  <si>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</si>
  <si>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</si>
  <si>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</si>
  <si>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</si>
  <si>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</si>
  <si>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</si>
  <si>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</si>
  <si>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</si>
  <si>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</si>
  <si>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</si>
  <si>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</si>
  <si>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</si>
  <si>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</si>
  <si>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</si>
  <si>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</si>
  <si>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</si>
  <si>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</si>
  <si>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</si>
  <si>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</si>
  <si>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</si>
  <si>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</si>
  <si>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</si>
  <si>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</si>
  <si>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</si>
  <si>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</si>
  <si>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</si>
  <si>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</si>
  <si>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</si>
  <si>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</si>
  <si>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</si>
  <si>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</si>
  <si>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</si>
  <si>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</si>
  <si>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</si>
  <si>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</si>
  <si>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</si>
  <si>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</si>
  <si>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</si>
  <si>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</si>
  <si>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</si>
  <si>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</si>
  <si>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</si>
  <si>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</si>
  <si>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</si>
  <si>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</si>
  <si>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</si>
  <si>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</si>
  <si>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</si>
  <si>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</si>
  <si>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</si>
  <si>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</si>
  <si>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</si>
  <si>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</si>
  <si>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</si>
  <si>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</si>
  <si>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</si>
  <si>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</si>
  <si>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</si>
  <si>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</si>
  <si>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</si>
  <si>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</si>
  <si>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</si>
  <si>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</si>
  <si>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</si>
  <si>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</si>
  <si>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</si>
  <si>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</si>
  <si>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</si>
  <si>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</si>
  <si>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</si>
  <si>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</si>
  <si>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</si>
  <si>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</si>
  <si>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</si>
  <si>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</si>
  <si>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</si>
  <si>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</si>
  <si>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</si>
  <si>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</si>
  <si>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</si>
  <si>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</si>
  <si>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</si>
  <si>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</si>
  <si>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</si>
  <si>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</si>
  <si>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</si>
  <si>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</si>
  <si>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</si>
  <si>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</si>
  <si>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</si>
  <si>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</si>
  <si>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</si>
  <si>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</si>
  <si>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</si>
  <si>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</si>
  <si>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</si>
  <si>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</si>
  <si>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</si>
  <si>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</si>
  <si>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</si>
  <si>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</si>
  <si>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</si>
  <si>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</si>
  <si>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</si>
  <si>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</si>
  <si>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</si>
  <si>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</si>
  <si>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</si>
  <si>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</si>
  <si>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</si>
  <si>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</si>
  <si>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</si>
  <si>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</si>
  <si>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</si>
  <si>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</si>
  <si>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</si>
  <si>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</si>
  <si>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</si>
  <si>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</si>
  <si>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</si>
  <si>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</si>
  <si>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</si>
  <si>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</si>
  <si>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</si>
  <si>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</si>
  <si>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</si>
  <si>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</si>
  <si>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</si>
  <si>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</si>
  <si>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</si>
  <si>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</si>
  <si>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</si>
  <si>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</si>
  <si>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</si>
  <si>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</si>
  <si>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</si>
  <si>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</si>
  <si>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</si>
  <si>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</si>
  <si>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</si>
  <si>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</si>
  <si>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</si>
  <si>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</si>
  <si>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</si>
  <si>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</si>
  <si>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</si>
  <si>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</si>
  <si>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</si>
  <si>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</si>
  <si>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</si>
  <si>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</si>
  <si>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</si>
  <si>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</si>
  <si>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</si>
  <si>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</si>
  <si>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</si>
  <si>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</si>
  <si>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</si>
  <si>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</si>
  <si>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</si>
  <si>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</si>
  <si>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</si>
  <si>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</si>
  <si>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</si>
  <si>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</si>
  <si>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</si>
  <si>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</si>
  <si>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</si>
  <si>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</si>
  <si>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</si>
  <si>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</si>
  <si>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</si>
  <si>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</si>
  <si>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</si>
  <si>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</si>
  <si>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</si>
  <si>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</si>
  <si>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</si>
  <si>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</si>
  <si>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</si>
  <si>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</si>
  <si>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</si>
  <si>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</si>
  <si>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</si>
  <si>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</si>
  <si>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</si>
  <si>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</si>
  <si>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</si>
  <si>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</si>
  <si>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</si>
  <si>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</si>
  <si>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</si>
  <si>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</si>
  <si>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</si>
  <si>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</si>
  <si>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</si>
  <si>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</si>
  <si>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</si>
  <si>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</si>
  <si>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</si>
  <si>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</si>
  <si>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</si>
  <si>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</si>
  <si>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</si>
  <si>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</si>
  <si>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</si>
  <si>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</si>
  <si>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</si>
  <si>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</si>
  <si>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</si>
  <si>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</si>
  <si>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</si>
  <si>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</si>
  <si>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</si>
  <si>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</si>
  <si>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</si>
  <si>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</si>
  <si>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</si>
  <si>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</si>
  <si>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</si>
  <si>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</si>
  <si>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</si>
  <si>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</si>
  <si>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</si>
  <si>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</si>
  <si>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</si>
  <si>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</si>
  <si>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</si>
  <si>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</si>
  <si>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</si>
  <si>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</si>
  <si>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</si>
  <si>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</si>
  <si>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</si>
  <si>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</si>
  <si>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</si>
  <si>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</si>
  <si>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</si>
  <si>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</si>
  <si>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</si>
  <si>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</si>
  <si>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</si>
  <si>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</si>
  <si>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</si>
  <si>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</si>
  <si>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</si>
  <si>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</si>
  <si>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</si>
  <si>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</si>
  <si>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</si>
  <si>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</si>
  <si>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</si>
  <si>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</si>
  <si>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</si>
  <si>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</si>
  <si>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</si>
  <si>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</si>
  <si>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</si>
  <si>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</si>
  <si>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</si>
  <si>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</si>
  <si>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</si>
  <si>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</si>
  <si>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</si>
  <si>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</si>
  <si>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</si>
  <si>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</si>
  <si>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</si>
  <si>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</si>
  <si>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</si>
  <si>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</si>
  <si>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</si>
  <si>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</si>
  <si>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</si>
  <si>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</si>
  <si>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</si>
  <si>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</si>
  <si>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</si>
  <si>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</si>
  <si>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</si>
  <si>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</si>
  <si>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</si>
  <si>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</si>
  <si>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</si>
  <si>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</si>
  <si>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</si>
  <si>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</si>
  <si>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</si>
  <si>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</si>
  <si>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</si>
  <si>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</si>
  <si>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</si>
  <si>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</si>
  <si>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</si>
  <si>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</si>
  <si>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</si>
  <si>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</si>
  <si>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</si>
  <si>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</si>
  <si>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</si>
  <si>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</si>
  <si>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</si>
  <si>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</si>
  <si>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</si>
  <si>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</si>
  <si>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</si>
  <si>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</si>
  <si>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</si>
  <si>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</si>
  <si>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</si>
  <si>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</si>
  <si>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</si>
  <si>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</si>
  <si>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</si>
  <si>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</si>
  <si>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</si>
  <si>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</si>
  <si>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</si>
  <si>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</si>
  <si>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</si>
  <si>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</si>
  <si>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</si>
  <si>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</si>
  <si>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</si>
  <si>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</si>
  <si>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</si>
  <si>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</si>
  <si>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</si>
  <si>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</si>
  <si>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</si>
  <si>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</si>
  <si>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</si>
  <si>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</si>
  <si>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</si>
  <si>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</si>
  <si>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</si>
  <si>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</si>
  <si>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</si>
  <si>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</si>
  <si>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</si>
  <si>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</si>
  <si>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</si>
  <si>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</si>
  <si>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</si>
  <si>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</si>
  <si>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</si>
  <si>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</si>
  <si>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</si>
  <si>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</si>
  <si>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</si>
  <si>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</si>
  <si>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</si>
  <si>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</si>
  <si>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</si>
  <si>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</si>
  <si>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</si>
  <si>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</si>
  <si>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</si>
  <si>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</si>
  <si>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</si>
  <si>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</si>
  <si>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</si>
  <si>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</si>
  <si>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</si>
  <si>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</si>
  <si>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</si>
  <si>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</si>
  <si>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</si>
  <si>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</si>
  <si>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</si>
  <si>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</si>
  <si>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</si>
  <si>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</si>
  <si>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</si>
  <si>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</si>
  <si>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</si>
  <si>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</si>
  <si>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</si>
  <si>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</si>
  <si>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</si>
  <si>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</si>
  <si>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</si>
  <si>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</si>
  <si>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</si>
  <si>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</si>
  <si>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</si>
  <si>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</si>
  <si>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</si>
  <si>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</si>
  <si>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</si>
  <si>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</si>
  <si>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</si>
  <si>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</si>
  <si>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</si>
  <si>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</si>
  <si>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</si>
  <si>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</si>
  <si>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</si>
  <si>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</si>
  <si>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</si>
  <si>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</si>
  <si>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</si>
  <si>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</si>
  <si>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</si>
  <si>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</si>
  <si>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</si>
  <si>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</si>
  <si>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</si>
  <si>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</si>
  <si>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</si>
  <si>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</si>
  <si>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</si>
  <si>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</si>
  <si>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</si>
  <si>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</si>
  <si>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</si>
  <si>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</si>
  <si>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</si>
  <si>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</si>
  <si>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</si>
  <si>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</si>
  <si>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</si>
  <si>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</si>
  <si>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</si>
  <si>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</si>
  <si>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</si>
  <si>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</si>
  <si>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</si>
  <si>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</si>
  <si>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</si>
  <si>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</si>
  <si>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</si>
  <si>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</si>
  <si>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</si>
  <si>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</si>
  <si>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</si>
  <si>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</si>
  <si>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</si>
  <si>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</si>
  <si>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</si>
  <si>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</si>
  <si>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</si>
  <si>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</si>
  <si>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</si>
  <si>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</si>
  <si>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</si>
  <si>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</si>
  <si>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</si>
  <si>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</si>
  <si>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</si>
  <si>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</si>
  <si>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</si>
  <si>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</si>
  <si>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</si>
  <si>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</si>
  <si>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</si>
  <si>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</si>
  <si>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</si>
  <si>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</si>
  <si>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</si>
  <si>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</si>
  <si>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</si>
  <si>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</si>
  <si>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</si>
  <si>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</si>
  <si>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</si>
  <si>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</si>
  <si>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</si>
  <si>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</si>
  <si>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</si>
  <si>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</si>
  <si>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</si>
  <si>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</si>
  <si>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</si>
  <si>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</si>
  <si>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</si>
  <si>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</si>
  <si>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</si>
  <si>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</si>
  <si>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</si>
  <si>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</si>
  <si>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</si>
  <si>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</si>
  <si>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</si>
  <si>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</si>
  <si>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</si>
  <si>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</si>
  <si>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</si>
  <si>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</si>
  <si>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</si>
  <si>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</si>
  <si>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</si>
  <si>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</si>
  <si>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</si>
  <si>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</si>
  <si>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</si>
  <si>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</si>
  <si>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</si>
  <si>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</si>
  <si>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</si>
  <si>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</si>
  <si>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</si>
  <si>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</si>
  <si>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</si>
  <si>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</si>
  <si>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</si>
  <si>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</si>
  <si>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</si>
  <si>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</si>
  <si>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</si>
  <si>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</si>
  <si>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</si>
  <si>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</si>
  <si>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</si>
  <si>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</si>
  <si>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</si>
  <si>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</si>
  <si>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</si>
  <si>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</si>
  <si>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</si>
  <si>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</si>
  <si>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</si>
  <si>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</si>
  <si>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</si>
  <si>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</si>
  <si>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</si>
  <si>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</si>
  <si>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</si>
  <si>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</si>
  <si>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</si>
  <si>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</si>
  <si>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</si>
  <si>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</si>
  <si>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</si>
  <si>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</si>
  <si>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</si>
  <si>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</si>
  <si>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</si>
  <si>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</si>
  <si>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</si>
  <si>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</si>
  <si>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</si>
  <si>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</si>
  <si>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</si>
  <si>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</si>
  <si>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</si>
  <si>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</si>
  <si>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</si>
  <si>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</si>
  <si>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</si>
  <si>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</si>
  <si>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</si>
  <si>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</si>
  <si>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</si>
  <si>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</si>
  <si>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</si>
  <si>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</si>
  <si>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</si>
  <si>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</si>
  <si>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</si>
  <si>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</si>
  <si>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</si>
  <si>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</si>
  <si>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</si>
  <si>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</si>
  <si>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</si>
  <si>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</si>
  <si>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</si>
  <si>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</si>
  <si>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</si>
  <si>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</si>
  <si>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</si>
  <si>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</si>
  <si>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</si>
  <si>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</si>
  <si>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</si>
  <si>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</si>
  <si>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</si>
  <si>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</si>
  <si>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</si>
  <si>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</si>
  <si>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</si>
  <si>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</si>
  <si>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</si>
  <si>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</si>
  <si>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</si>
  <si>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</si>
  <si>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</si>
  <si>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</si>
  <si>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</si>
  <si>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</si>
  <si>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</si>
  <si>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</si>
  <si>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</si>
  <si>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</si>
  <si>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</si>
  <si>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</si>
  <si>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</si>
  <si>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</si>
  <si>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</si>
  <si>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</si>
  <si>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</si>
  <si>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</si>
  <si>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</si>
  <si>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</si>
  <si>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</si>
  <si>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</si>
  <si>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</si>
  <si>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</si>
  <si>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</si>
  <si>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</si>
  <si>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</si>
  <si>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</si>
  <si>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</si>
  <si>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</si>
  <si>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</si>
  <si>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</si>
  <si>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</si>
  <si>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</si>
  <si>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</si>
  <si>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</si>
  <si>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</si>
  <si>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</si>
  <si>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</si>
  <si>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</si>
  <si>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</si>
  <si>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</si>
  <si>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</si>
  <si>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</si>
  <si>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</si>
  <si>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</si>
  <si>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</si>
  <si>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</si>
  <si>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</si>
  <si>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</si>
  <si>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</si>
  <si>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</si>
  <si>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</si>
  <si>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</si>
  <si>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</si>
  <si>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</si>
  <si>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</si>
  <si>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</si>
  <si>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</si>
  <si>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</si>
  <si>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</si>
  <si>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</si>
  <si>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</si>
  <si>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</si>
  <si>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</si>
  <si>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</si>
  <si>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</si>
  <si>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</si>
  <si>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</si>
  <si>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</si>
  <si>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</si>
  <si>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</si>
  <si>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</si>
  <si>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</si>
  <si>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</si>
  <si>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</si>
  <si>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</si>
  <si>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</si>
  <si>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</si>
  <si>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</si>
  <si>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</si>
  <si>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</si>
  <si>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</si>
  <si>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</si>
  <si>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</si>
  <si>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</si>
  <si>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</si>
  <si>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</si>
  <si>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</si>
  <si>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</si>
  <si>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</si>
  <si>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</si>
  <si>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</si>
  <si>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</si>
  <si>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</si>
  <si>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</si>
  <si>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</si>
  <si>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</si>
  <si>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</si>
  <si>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</si>
  <si>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</si>
  <si>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</si>
  <si>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</si>
  <si>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</si>
  <si>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</si>
  <si>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</si>
  <si>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</si>
  <si>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</si>
  <si>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</si>
  <si>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</si>
  <si>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</si>
  <si>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</si>
  <si>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</si>
  <si>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</si>
  <si>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</si>
  <si>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</si>
  <si>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</si>
  <si>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</si>
  <si>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</si>
  <si>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</si>
  <si>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</si>
  <si>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</si>
  <si>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</si>
  <si>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</si>
  <si>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</si>
  <si>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</si>
  <si>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</si>
  <si>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</si>
  <si>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</si>
  <si>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</si>
  <si>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</si>
  <si>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</si>
  <si>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</si>
  <si>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</si>
  <si>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</si>
  <si>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</si>
  <si>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</si>
  <si>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</si>
  <si>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</si>
  <si>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</si>
  <si>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</si>
  <si>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</si>
  <si>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</si>
  <si>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</si>
  <si>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</si>
  <si>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</si>
  <si>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</si>
  <si>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</si>
  <si>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</si>
  <si>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</si>
  <si>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</si>
  <si>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</si>
  <si>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</si>
  <si>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</si>
  <si>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</si>
  <si>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</si>
  <si>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</si>
  <si>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</si>
  <si>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</si>
  <si>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</si>
  <si>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</si>
  <si>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</si>
  <si>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</si>
  <si>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</si>
  <si>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</si>
  <si>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</si>
  <si>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</si>
  <si>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</si>
  <si>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</si>
  <si>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</si>
  <si>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</si>
  <si>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</si>
  <si>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</si>
  <si>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</si>
  <si>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</si>
  <si>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</si>
  <si>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</si>
  <si>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</si>
  <si>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</si>
  <si>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</si>
  <si>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</si>
  <si>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</si>
  <si>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</si>
  <si>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</si>
  <si>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</si>
  <si>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</si>
  <si>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</si>
  <si>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</si>
  <si>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</si>
  <si>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</si>
  <si>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</si>
  <si>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</si>
  <si>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</si>
  <si>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</si>
  <si>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</si>
  <si>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</si>
  <si>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</si>
  <si>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</si>
  <si>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</si>
  <si>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</si>
  <si>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</si>
  <si>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</si>
  <si>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</si>
  <si>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</si>
  <si>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</si>
  <si>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</si>
  <si>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</si>
  <si>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</si>
  <si>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</si>
  <si>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</si>
  <si>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</si>
  <si>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</si>
  <si>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</si>
  <si>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</si>
  <si>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</si>
  <si>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</si>
  <si>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</si>
  <si>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</si>
  <si>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</si>
  <si>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</si>
  <si>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</si>
  <si>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</si>
  <si>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</si>
  <si>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</si>
  <si>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</si>
  <si>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</si>
  <si>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</si>
  <si>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</si>
  <si>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</si>
  <si>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</si>
  <si>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</si>
  <si>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</si>
  <si>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</si>
  <si>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</si>
  <si>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</si>
  <si>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</si>
  <si>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</si>
  <si>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</si>
  <si>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</si>
  <si>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</si>
  <si>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</si>
  <si>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</si>
  <si>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</si>
  <si>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</si>
  <si>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</si>
  <si>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</si>
  <si>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</si>
  <si>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</si>
  <si>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</si>
  <si>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</si>
  <si>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</si>
  <si>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</si>
  <si>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</si>
  <si>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</si>
  <si>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</si>
  <si>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</si>
  <si>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</si>
  <si>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</si>
  <si>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</si>
  <si>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</si>
  <si>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</si>
  <si>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</si>
  <si>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</si>
  <si>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</si>
  <si>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</si>
  <si>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</si>
  <si>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</si>
  <si>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</si>
  <si>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</si>
  <si>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</si>
  <si>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</si>
  <si>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</si>
  <si>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</si>
  <si>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</si>
  <si>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</si>
  <si>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</si>
  <si>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</si>
  <si>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</si>
  <si>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</si>
  <si>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</si>
  <si>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</si>
  <si>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</si>
  <si>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</si>
  <si>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</si>
  <si>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</si>
  <si>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</si>
  <si>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</si>
  <si>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</si>
  <si>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</si>
  <si>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</si>
  <si>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</si>
  <si>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</si>
  <si>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</si>
  <si>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</si>
  <si>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</si>
  <si>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</si>
  <si>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</si>
  <si>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</si>
  <si>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</si>
  <si>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</si>
  <si>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</si>
  <si>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</si>
  <si>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</si>
  <si>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</si>
  <si>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</si>
  <si>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</si>
  <si>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</si>
  <si>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</si>
  <si>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</si>
  <si>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</si>
  <si>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</si>
  <si>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</si>
  <si>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</si>
  <si>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</si>
  <si>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</si>
  <si>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</si>
  <si>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</si>
  <si>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</si>
  <si>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</si>
  <si>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</si>
  <si>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</si>
  <si>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</si>
  <si>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</si>
  <si>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</si>
  <si>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</si>
  <si>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</si>
  <si>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</si>
  <si>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</si>
  <si>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</si>
  <si>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</si>
  <si>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</si>
  <si>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</si>
  <si>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</si>
  <si>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</si>
  <si>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</si>
  <si>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</si>
  <si>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</si>
  <si>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</si>
  <si>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</si>
  <si>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</si>
  <si>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</si>
  <si>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</si>
  <si>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</si>
  <si>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</si>
  <si>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</si>
  <si>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</si>
  <si>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</si>
  <si>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</si>
  <si>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</si>
  <si>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</si>
  <si>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</si>
  <si>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</si>
  <si>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</si>
  <si>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</si>
  <si>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</si>
  <si>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</si>
  <si>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</si>
  <si>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</si>
  <si>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</si>
  <si>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</si>
  <si>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</si>
  <si>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</si>
  <si>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</si>
  <si>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</si>
  <si>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</si>
  <si>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</si>
  <si>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</si>
  <si>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</si>
  <si>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</si>
  <si>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</si>
  <si>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</si>
  <si>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</si>
  <si>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</si>
  <si>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</si>
  <si>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</si>
  <si>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</si>
  <si>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</si>
  <si>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</si>
  <si>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</si>
  <si>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</si>
  <si>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</si>
  <si>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</si>
  <si>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</si>
  <si>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</si>
  <si>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</si>
  <si>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</si>
  <si>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</si>
  <si>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</si>
  <si>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</si>
  <si>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</si>
  <si>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</si>
  <si>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</si>
  <si>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</si>
  <si>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</si>
  <si>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</si>
  <si>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</si>
  <si>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</si>
  <si>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</si>
  <si>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</si>
  <si>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</si>
  <si>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</si>
  <si>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</si>
  <si>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</si>
  <si>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</si>
  <si>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</si>
  <si>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</si>
  <si>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</si>
  <si>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</si>
  <si>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</si>
  <si>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</si>
  <si>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</si>
  <si>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</si>
  <si>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</si>
  <si>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</si>
  <si>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</si>
  <si>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</si>
  <si>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</si>
  <si>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</si>
  <si>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</si>
  <si>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</si>
  <si>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</si>
  <si>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</si>
  <si>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</si>
  <si>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</si>
  <si>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</si>
  <si>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</si>
  <si>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</si>
  <si>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</si>
  <si>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</si>
  <si>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</si>
  <si>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</si>
  <si>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</si>
  <si>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</si>
  <si>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</si>
  <si>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</si>
  <si>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</si>
  <si>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</si>
  <si>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</si>
  <si>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</si>
  <si>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</si>
  <si>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</si>
  <si>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</si>
  <si>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</si>
  <si>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</si>
  <si>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</si>
  <si>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</si>
  <si>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</si>
  <si>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</si>
  <si>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</si>
  <si>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</si>
  <si>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</si>
  <si>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</si>
  <si>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</si>
  <si>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</si>
  <si>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</si>
  <si>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</si>
  <si>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</si>
  <si>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</si>
  <si>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</si>
  <si>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</si>
  <si>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</si>
  <si>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</si>
  <si>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</si>
  <si>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</si>
  <si>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</si>
  <si>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</si>
  <si>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</si>
  <si>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</si>
  <si>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</si>
  <si>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</si>
  <si>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</si>
  <si>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</si>
  <si>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</si>
  <si>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</si>
  <si>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</si>
  <si>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</si>
  <si>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</si>
  <si>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</si>
  <si>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</si>
  <si>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</si>
  <si>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</si>
  <si>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</si>
  <si>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</si>
  <si>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</si>
  <si>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</si>
  <si>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</si>
  <si>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</si>
  <si>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</si>
  <si>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</si>
  <si>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</si>
  <si>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</si>
  <si>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</si>
  <si>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</si>
  <si>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</si>
  <si>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</si>
  <si>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</si>
  <si>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</si>
  <si>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</si>
  <si>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</si>
  <si>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</si>
  <si>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</si>
  <si>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</si>
  <si>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</si>
  <si>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</si>
  <si>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</si>
  <si>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</si>
  <si>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</si>
  <si>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</si>
  <si>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</si>
  <si>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</si>
  <si>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</si>
  <si>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</si>
  <si>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</si>
  <si>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</si>
  <si>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</si>
  <si>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</si>
  <si>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</si>
  <si>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</si>
  <si>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</si>
  <si>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</si>
  <si>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</si>
  <si>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</si>
  <si>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</si>
  <si>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</si>
  <si>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</si>
  <si>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</si>
  <si>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</si>
  <si>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</si>
  <si>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</si>
  <si>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</si>
  <si>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</si>
  <si>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</si>
  <si>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</si>
  <si>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</si>
  <si>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</si>
  <si>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</si>
  <si>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</si>
  <si>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</si>
  <si>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</si>
  <si>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</si>
  <si>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</si>
  <si>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</si>
  <si>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</si>
  <si>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</si>
  <si>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</si>
  <si>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</si>
  <si>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</si>
  <si>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</si>
  <si>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</si>
  <si>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</si>
  <si>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</si>
  <si>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</si>
  <si>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</si>
  <si>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</si>
  <si>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</si>
  <si>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</si>
  <si>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</si>
  <si>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</si>
  <si>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</si>
  <si>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</si>
  <si>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</si>
  <si>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</si>
  <si>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</si>
  <si>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</si>
  <si>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</si>
  <si>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</si>
  <si>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</si>
  <si>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</si>
  <si>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</si>
  <si>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</si>
  <si>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</si>
  <si>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</si>
  <si>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</si>
  <si>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</si>
  <si>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</si>
  <si>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</si>
  <si>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</si>
  <si>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</si>
  <si>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</si>
  <si>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</si>
  <si>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</si>
  <si>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</si>
  <si>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</si>
  <si>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</si>
  <si>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</si>
  <si>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</si>
  <si>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</si>
  <si>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</si>
  <si>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</si>
  <si>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</si>
  <si>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</si>
  <si>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</si>
  <si>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</si>
  <si>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</si>
  <si>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</si>
  <si>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</si>
  <si>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</si>
  <si>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</si>
  <si>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</si>
  <si>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</si>
  <si>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</si>
  <si>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</si>
  <si>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</si>
  <si>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</si>
  <si>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</si>
  <si>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</si>
  <si>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</si>
  <si>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</si>
  <si>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</si>
  <si>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</si>
  <si>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</si>
  <si>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</si>
  <si>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</si>
  <si>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</si>
  <si>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</si>
  <si>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</si>
  <si>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</si>
  <si>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</si>
  <si>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</si>
  <si>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</si>
  <si>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</si>
  <si>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</si>
  <si>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</si>
  <si>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</si>
  <si>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</si>
  <si>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</si>
  <si>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</si>
  <si>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</si>
  <si>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</si>
  <si>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</si>
  <si>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</si>
  <si>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</si>
  <si>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</si>
  <si>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</si>
  <si>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</si>
  <si>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</si>
  <si>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</si>
  <si>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</si>
  <si>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</si>
  <si>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</si>
  <si>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</si>
  <si>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</si>
  <si>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</si>
  <si>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</si>
  <si>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</si>
  <si>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</si>
  <si>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</si>
  <si>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</si>
  <si>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</si>
  <si>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</si>
  <si>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</si>
  <si>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</si>
  <si>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</si>
  <si>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</si>
  <si>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</si>
  <si>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</si>
  <si>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</si>
  <si>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</si>
  <si>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</si>
  <si>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</si>
  <si>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</si>
  <si>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</si>
  <si>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</si>
  <si>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</si>
  <si>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</si>
  <si>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</si>
  <si>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</si>
  <si>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</si>
  <si>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</si>
  <si>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</si>
  <si>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</si>
  <si>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</si>
  <si>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</si>
  <si>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</si>
  <si>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</si>
  <si>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</si>
  <si>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</si>
  <si>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</si>
  <si>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</si>
  <si>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</si>
  <si>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</si>
  <si>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</si>
  <si>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</si>
  <si>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</si>
  <si>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</si>
  <si>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</si>
  <si>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</si>
  <si>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</si>
  <si>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</si>
  <si>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</si>
  <si>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</si>
  <si>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</si>
  <si>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</si>
  <si>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</si>
  <si>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</si>
  <si>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</si>
  <si>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</si>
  <si>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</si>
  <si>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</si>
  <si>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</si>
  <si>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</si>
  <si>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</si>
  <si>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</si>
  <si>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</si>
  <si>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</si>
  <si>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</si>
  <si>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</si>
  <si>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</si>
  <si>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</si>
  <si>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</si>
  <si>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</si>
  <si>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</si>
  <si>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</si>
  <si>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</si>
  <si>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</si>
  <si>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</si>
  <si>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</si>
  <si>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</si>
  <si>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</si>
  <si>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</si>
  <si>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</si>
  <si>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</si>
  <si>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</si>
  <si>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</si>
  <si>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</si>
  <si>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</si>
  <si>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</si>
  <si>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</si>
  <si>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</si>
  <si>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</si>
  <si>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</si>
  <si>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</si>
  <si>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</si>
  <si>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</si>
  <si>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</si>
  <si>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</si>
  <si>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</si>
  <si>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</si>
  <si>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</si>
  <si>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</si>
  <si>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</si>
  <si>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</si>
  <si>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</si>
  <si>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</si>
  <si>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</si>
  <si>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</si>
  <si>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</si>
  <si>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</si>
  <si>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</si>
  <si>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</si>
  <si>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</si>
  <si>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</si>
  <si>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</si>
  <si>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</si>
  <si>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</si>
  <si>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</si>
  <si>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</si>
  <si>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</si>
  <si>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</si>
  <si>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</si>
  <si>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</si>
  <si>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</si>
  <si>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</si>
  <si>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</si>
  <si>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</si>
  <si>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</si>
  <si>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</si>
  <si>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</si>
  <si>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</si>
  <si>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</si>
  <si>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</si>
  <si>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</si>
  <si>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</si>
  <si>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</si>
  <si>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</si>
  <si>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</si>
  <si>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</si>
  <si>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</si>
  <si>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</si>
  <si>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</si>
  <si>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</si>
  <si>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</si>
  <si>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</si>
  <si>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</si>
  <si>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</si>
  <si>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</si>
  <si>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</si>
  <si>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</si>
  <si>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</si>
  <si>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</si>
  <si>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</si>
  <si>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</si>
  <si>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</si>
  <si>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</si>
  <si>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</si>
  <si>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</si>
  <si>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</si>
  <si>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</si>
  <si>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</si>
  <si>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</si>
  <si>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</si>
  <si>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</si>
  <si>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</si>
  <si>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</si>
  <si>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</si>
  <si>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</si>
  <si>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</si>
  <si>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</si>
  <si>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</si>
  <si>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</si>
  <si>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</si>
  <si>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</si>
  <si>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</si>
  <si>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</si>
  <si>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</si>
  <si>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</si>
  <si>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</si>
  <si>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</si>
  <si>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</si>
  <si>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</si>
  <si>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</si>
  <si>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</si>
  <si>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</si>
  <si>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</si>
  <si>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</si>
  <si>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</si>
  <si>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</si>
  <si>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</si>
  <si>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</si>
  <si>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</si>
  <si>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</si>
  <si>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</si>
  <si>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</si>
  <si>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</si>
  <si>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</si>
  <si>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</si>
  <si>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</si>
  <si>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</si>
  <si>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</si>
  <si>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</si>
  <si>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</si>
  <si>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</si>
  <si>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</si>
  <si>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</si>
  <si>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</si>
  <si>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</si>
  <si>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</si>
  <si>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</si>
  <si>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</si>
  <si>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</si>
  <si>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</si>
  <si>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</si>
  <si>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</si>
  <si>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</si>
  <si>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</si>
  <si>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</si>
  <si>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</si>
  <si>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</si>
  <si>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</si>
  <si>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</si>
  <si>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</si>
  <si>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</si>
  <si>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</si>
  <si>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</si>
  <si>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</si>
  <si>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</si>
  <si>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</si>
  <si>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</si>
  <si>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</si>
  <si>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</si>
  <si>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</si>
  <si>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</si>
  <si>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</si>
  <si>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</si>
  <si>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</si>
  <si>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</si>
  <si>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</si>
  <si>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</si>
  <si>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</si>
  <si>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</si>
  <si>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</si>
  <si>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</si>
  <si>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</si>
  <si>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</si>
  <si>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</si>
  <si>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</si>
  <si>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</si>
  <si>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</si>
  <si>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</si>
  <si>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</si>
  <si>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</si>
  <si>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</si>
  <si>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</si>
  <si>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</si>
  <si>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</si>
  <si>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</si>
  <si>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</si>
  <si>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</si>
  <si>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</si>
  <si>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</si>
  <si>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</si>
  <si>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</si>
  <si>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</si>
  <si>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</si>
  <si>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</si>
  <si>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</si>
  <si>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</si>
  <si>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</si>
  <si>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</si>
  <si>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</si>
  <si>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</si>
  <si>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</si>
  <si>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</si>
  <si>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</si>
  <si>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</si>
  <si>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</si>
  <si>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</si>
  <si>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</si>
  <si>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</si>
  <si>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</si>
  <si>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</si>
  <si>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</si>
  <si>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</si>
  <si>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</si>
  <si>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</si>
  <si>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</si>
  <si>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</si>
  <si>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</si>
  <si>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</si>
  <si>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</si>
  <si>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</si>
  <si>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</si>
  <si>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</si>
  <si>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</si>
  <si>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</si>
  <si>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</si>
  <si>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</si>
  <si>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</si>
  <si>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</si>
  <si>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</si>
  <si>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</si>
  <si>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</si>
  <si>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</si>
  <si>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</si>
  <si>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</si>
  <si>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</si>
  <si>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</si>
  <si>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</si>
  <si>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</si>
  <si>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</si>
  <si>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</si>
  <si>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</si>
  <si>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</si>
  <si>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</si>
  <si>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</si>
  <si>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</si>
  <si>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</si>
  <si>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</si>
  <si>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</si>
  <si>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</si>
  <si>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</si>
  <si>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</si>
  <si>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</si>
  <si>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</si>
  <si>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</si>
  <si>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</si>
  <si>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</si>
  <si>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</si>
  <si>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</si>
  <si>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</si>
  <si>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</si>
  <si>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</si>
  <si>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</si>
  <si>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</si>
  <si>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</si>
  <si>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</si>
  <si>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</si>
  <si>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</si>
  <si>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</si>
  <si>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</si>
  <si>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</si>
  <si>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</si>
  <si>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</si>
  <si>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</si>
  <si>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</si>
  <si>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</si>
  <si>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</si>
  <si>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</si>
  <si>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</si>
  <si>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</si>
  <si>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</si>
  <si>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</si>
  <si>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</si>
  <si>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</si>
  <si>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</si>
  <si>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</si>
  <si>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</si>
  <si>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</si>
  <si>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</si>
  <si>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</si>
  <si>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</si>
  <si>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</si>
  <si>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</si>
  <si>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</si>
  <si>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</si>
  <si>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</si>
  <si>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</si>
  <si>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</si>
  <si>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</si>
  <si>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</si>
  <si>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</si>
  <si>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</si>
  <si>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</si>
  <si>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</si>
  <si>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</si>
  <si>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</si>
  <si>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</si>
  <si>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</si>
  <si>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</si>
  <si>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</si>
  <si>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</si>
  <si>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</si>
  <si>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</si>
  <si>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</si>
  <si>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</si>
  <si>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</si>
  <si>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</si>
  <si>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</si>
  <si>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</si>
  <si>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</si>
  <si>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</si>
  <si>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</si>
  <si>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</si>
  <si>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</si>
  <si>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</si>
  <si>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</si>
  <si>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</si>
  <si>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</si>
  <si>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</si>
  <si>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</si>
  <si>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</si>
  <si>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</si>
  <si>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</si>
  <si>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</si>
  <si>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</si>
  <si>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</si>
  <si>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</si>
  <si>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</si>
  <si>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</si>
  <si>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</si>
  <si>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</si>
  <si>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</si>
  <si>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</si>
  <si>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</si>
  <si>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</si>
  <si>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</si>
  <si>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</si>
  <si>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</si>
  <si>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</si>
  <si>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</si>
  <si>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</si>
  <si>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</si>
  <si>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</si>
  <si>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</si>
  <si>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</si>
  <si>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</si>
  <si>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</si>
  <si>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</si>
  <si>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</si>
  <si>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</si>
  <si>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</si>
  <si>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</si>
  <si>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</si>
  <si>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</si>
  <si>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</si>
  <si>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</si>
  <si>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</si>
  <si>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</si>
  <si>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</si>
  <si>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</si>
  <si>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</si>
  <si>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</si>
  <si>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</si>
  <si>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</si>
  <si>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</si>
  <si>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</si>
  <si>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</si>
  <si>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</si>
  <si>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</si>
  <si>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</si>
  <si>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</si>
  <si>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</si>
  <si>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</si>
  <si>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</si>
  <si>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</si>
  <si>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</si>
  <si>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</si>
  <si>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</si>
  <si>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</si>
  <si>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</si>
  <si>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</si>
  <si>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</si>
  <si>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</si>
  <si>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</si>
  <si>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</si>
  <si>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</si>
  <si>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</si>
  <si>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</si>
  <si>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</si>
  <si>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</si>
  <si>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</si>
  <si>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</si>
  <si>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</si>
  <si>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</si>
  <si>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</si>
  <si>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</si>
  <si>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</si>
  <si>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</si>
  <si>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</si>
  <si>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</si>
  <si>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</si>
  <si>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</si>
  <si>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</si>
  <si>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</si>
  <si>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</si>
  <si>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</si>
  <si>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</si>
  <si>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</si>
  <si>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</si>
  <si>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</si>
  <si>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</si>
  <si>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</si>
  <si>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</si>
  <si>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</si>
  <si>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</si>
  <si>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</si>
  <si>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</si>
  <si>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</si>
  <si>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</si>
  <si>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</si>
  <si>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</si>
  <si>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</si>
  <si>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</si>
  <si>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</si>
  <si>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</si>
  <si>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</si>
  <si>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</si>
  <si>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</si>
  <si>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</si>
  <si>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</si>
  <si>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</si>
  <si>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</si>
  <si>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</si>
  <si>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</si>
  <si>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</si>
  <si>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</si>
  <si>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</si>
  <si>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</si>
  <si>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</si>
  <si>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</si>
  <si>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</si>
  <si>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</si>
  <si>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</si>
  <si>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</si>
  <si>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</si>
  <si>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</si>
  <si>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</si>
  <si>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</si>
  <si>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</si>
  <si>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</si>
  <si>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</si>
  <si>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</si>
  <si>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</si>
  <si>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</si>
  <si>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</si>
  <si>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</si>
  <si>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</si>
  <si>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</si>
  <si>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</si>
  <si>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</si>
  <si>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</si>
  <si>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</si>
  <si>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</si>
  <si>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</si>
  <si>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</si>
  <si>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</si>
  <si>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</si>
  <si>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</si>
  <si>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</si>
  <si>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</si>
  <si>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</si>
  <si>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</si>
  <si>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</si>
  <si>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</si>
  <si>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</si>
  <si>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</si>
  <si>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</si>
  <si>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</si>
  <si>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</si>
  <si>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</si>
  <si>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</si>
  <si>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</si>
  <si>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</si>
  <si>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</si>
  <si>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</si>
  <si>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</si>
  <si>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</si>
  <si>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</si>
  <si>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</si>
  <si>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</si>
  <si>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</si>
  <si>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</si>
  <si>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</si>
  <si>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</si>
  <si>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</si>
  <si>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</si>
  <si>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</si>
  <si>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</si>
  <si>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</si>
  <si>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</si>
  <si>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</si>
  <si>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</si>
  <si>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</si>
  <si>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</si>
  <si>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</si>
  <si>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</si>
  <si>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</si>
  <si>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</si>
  <si>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</si>
  <si>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</si>
  <si>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</si>
  <si>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</si>
  <si>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</si>
  <si>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</si>
  <si>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</si>
  <si>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</si>
  <si>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</si>
  <si>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</si>
  <si>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</si>
  <si>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</si>
  <si>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</si>
  <si>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</si>
  <si>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</si>
  <si>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</si>
  <si>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</si>
  <si>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</si>
  <si>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</si>
  <si>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</si>
  <si>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</si>
  <si>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</si>
  <si>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</si>
  <si>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</si>
  <si>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</si>
  <si>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</si>
  <si>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</si>
  <si>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</si>
  <si>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</si>
  <si>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</si>
  <si>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</si>
  <si>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</si>
  <si>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</si>
  <si>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</si>
  <si>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</si>
  <si>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</si>
  <si>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</si>
  <si>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</si>
  <si>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</si>
  <si>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</si>
  <si>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</si>
  <si>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</si>
  <si>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</si>
  <si>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</si>
  <si>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</si>
  <si>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</si>
  <si>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</si>
  <si>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</si>
  <si>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</si>
  <si>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</si>
  <si>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</si>
  <si>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</si>
  <si>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</si>
  <si>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</si>
  <si>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</si>
  <si>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</si>
  <si>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</si>
  <si>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</si>
  <si>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</si>
  <si>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</si>
  <si>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</si>
  <si>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</si>
  <si>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</si>
  <si>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</si>
  <si>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</si>
  <si>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</si>
  <si>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</si>
  <si>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</si>
  <si>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</si>
  <si>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</si>
  <si>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</si>
  <si>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</si>
  <si>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</si>
  <si>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</si>
  <si>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</si>
  <si>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</si>
  <si>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</si>
  <si>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</si>
  <si>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</si>
  <si>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</si>
  <si>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</si>
  <si>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</si>
  <si>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</si>
  <si>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</si>
  <si>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</si>
  <si>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</si>
  <si>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</si>
  <si>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</si>
  <si>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</si>
  <si>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</si>
  <si>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</si>
  <si>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</si>
  <si>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</si>
  <si>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</si>
  <si>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</si>
  <si>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</si>
  <si>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</si>
  <si>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</si>
  <si>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</si>
  <si>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</si>
  <si>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</si>
  <si>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</si>
  <si>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</si>
  <si>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</si>
  <si>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</si>
  <si>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</si>
  <si>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</si>
  <si>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</si>
  <si>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</si>
  <si>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</si>
  <si>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</si>
  <si>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</si>
  <si>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</si>
  <si>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</si>
  <si>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</si>
  <si>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</si>
  <si>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</si>
  <si>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</si>
  <si>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</si>
  <si>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</si>
  <si>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</si>
  <si>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</si>
  <si>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</si>
  <si>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</si>
  <si>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</si>
  <si>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</si>
  <si>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</si>
  <si>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</si>
  <si>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</si>
  <si>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</si>
  <si>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</si>
  <si>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</si>
  <si>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</si>
  <si>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</si>
  <si>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</si>
  <si>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</si>
  <si>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</si>
  <si>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</si>
  <si>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</si>
  <si>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</si>
  <si>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</si>
  <si>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</si>
  <si>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</si>
  <si>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</si>
  <si>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</si>
  <si>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</si>
  <si>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</si>
  <si>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</si>
  <si>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</si>
  <si>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</si>
  <si>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</si>
  <si>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</si>
  <si>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</si>
  <si>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</si>
  <si>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</si>
  <si>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</si>
  <si>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</si>
  <si>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</si>
  <si>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</si>
  <si>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</si>
  <si>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</si>
  <si>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</si>
  <si>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</si>
  <si>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</si>
  <si>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</si>
  <si>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</si>
  <si>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</si>
  <si>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</si>
  <si>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</si>
  <si>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</si>
  <si>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</si>
  <si>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</si>
  <si>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</si>
  <si>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</si>
  <si>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</si>
  <si>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</si>
  <si>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</si>
  <si>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</si>
  <si>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</si>
  <si>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</si>
  <si>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</si>
  <si>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</si>
  <si>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</si>
  <si>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</si>
  <si>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</si>
  <si>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</si>
  <si>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</si>
  <si>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</si>
  <si>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</si>
  <si>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</si>
  <si>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</si>
  <si>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</si>
  <si>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</si>
  <si>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</si>
  <si>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</si>
  <si>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</si>
  <si>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</si>
  <si>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</si>
  <si>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</si>
  <si>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</si>
  <si>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</si>
  <si>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</si>
  <si>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</si>
  <si>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</si>
  <si>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</si>
  <si>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</si>
  <si>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</si>
  <si>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</si>
  <si>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</si>
  <si>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</si>
  <si>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</si>
  <si>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</si>
  <si>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</si>
  <si>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</si>
  <si>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</si>
  <si>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</si>
  <si>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</si>
  <si>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</si>
  <si>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</si>
  <si>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</si>
  <si>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</si>
  <si>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</si>
  <si>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</si>
  <si>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</si>
  <si>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</si>
  <si>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</si>
  <si>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</si>
  <si>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</si>
  <si>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</si>
  <si>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</si>
  <si>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</si>
  <si>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</si>
  <si>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</si>
  <si>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</si>
  <si>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</si>
  <si>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</si>
  <si>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</si>
  <si>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</si>
  <si>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</si>
  <si>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</si>
  <si>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</si>
  <si>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</si>
  <si>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</si>
  <si>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</si>
  <si>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</si>
  <si>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</si>
  <si>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</si>
  <si>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</si>
  <si>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</si>
  <si>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</si>
  <si>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</si>
  <si>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</si>
  <si>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</si>
  <si>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</si>
  <si>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</si>
  <si>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</si>
  <si>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</si>
  <si>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</si>
  <si>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</si>
  <si>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</si>
  <si>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</si>
  <si>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</si>
  <si>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</si>
  <si>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</si>
  <si>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</si>
  <si>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</si>
  <si>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</si>
  <si>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</si>
  <si>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</si>
  <si>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</si>
  <si>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</si>
  <si>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</si>
  <si>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</si>
  <si>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</si>
  <si>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</si>
  <si>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</si>
  <si>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</si>
  <si>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</si>
  <si>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</si>
  <si>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</si>
  <si>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</si>
  <si>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</si>
  <si>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</si>
  <si>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</si>
  <si>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</si>
  <si>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</si>
  <si>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</si>
  <si>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</si>
  <si>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</si>
  <si>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</si>
  <si>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</si>
  <si>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</si>
  <si>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</si>
  <si>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</si>
  <si>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</si>
  <si>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</si>
  <si>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</si>
  <si>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</si>
  <si>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</si>
  <si>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</si>
  <si>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</si>
  <si>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</si>
  <si>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</si>
  <si>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</si>
  <si>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</si>
  <si>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</si>
  <si>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</si>
  <si>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</si>
  <si>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</si>
  <si>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</si>
  <si>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</si>
  <si>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</si>
  <si>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</si>
  <si>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</si>
  <si>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</si>
  <si>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</si>
  <si>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</si>
  <si>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</si>
  <si>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</si>
  <si>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</si>
  <si>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</si>
  <si>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</si>
  <si>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</si>
  <si>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</si>
  <si>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</si>
  <si>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</si>
  <si>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</si>
  <si>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</si>
  <si>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</si>
  <si>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</si>
  <si>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</si>
  <si>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</si>
  <si>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</si>
  <si>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</si>
  <si>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</si>
  <si>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</si>
  <si>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</si>
  <si>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</si>
  <si>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</si>
  <si>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</si>
  <si>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</si>
  <si>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</si>
  <si>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</si>
  <si>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</si>
  <si>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</si>
  <si>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</si>
  <si>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</si>
  <si>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</si>
  <si>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</si>
  <si>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</si>
  <si>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</si>
  <si>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</si>
  <si>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</si>
  <si>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</si>
  <si>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</si>
  <si>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</si>
  <si>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</si>
  <si>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</si>
  <si>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</si>
  <si>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</si>
  <si>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</si>
  <si>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</si>
  <si>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</si>
  <si>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抵押</t>
  </si>
  <si>
    <t>房地产抵押价值</t>
  </si>
  <si>
    <t>北京市</t>
  </si>
  <si>
    <t>企业</t>
  </si>
  <si>
    <t>出让</t>
  </si>
  <si>
    <t>分摊土地面积</t>
    <phoneticPr fontId="141" type="noConversion"/>
  </si>
  <si>
    <t>测绘分层</t>
    <phoneticPr fontId="141" type="noConversion"/>
  </si>
  <si>
    <t>建筑面积（含人防）</t>
    <phoneticPr fontId="141" type="noConversion"/>
  </si>
  <si>
    <t>人防</t>
    <phoneticPr fontId="141" type="noConversion"/>
  </si>
  <si>
    <t>建面（不含人防）</t>
    <phoneticPr fontId="141" type="noConversion"/>
  </si>
  <si>
    <r>
      <t>-</t>
    </r>
    <r>
      <rPr>
        <sz val="11"/>
        <color theme="1"/>
        <rFont val="宋体"/>
        <family val="3"/>
        <charset val="134"/>
        <scheme val="minor"/>
      </rPr>
      <t>3层</t>
    </r>
    <phoneticPr fontId="141" type="noConversion"/>
  </si>
  <si>
    <r>
      <t>-</t>
    </r>
    <r>
      <rPr>
        <sz val="11"/>
        <color theme="1"/>
        <rFont val="宋体"/>
        <family val="3"/>
        <charset val="134"/>
        <scheme val="minor"/>
      </rPr>
      <t>1072</t>
    </r>
    <phoneticPr fontId="141" type="noConversion"/>
  </si>
  <si>
    <r>
      <t>-</t>
    </r>
    <r>
      <rPr>
        <sz val="11"/>
        <color theme="1"/>
        <rFont val="宋体"/>
        <family val="3"/>
        <charset val="134"/>
        <scheme val="minor"/>
      </rPr>
      <t>1073</t>
    </r>
    <r>
      <rPr>
        <sz val="11"/>
        <color theme="1"/>
        <rFont val="宋体"/>
        <family val="2"/>
        <charset val="134"/>
        <scheme val="minor"/>
      </rPr>
      <t/>
    </r>
  </si>
  <si>
    <r>
      <t>-</t>
    </r>
    <r>
      <rPr>
        <sz val="11"/>
        <color theme="1"/>
        <rFont val="宋体"/>
        <family val="3"/>
        <charset val="134"/>
        <scheme val="minor"/>
      </rPr>
      <t>2层</t>
    </r>
    <phoneticPr fontId="141" type="noConversion"/>
  </si>
  <si>
    <r>
      <t>-</t>
    </r>
    <r>
      <rPr>
        <sz val="11"/>
        <color theme="1"/>
        <rFont val="宋体"/>
        <family val="3"/>
        <charset val="134"/>
        <scheme val="minor"/>
      </rPr>
      <t>1074</t>
    </r>
    <r>
      <rPr>
        <sz val="11"/>
        <color theme="1"/>
        <rFont val="宋体"/>
        <family val="2"/>
        <charset val="134"/>
        <scheme val="minor"/>
      </rPr>
      <t/>
    </r>
  </si>
  <si>
    <r>
      <t>-</t>
    </r>
    <r>
      <rPr>
        <sz val="11"/>
        <color theme="1"/>
        <rFont val="宋体"/>
        <family val="3"/>
        <charset val="134"/>
        <scheme val="minor"/>
      </rPr>
      <t>1层</t>
    </r>
    <phoneticPr fontId="141" type="noConversion"/>
  </si>
  <si>
    <r>
      <t>-</t>
    </r>
    <r>
      <rPr>
        <sz val="11"/>
        <color theme="1"/>
        <rFont val="宋体"/>
        <family val="3"/>
        <charset val="134"/>
        <scheme val="minor"/>
      </rPr>
      <t>1075</t>
    </r>
    <r>
      <rPr>
        <sz val="11"/>
        <color theme="1"/>
        <rFont val="宋体"/>
        <family val="2"/>
        <charset val="134"/>
        <scheme val="minor"/>
      </rPr>
      <t/>
    </r>
  </si>
  <si>
    <t>1层</t>
    <phoneticPr fontId="141" type="noConversion"/>
  </si>
  <si>
    <r>
      <t>-</t>
    </r>
    <r>
      <rPr>
        <sz val="11"/>
        <color theme="1"/>
        <rFont val="宋体"/>
        <family val="3"/>
        <charset val="134"/>
        <scheme val="minor"/>
      </rPr>
      <t>1076</t>
    </r>
    <r>
      <rPr>
        <sz val="11"/>
        <color theme="1"/>
        <rFont val="宋体"/>
        <family val="2"/>
        <charset val="134"/>
        <scheme val="minor"/>
      </rPr>
      <t/>
    </r>
  </si>
  <si>
    <t>2层</t>
    <phoneticPr fontId="141" type="noConversion"/>
  </si>
  <si>
    <r>
      <t>-</t>
    </r>
    <r>
      <rPr>
        <sz val="11"/>
        <color theme="1"/>
        <rFont val="宋体"/>
        <family val="3"/>
        <charset val="134"/>
        <scheme val="minor"/>
      </rPr>
      <t>1077</t>
    </r>
    <r>
      <rPr>
        <sz val="11"/>
        <color theme="1"/>
        <rFont val="宋体"/>
        <family val="2"/>
        <charset val="134"/>
        <scheme val="minor"/>
      </rPr>
      <t/>
    </r>
  </si>
  <si>
    <t>3层</t>
    <phoneticPr fontId="141" type="noConversion"/>
  </si>
  <si>
    <r>
      <t>-</t>
    </r>
    <r>
      <rPr>
        <sz val="11"/>
        <color theme="1"/>
        <rFont val="宋体"/>
        <family val="3"/>
        <charset val="134"/>
        <scheme val="minor"/>
      </rPr>
      <t>1078</t>
    </r>
    <r>
      <rPr>
        <sz val="11"/>
        <color theme="1"/>
        <rFont val="宋体"/>
        <family val="2"/>
        <charset val="134"/>
        <scheme val="minor"/>
      </rPr>
      <t/>
    </r>
  </si>
  <si>
    <t>4层</t>
    <phoneticPr fontId="141" type="noConversion"/>
  </si>
  <si>
    <r>
      <t>-</t>
    </r>
    <r>
      <rPr>
        <sz val="11"/>
        <color theme="1"/>
        <rFont val="宋体"/>
        <family val="3"/>
        <charset val="134"/>
        <scheme val="minor"/>
      </rPr>
      <t>1079</t>
    </r>
    <r>
      <rPr>
        <sz val="11"/>
        <color theme="1"/>
        <rFont val="宋体"/>
        <family val="2"/>
        <charset val="134"/>
        <scheme val="minor"/>
      </rPr>
      <t/>
    </r>
  </si>
  <si>
    <t>5层</t>
    <phoneticPr fontId="141" type="noConversion"/>
  </si>
  <si>
    <r>
      <t>-</t>
    </r>
    <r>
      <rPr>
        <sz val="11"/>
        <color theme="1"/>
        <rFont val="宋体"/>
        <family val="3"/>
        <charset val="134"/>
        <scheme val="minor"/>
      </rPr>
      <t>1080</t>
    </r>
    <r>
      <rPr>
        <sz val="11"/>
        <color theme="1"/>
        <rFont val="宋体"/>
        <family val="2"/>
        <charset val="134"/>
        <scheme val="minor"/>
      </rPr>
      <t/>
    </r>
  </si>
  <si>
    <t>6层</t>
    <phoneticPr fontId="141" type="noConversion"/>
  </si>
  <si>
    <r>
      <t>-</t>
    </r>
    <r>
      <rPr>
        <sz val="11"/>
        <color theme="1"/>
        <rFont val="宋体"/>
        <family val="3"/>
        <charset val="134"/>
        <scheme val="minor"/>
      </rPr>
      <t>1081</t>
    </r>
    <r>
      <rPr>
        <sz val="11"/>
        <color theme="1"/>
        <rFont val="宋体"/>
        <family val="2"/>
        <charset val="134"/>
        <scheme val="minor"/>
      </rPr>
      <t/>
    </r>
  </si>
  <si>
    <t>附属机房层</t>
    <phoneticPr fontId="141" type="noConversion"/>
  </si>
  <si>
    <r>
      <t>-</t>
    </r>
    <r>
      <rPr>
        <sz val="11"/>
        <color theme="1"/>
        <rFont val="宋体"/>
        <family val="3"/>
        <charset val="134"/>
        <scheme val="minor"/>
      </rPr>
      <t>1082</t>
    </r>
    <r>
      <rPr>
        <sz val="11"/>
        <color theme="1"/>
        <rFont val="宋体"/>
        <family val="2"/>
        <charset val="134"/>
        <scheme val="minor"/>
      </rPr>
      <t/>
    </r>
  </si>
  <si>
    <r>
      <t>-</t>
    </r>
    <r>
      <rPr>
        <sz val="11"/>
        <color theme="1"/>
        <rFont val="宋体"/>
        <family val="3"/>
        <charset val="134"/>
        <scheme val="minor"/>
      </rPr>
      <t>1083</t>
    </r>
    <r>
      <rPr>
        <sz val="11"/>
        <color theme="1"/>
        <rFont val="宋体"/>
        <family val="2"/>
        <charset val="134"/>
        <scheme val="minor"/>
      </rPr>
      <t/>
    </r>
  </si>
  <si>
    <r>
      <t>-</t>
    </r>
    <r>
      <rPr>
        <sz val="11"/>
        <color theme="1"/>
        <rFont val="宋体"/>
        <family val="3"/>
        <charset val="134"/>
        <scheme val="minor"/>
      </rPr>
      <t>1084</t>
    </r>
    <r>
      <rPr>
        <sz val="11"/>
        <color theme="1"/>
        <rFont val="宋体"/>
        <family val="2"/>
        <charset val="134"/>
        <scheme val="minor"/>
      </rPr>
      <t/>
    </r>
  </si>
  <si>
    <t>明细表汇总</t>
    <phoneticPr fontId="141" type="noConversion"/>
  </si>
  <si>
    <t>测绘分层汇总</t>
    <phoneticPr fontId="141" type="noConversion"/>
  </si>
  <si>
    <t>差值</t>
    <phoneticPr fontId="141" type="noConversion"/>
  </si>
  <si>
    <r>
      <t>-</t>
    </r>
    <r>
      <rPr>
        <sz val="11"/>
        <color theme="1"/>
        <rFont val="宋体"/>
        <family val="3"/>
        <charset val="134"/>
        <scheme val="minor"/>
      </rPr>
      <t>1085</t>
    </r>
    <r>
      <rPr>
        <sz val="11"/>
        <color theme="1"/>
        <rFont val="宋体"/>
        <family val="2"/>
        <charset val="134"/>
        <scheme val="minor"/>
      </rPr>
      <t/>
    </r>
  </si>
  <si>
    <t>-3层</t>
    <phoneticPr fontId="141" type="noConversion"/>
  </si>
  <si>
    <t>自行车库</t>
    <phoneticPr fontId="141" type="noConversion"/>
  </si>
  <si>
    <t>附属机房层</t>
    <phoneticPr fontId="141" type="noConversion"/>
  </si>
  <si>
    <r>
      <t>-</t>
    </r>
    <r>
      <rPr>
        <sz val="11"/>
        <color theme="1"/>
        <rFont val="宋体"/>
        <family val="3"/>
        <charset val="134"/>
        <scheme val="minor"/>
      </rPr>
      <t>1086</t>
    </r>
    <r>
      <rPr>
        <sz val="11"/>
        <color theme="1"/>
        <rFont val="宋体"/>
        <family val="2"/>
        <charset val="134"/>
        <scheme val="minor"/>
      </rPr>
      <t/>
    </r>
  </si>
  <si>
    <t>-2层</t>
    <phoneticPr fontId="141" type="noConversion"/>
  </si>
  <si>
    <r>
      <t>-</t>
    </r>
    <r>
      <rPr>
        <sz val="11"/>
        <color theme="1"/>
        <rFont val="宋体"/>
        <family val="3"/>
        <charset val="134"/>
        <scheme val="minor"/>
      </rPr>
      <t>1087</t>
    </r>
    <r>
      <rPr>
        <sz val="11"/>
        <color theme="1"/>
        <rFont val="宋体"/>
        <family val="2"/>
        <charset val="134"/>
        <scheme val="minor"/>
      </rPr>
      <t/>
    </r>
  </si>
  <si>
    <r>
      <t>-</t>
    </r>
    <r>
      <rPr>
        <sz val="11"/>
        <color theme="1"/>
        <rFont val="宋体"/>
        <family val="3"/>
        <charset val="134"/>
        <scheme val="minor"/>
      </rPr>
      <t>1至6层</t>
    </r>
    <phoneticPr fontId="141" type="noConversion"/>
  </si>
  <si>
    <r>
      <t>-</t>
    </r>
    <r>
      <rPr>
        <sz val="11"/>
        <color theme="1"/>
        <rFont val="宋体"/>
        <family val="3"/>
        <charset val="134"/>
        <scheme val="minor"/>
      </rPr>
      <t>1088</t>
    </r>
    <r>
      <rPr>
        <sz val="11"/>
        <color theme="1"/>
        <rFont val="宋体"/>
        <family val="2"/>
        <charset val="134"/>
        <scheme val="minor"/>
      </rPr>
      <t/>
    </r>
  </si>
  <si>
    <t>附属机房层</t>
    <phoneticPr fontId="141" type="noConversion"/>
  </si>
  <si>
    <r>
      <t>-</t>
    </r>
    <r>
      <rPr>
        <sz val="11"/>
        <color theme="1"/>
        <rFont val="宋体"/>
        <family val="3"/>
        <charset val="134"/>
        <scheme val="minor"/>
      </rPr>
      <t>1089</t>
    </r>
    <r>
      <rPr>
        <sz val="11"/>
        <color theme="1"/>
        <rFont val="宋体"/>
        <family val="2"/>
        <charset val="134"/>
        <scheme val="minor"/>
      </rPr>
      <t/>
    </r>
  </si>
  <si>
    <t>合计</t>
    <phoneticPr fontId="141" type="noConversion"/>
  </si>
  <si>
    <r>
      <t>-</t>
    </r>
    <r>
      <rPr>
        <sz val="11"/>
        <color theme="1"/>
        <rFont val="宋体"/>
        <family val="3"/>
        <charset val="134"/>
        <scheme val="minor"/>
      </rPr>
      <t>1090</t>
    </r>
    <r>
      <rPr>
        <sz val="11"/>
        <color theme="1"/>
        <rFont val="宋体"/>
        <family val="2"/>
        <charset val="134"/>
        <scheme val="minor"/>
      </rPr>
      <t/>
    </r>
  </si>
  <si>
    <r>
      <t>-</t>
    </r>
    <r>
      <rPr>
        <sz val="11"/>
        <color theme="1"/>
        <rFont val="宋体"/>
        <family val="3"/>
        <charset val="134"/>
        <scheme val="minor"/>
      </rPr>
      <t>1091</t>
    </r>
    <r>
      <rPr>
        <sz val="11"/>
        <color theme="1"/>
        <rFont val="宋体"/>
        <family val="2"/>
        <charset val="134"/>
        <scheme val="minor"/>
      </rPr>
      <t/>
    </r>
  </si>
  <si>
    <r>
      <t>-</t>
    </r>
    <r>
      <rPr>
        <sz val="11"/>
        <color theme="1"/>
        <rFont val="宋体"/>
        <family val="3"/>
        <charset val="134"/>
        <scheme val="minor"/>
      </rPr>
      <t>1092</t>
    </r>
    <r>
      <rPr>
        <sz val="11"/>
        <color theme="1"/>
        <rFont val="宋体"/>
        <family val="2"/>
        <charset val="134"/>
        <scheme val="minor"/>
      </rPr>
      <t/>
    </r>
  </si>
  <si>
    <t>分类规划建设</t>
    <phoneticPr fontId="141" type="noConversion"/>
  </si>
  <si>
    <r>
      <t>-</t>
    </r>
    <r>
      <rPr>
        <sz val="11"/>
        <color theme="1"/>
        <rFont val="宋体"/>
        <family val="3"/>
        <charset val="134"/>
        <scheme val="minor"/>
      </rPr>
      <t>1093</t>
    </r>
    <r>
      <rPr>
        <sz val="11"/>
        <color theme="1"/>
        <rFont val="宋体"/>
        <family val="2"/>
        <charset val="134"/>
        <scheme val="minor"/>
      </rPr>
      <t/>
    </r>
  </si>
  <si>
    <t>车位</t>
    <phoneticPr fontId="141" type="noConversion"/>
  </si>
  <si>
    <r>
      <t>-</t>
    </r>
    <r>
      <rPr>
        <sz val="11"/>
        <color theme="1"/>
        <rFont val="宋体"/>
        <family val="3"/>
        <charset val="134"/>
        <scheme val="minor"/>
      </rPr>
      <t>1094</t>
    </r>
    <r>
      <rPr>
        <sz val="11"/>
        <color theme="1"/>
        <rFont val="宋体"/>
        <family val="2"/>
        <charset val="134"/>
        <scheme val="minor"/>
      </rPr>
      <t/>
    </r>
  </si>
  <si>
    <t>商业</t>
    <phoneticPr fontId="141" type="noConversion"/>
  </si>
  <si>
    <r>
      <t>-</t>
    </r>
    <r>
      <rPr>
        <sz val="11"/>
        <color theme="1"/>
        <rFont val="宋体"/>
        <family val="3"/>
        <charset val="134"/>
        <scheme val="minor"/>
      </rPr>
      <t>1095</t>
    </r>
    <r>
      <rPr>
        <sz val="11"/>
        <color theme="1"/>
        <rFont val="宋体"/>
        <family val="2"/>
        <charset val="134"/>
        <scheme val="minor"/>
      </rPr>
      <t/>
    </r>
  </si>
  <si>
    <t>自行车</t>
    <phoneticPr fontId="141" type="noConversion"/>
  </si>
  <si>
    <r>
      <t>-</t>
    </r>
    <r>
      <rPr>
        <sz val="11"/>
        <color theme="1"/>
        <rFont val="宋体"/>
        <family val="3"/>
        <charset val="134"/>
        <scheme val="minor"/>
      </rPr>
      <t>1096</t>
    </r>
    <r>
      <rPr>
        <sz val="11"/>
        <color theme="1"/>
        <rFont val="宋体"/>
        <family val="2"/>
        <charset val="134"/>
        <scheme val="minor"/>
      </rPr>
      <t/>
    </r>
  </si>
  <si>
    <r>
      <t>-</t>
    </r>
    <r>
      <rPr>
        <sz val="11"/>
        <color theme="1"/>
        <rFont val="宋体"/>
        <family val="3"/>
        <charset val="134"/>
        <scheme val="minor"/>
      </rPr>
      <t>1097</t>
    </r>
    <r>
      <rPr>
        <sz val="11"/>
        <color theme="1"/>
        <rFont val="宋体"/>
        <family val="2"/>
        <charset val="134"/>
        <scheme val="minor"/>
      </rPr>
      <t/>
    </r>
  </si>
  <si>
    <r>
      <t>-</t>
    </r>
    <r>
      <rPr>
        <sz val="11"/>
        <color theme="1"/>
        <rFont val="宋体"/>
        <family val="3"/>
        <charset val="134"/>
        <scheme val="minor"/>
      </rPr>
      <t>1098</t>
    </r>
    <r>
      <rPr>
        <sz val="11"/>
        <color theme="1"/>
        <rFont val="宋体"/>
        <family val="2"/>
        <charset val="134"/>
        <scheme val="minor"/>
      </rPr>
      <t/>
    </r>
  </si>
  <si>
    <t>倒减求地下商业</t>
    <phoneticPr fontId="141" type="noConversion"/>
  </si>
  <si>
    <t>测绘分层地下1层</t>
    <phoneticPr fontId="141" type="noConversion"/>
  </si>
  <si>
    <t>差值</t>
    <phoneticPr fontId="141" type="noConversion"/>
  </si>
  <si>
    <r>
      <t>-</t>
    </r>
    <r>
      <rPr>
        <sz val="11"/>
        <color theme="1"/>
        <rFont val="宋体"/>
        <family val="3"/>
        <charset val="134"/>
        <scheme val="minor"/>
      </rPr>
      <t>1124</t>
    </r>
    <phoneticPr fontId="141" type="noConversion"/>
  </si>
  <si>
    <t>1层</t>
    <phoneticPr fontId="141" type="noConversion"/>
  </si>
  <si>
    <r>
      <t>-</t>
    </r>
    <r>
      <rPr>
        <sz val="11"/>
        <color theme="1"/>
        <rFont val="宋体"/>
        <family val="3"/>
        <charset val="134"/>
        <scheme val="minor"/>
      </rPr>
      <t>1125</t>
    </r>
    <r>
      <rPr>
        <sz val="11"/>
        <color theme="1"/>
        <rFont val="宋体"/>
        <family val="2"/>
        <charset val="134"/>
        <scheme val="minor"/>
      </rPr>
      <t/>
    </r>
  </si>
  <si>
    <t>2层</t>
    <phoneticPr fontId="141" type="noConversion"/>
  </si>
  <si>
    <r>
      <t>-</t>
    </r>
    <r>
      <rPr>
        <sz val="11"/>
        <color theme="1"/>
        <rFont val="宋体"/>
        <family val="3"/>
        <charset val="134"/>
        <scheme val="minor"/>
      </rPr>
      <t>1126</t>
    </r>
    <r>
      <rPr>
        <sz val="11"/>
        <color theme="1"/>
        <rFont val="宋体"/>
        <family val="2"/>
        <charset val="134"/>
        <scheme val="minor"/>
      </rPr>
      <t/>
    </r>
  </si>
  <si>
    <t>3层</t>
    <phoneticPr fontId="141" type="noConversion"/>
  </si>
  <si>
    <r>
      <t>-</t>
    </r>
    <r>
      <rPr>
        <sz val="11"/>
        <color theme="1"/>
        <rFont val="宋体"/>
        <family val="3"/>
        <charset val="134"/>
        <scheme val="minor"/>
      </rPr>
      <t>1144</t>
    </r>
    <phoneticPr fontId="141" type="noConversion"/>
  </si>
  <si>
    <t>4层</t>
    <phoneticPr fontId="141" type="noConversion"/>
  </si>
  <si>
    <r>
      <t>-</t>
    </r>
    <r>
      <rPr>
        <sz val="11"/>
        <color theme="1"/>
        <rFont val="宋体"/>
        <family val="3"/>
        <charset val="134"/>
        <scheme val="minor"/>
      </rPr>
      <t>1145</t>
    </r>
    <phoneticPr fontId="141" type="noConversion"/>
  </si>
  <si>
    <t>5层</t>
    <phoneticPr fontId="141" type="noConversion"/>
  </si>
  <si>
    <r>
      <t>-</t>
    </r>
    <r>
      <rPr>
        <sz val="11"/>
        <color theme="1"/>
        <rFont val="宋体"/>
        <family val="3"/>
        <charset val="134"/>
        <scheme val="minor"/>
      </rPr>
      <t>1146</t>
    </r>
    <phoneticPr fontId="141" type="noConversion"/>
  </si>
  <si>
    <t>6层</t>
    <phoneticPr fontId="141" type="noConversion"/>
  </si>
  <si>
    <t>-3层合计</t>
    <phoneticPr fontId="141" type="noConversion"/>
  </si>
  <si>
    <t>地下商业</t>
    <phoneticPr fontId="141" type="noConversion"/>
  </si>
  <si>
    <r>
      <t>-</t>
    </r>
    <r>
      <rPr>
        <sz val="11"/>
        <color theme="1"/>
        <rFont val="宋体"/>
        <family val="3"/>
        <charset val="134"/>
        <scheme val="minor"/>
      </rPr>
      <t>2层</t>
    </r>
    <phoneticPr fontId="141" type="noConversion"/>
  </si>
  <si>
    <r>
      <t>-</t>
    </r>
    <r>
      <rPr>
        <sz val="11"/>
        <color theme="1"/>
        <rFont val="宋体"/>
        <family val="3"/>
        <charset val="134"/>
        <scheme val="minor"/>
      </rPr>
      <t>501</t>
    </r>
    <phoneticPr fontId="141" type="noConversion"/>
  </si>
  <si>
    <r>
      <t>-</t>
    </r>
    <r>
      <rPr>
        <sz val="11"/>
        <color theme="1"/>
        <rFont val="宋体"/>
        <family val="3"/>
        <charset val="134"/>
        <scheme val="minor"/>
      </rPr>
      <t>502</t>
    </r>
    <r>
      <rPr>
        <sz val="11"/>
        <color theme="1"/>
        <rFont val="宋体"/>
        <family val="2"/>
        <charset val="134"/>
        <scheme val="minor"/>
      </rPr>
      <t/>
    </r>
  </si>
  <si>
    <r>
      <t>-</t>
    </r>
    <r>
      <rPr>
        <sz val="11"/>
        <color theme="1"/>
        <rFont val="宋体"/>
        <family val="3"/>
        <charset val="134"/>
        <scheme val="minor"/>
      </rPr>
      <t>503</t>
    </r>
    <r>
      <rPr>
        <sz val="11"/>
        <color theme="1"/>
        <rFont val="宋体"/>
        <family val="2"/>
        <charset val="134"/>
        <scheme val="minor"/>
      </rPr>
      <t/>
    </r>
  </si>
  <si>
    <r>
      <t>-</t>
    </r>
    <r>
      <rPr>
        <sz val="11"/>
        <color theme="1"/>
        <rFont val="宋体"/>
        <family val="3"/>
        <charset val="134"/>
        <scheme val="minor"/>
      </rPr>
      <t>504</t>
    </r>
    <r>
      <rPr>
        <sz val="11"/>
        <color theme="1"/>
        <rFont val="宋体"/>
        <family val="2"/>
        <charset val="134"/>
        <scheme val="minor"/>
      </rPr>
      <t/>
    </r>
  </si>
  <si>
    <r>
      <t>-</t>
    </r>
    <r>
      <rPr>
        <sz val="11"/>
        <color theme="1"/>
        <rFont val="宋体"/>
        <family val="3"/>
        <charset val="134"/>
        <scheme val="minor"/>
      </rPr>
      <t>505</t>
    </r>
    <r>
      <rPr>
        <sz val="11"/>
        <color theme="1"/>
        <rFont val="宋体"/>
        <family val="2"/>
        <charset val="134"/>
        <scheme val="minor"/>
      </rPr>
      <t/>
    </r>
  </si>
  <si>
    <r>
      <t>-</t>
    </r>
    <r>
      <rPr>
        <sz val="11"/>
        <color theme="1"/>
        <rFont val="宋体"/>
        <family val="3"/>
        <charset val="134"/>
        <scheme val="minor"/>
      </rPr>
      <t>506</t>
    </r>
    <r>
      <rPr>
        <sz val="11"/>
        <color theme="1"/>
        <rFont val="宋体"/>
        <family val="2"/>
        <charset val="134"/>
        <scheme val="minor"/>
      </rPr>
      <t/>
    </r>
  </si>
  <si>
    <r>
      <t>-</t>
    </r>
    <r>
      <rPr>
        <sz val="11"/>
        <color theme="1"/>
        <rFont val="宋体"/>
        <family val="3"/>
        <charset val="134"/>
        <scheme val="minor"/>
      </rPr>
      <t>507</t>
    </r>
    <r>
      <rPr>
        <sz val="11"/>
        <color theme="1"/>
        <rFont val="宋体"/>
        <family val="2"/>
        <charset val="134"/>
        <scheme val="minor"/>
      </rPr>
      <t/>
    </r>
  </si>
  <si>
    <r>
      <t>-</t>
    </r>
    <r>
      <rPr>
        <sz val="11"/>
        <color theme="1"/>
        <rFont val="宋体"/>
        <family val="3"/>
        <charset val="134"/>
        <scheme val="minor"/>
      </rPr>
      <t>508</t>
    </r>
    <r>
      <rPr>
        <sz val="11"/>
        <color theme="1"/>
        <rFont val="宋体"/>
        <family val="2"/>
        <charset val="134"/>
        <scheme val="minor"/>
      </rPr>
      <t/>
    </r>
  </si>
  <si>
    <r>
      <t>-</t>
    </r>
    <r>
      <rPr>
        <sz val="11"/>
        <color theme="1"/>
        <rFont val="宋体"/>
        <family val="3"/>
        <charset val="134"/>
        <scheme val="minor"/>
      </rPr>
      <t>509</t>
    </r>
    <r>
      <rPr>
        <sz val="11"/>
        <color theme="1"/>
        <rFont val="宋体"/>
        <family val="2"/>
        <charset val="134"/>
        <scheme val="minor"/>
      </rPr>
      <t/>
    </r>
  </si>
  <si>
    <r>
      <t>-</t>
    </r>
    <r>
      <rPr>
        <sz val="11"/>
        <color theme="1"/>
        <rFont val="宋体"/>
        <family val="3"/>
        <charset val="134"/>
        <scheme val="minor"/>
      </rPr>
      <t>510</t>
    </r>
    <r>
      <rPr>
        <sz val="11"/>
        <color theme="1"/>
        <rFont val="宋体"/>
        <family val="2"/>
        <charset val="134"/>
        <scheme val="minor"/>
      </rPr>
      <t/>
    </r>
  </si>
  <si>
    <r>
      <t>-</t>
    </r>
    <r>
      <rPr>
        <sz val="11"/>
        <color theme="1"/>
        <rFont val="宋体"/>
        <family val="3"/>
        <charset val="134"/>
        <scheme val="minor"/>
      </rPr>
      <t>511</t>
    </r>
    <r>
      <rPr>
        <sz val="11"/>
        <color theme="1"/>
        <rFont val="宋体"/>
        <family val="2"/>
        <charset val="134"/>
        <scheme val="minor"/>
      </rPr>
      <t/>
    </r>
  </si>
  <si>
    <r>
      <t>-</t>
    </r>
    <r>
      <rPr>
        <sz val="11"/>
        <color theme="1"/>
        <rFont val="宋体"/>
        <family val="3"/>
        <charset val="134"/>
        <scheme val="minor"/>
      </rPr>
      <t>512</t>
    </r>
    <r>
      <rPr>
        <sz val="11"/>
        <color theme="1"/>
        <rFont val="宋体"/>
        <family val="2"/>
        <charset val="134"/>
        <scheme val="minor"/>
      </rPr>
      <t/>
    </r>
  </si>
  <si>
    <r>
      <t>-</t>
    </r>
    <r>
      <rPr>
        <sz val="11"/>
        <color theme="1"/>
        <rFont val="宋体"/>
        <family val="3"/>
        <charset val="134"/>
        <scheme val="minor"/>
      </rPr>
      <t>513</t>
    </r>
    <r>
      <rPr>
        <sz val="11"/>
        <color theme="1"/>
        <rFont val="宋体"/>
        <family val="2"/>
        <charset val="134"/>
        <scheme val="minor"/>
      </rPr>
      <t/>
    </r>
  </si>
  <si>
    <r>
      <t>-</t>
    </r>
    <r>
      <rPr>
        <sz val="11"/>
        <color theme="1"/>
        <rFont val="宋体"/>
        <family val="3"/>
        <charset val="134"/>
        <scheme val="minor"/>
      </rPr>
      <t>514</t>
    </r>
    <r>
      <rPr>
        <sz val="11"/>
        <color theme="1"/>
        <rFont val="宋体"/>
        <family val="2"/>
        <charset val="134"/>
        <scheme val="minor"/>
      </rPr>
      <t/>
    </r>
  </si>
  <si>
    <r>
      <t>-</t>
    </r>
    <r>
      <rPr>
        <sz val="11"/>
        <color theme="1"/>
        <rFont val="宋体"/>
        <family val="3"/>
        <charset val="134"/>
        <scheme val="minor"/>
      </rPr>
      <t>515</t>
    </r>
    <r>
      <rPr>
        <sz val="11"/>
        <color theme="1"/>
        <rFont val="宋体"/>
        <family val="2"/>
        <charset val="134"/>
        <scheme val="minor"/>
      </rPr>
      <t/>
    </r>
  </si>
  <si>
    <r>
      <t>-</t>
    </r>
    <r>
      <rPr>
        <sz val="11"/>
        <color theme="1"/>
        <rFont val="宋体"/>
        <family val="3"/>
        <charset val="134"/>
        <scheme val="minor"/>
      </rPr>
      <t>516</t>
    </r>
    <r>
      <rPr>
        <sz val="11"/>
        <color theme="1"/>
        <rFont val="宋体"/>
        <family val="2"/>
        <charset val="134"/>
        <scheme val="minor"/>
      </rPr>
      <t/>
    </r>
  </si>
  <si>
    <r>
      <t>-</t>
    </r>
    <r>
      <rPr>
        <sz val="11"/>
        <color theme="1"/>
        <rFont val="宋体"/>
        <family val="3"/>
        <charset val="134"/>
        <scheme val="minor"/>
      </rPr>
      <t>517</t>
    </r>
    <r>
      <rPr>
        <sz val="11"/>
        <color theme="1"/>
        <rFont val="宋体"/>
        <family val="2"/>
        <charset val="134"/>
        <scheme val="minor"/>
      </rPr>
      <t/>
    </r>
  </si>
  <si>
    <r>
      <t>-</t>
    </r>
    <r>
      <rPr>
        <sz val="11"/>
        <color theme="1"/>
        <rFont val="宋体"/>
        <family val="3"/>
        <charset val="134"/>
        <scheme val="minor"/>
      </rPr>
      <t>518</t>
    </r>
    <r>
      <rPr>
        <sz val="11"/>
        <color theme="1"/>
        <rFont val="宋体"/>
        <family val="2"/>
        <charset val="134"/>
        <scheme val="minor"/>
      </rPr>
      <t/>
    </r>
  </si>
  <si>
    <r>
      <t>-</t>
    </r>
    <r>
      <rPr>
        <sz val="11"/>
        <color theme="1"/>
        <rFont val="宋体"/>
        <family val="3"/>
        <charset val="134"/>
        <scheme val="minor"/>
      </rPr>
      <t>519</t>
    </r>
    <r>
      <rPr>
        <sz val="11"/>
        <color theme="1"/>
        <rFont val="宋体"/>
        <family val="2"/>
        <charset val="134"/>
        <scheme val="minor"/>
      </rPr>
      <t/>
    </r>
  </si>
  <si>
    <r>
      <t>-</t>
    </r>
    <r>
      <rPr>
        <sz val="11"/>
        <color theme="1"/>
        <rFont val="宋体"/>
        <family val="3"/>
        <charset val="134"/>
        <scheme val="minor"/>
      </rPr>
      <t>520</t>
    </r>
    <r>
      <rPr>
        <sz val="11"/>
        <color theme="1"/>
        <rFont val="宋体"/>
        <family val="2"/>
        <charset val="134"/>
        <scheme val="minor"/>
      </rPr>
      <t/>
    </r>
  </si>
  <si>
    <r>
      <t>-</t>
    </r>
    <r>
      <rPr>
        <sz val="11"/>
        <color theme="1"/>
        <rFont val="宋体"/>
        <family val="3"/>
        <charset val="134"/>
        <scheme val="minor"/>
      </rPr>
      <t>521</t>
    </r>
    <r>
      <rPr>
        <sz val="11"/>
        <color theme="1"/>
        <rFont val="宋体"/>
        <family val="2"/>
        <charset val="134"/>
        <scheme val="minor"/>
      </rPr>
      <t/>
    </r>
  </si>
  <si>
    <r>
      <t>-</t>
    </r>
    <r>
      <rPr>
        <sz val="11"/>
        <color theme="1"/>
        <rFont val="宋体"/>
        <family val="3"/>
        <charset val="134"/>
        <scheme val="minor"/>
      </rPr>
      <t>522</t>
    </r>
    <r>
      <rPr>
        <sz val="11"/>
        <color theme="1"/>
        <rFont val="宋体"/>
        <family val="2"/>
        <charset val="134"/>
        <scheme val="minor"/>
      </rPr>
      <t/>
    </r>
  </si>
  <si>
    <r>
      <t>-</t>
    </r>
    <r>
      <rPr>
        <sz val="11"/>
        <color theme="1"/>
        <rFont val="宋体"/>
        <family val="3"/>
        <charset val="134"/>
        <scheme val="minor"/>
      </rPr>
      <t>523</t>
    </r>
    <r>
      <rPr>
        <sz val="11"/>
        <color theme="1"/>
        <rFont val="宋体"/>
        <family val="2"/>
        <charset val="134"/>
        <scheme val="minor"/>
      </rPr>
      <t/>
    </r>
  </si>
  <si>
    <r>
      <t>-</t>
    </r>
    <r>
      <rPr>
        <sz val="11"/>
        <color theme="1"/>
        <rFont val="宋体"/>
        <family val="3"/>
        <charset val="134"/>
        <scheme val="minor"/>
      </rPr>
      <t>524</t>
    </r>
    <r>
      <rPr>
        <sz val="11"/>
        <color theme="1"/>
        <rFont val="宋体"/>
        <family val="2"/>
        <charset val="134"/>
        <scheme val="minor"/>
      </rPr>
      <t/>
    </r>
  </si>
  <si>
    <r>
      <t>-</t>
    </r>
    <r>
      <rPr>
        <sz val="11"/>
        <color theme="1"/>
        <rFont val="宋体"/>
        <family val="3"/>
        <charset val="134"/>
        <scheme val="minor"/>
      </rPr>
      <t>525</t>
    </r>
    <r>
      <rPr>
        <sz val="11"/>
        <color theme="1"/>
        <rFont val="宋体"/>
        <family val="2"/>
        <charset val="134"/>
        <scheme val="minor"/>
      </rPr>
      <t/>
    </r>
  </si>
  <si>
    <r>
      <t>-</t>
    </r>
    <r>
      <rPr>
        <sz val="11"/>
        <color theme="1"/>
        <rFont val="宋体"/>
        <family val="3"/>
        <charset val="134"/>
        <scheme val="minor"/>
      </rPr>
      <t>526</t>
    </r>
    <r>
      <rPr>
        <sz val="11"/>
        <color theme="1"/>
        <rFont val="宋体"/>
        <family val="2"/>
        <charset val="134"/>
        <scheme val="minor"/>
      </rPr>
      <t/>
    </r>
  </si>
  <si>
    <r>
      <t>-</t>
    </r>
    <r>
      <rPr>
        <sz val="11"/>
        <color theme="1"/>
        <rFont val="宋体"/>
        <family val="3"/>
        <charset val="134"/>
        <scheme val="minor"/>
      </rPr>
      <t>527</t>
    </r>
    <r>
      <rPr>
        <sz val="11"/>
        <color theme="1"/>
        <rFont val="宋体"/>
        <family val="2"/>
        <charset val="134"/>
        <scheme val="minor"/>
      </rPr>
      <t/>
    </r>
  </si>
  <si>
    <r>
      <t>-</t>
    </r>
    <r>
      <rPr>
        <sz val="11"/>
        <color theme="1"/>
        <rFont val="宋体"/>
        <family val="3"/>
        <charset val="134"/>
        <scheme val="minor"/>
      </rPr>
      <t>528</t>
    </r>
    <r>
      <rPr>
        <sz val="11"/>
        <color theme="1"/>
        <rFont val="宋体"/>
        <family val="2"/>
        <charset val="134"/>
        <scheme val="minor"/>
      </rPr>
      <t/>
    </r>
  </si>
  <si>
    <r>
      <t>-</t>
    </r>
    <r>
      <rPr>
        <sz val="11"/>
        <color theme="1"/>
        <rFont val="宋体"/>
        <family val="3"/>
        <charset val="134"/>
        <scheme val="minor"/>
      </rPr>
      <t>529</t>
    </r>
    <r>
      <rPr>
        <sz val="11"/>
        <color theme="1"/>
        <rFont val="宋体"/>
        <family val="2"/>
        <charset val="134"/>
        <scheme val="minor"/>
      </rPr>
      <t/>
    </r>
  </si>
  <si>
    <r>
      <t>-</t>
    </r>
    <r>
      <rPr>
        <sz val="11"/>
        <color theme="1"/>
        <rFont val="宋体"/>
        <family val="3"/>
        <charset val="134"/>
        <scheme val="minor"/>
      </rPr>
      <t>530</t>
    </r>
    <r>
      <rPr>
        <sz val="11"/>
        <color theme="1"/>
        <rFont val="宋体"/>
        <family val="2"/>
        <charset val="134"/>
        <scheme val="minor"/>
      </rPr>
      <t/>
    </r>
  </si>
  <si>
    <r>
      <t>-</t>
    </r>
    <r>
      <rPr>
        <sz val="11"/>
        <color theme="1"/>
        <rFont val="宋体"/>
        <family val="3"/>
        <charset val="134"/>
        <scheme val="minor"/>
      </rPr>
      <t>531</t>
    </r>
    <r>
      <rPr>
        <sz val="11"/>
        <color theme="1"/>
        <rFont val="宋体"/>
        <family val="2"/>
        <charset val="134"/>
        <scheme val="minor"/>
      </rPr>
      <t/>
    </r>
  </si>
  <si>
    <r>
      <t>-</t>
    </r>
    <r>
      <rPr>
        <sz val="11"/>
        <color theme="1"/>
        <rFont val="宋体"/>
        <family val="3"/>
        <charset val="134"/>
        <scheme val="minor"/>
      </rPr>
      <t>532</t>
    </r>
    <r>
      <rPr>
        <sz val="11"/>
        <color theme="1"/>
        <rFont val="宋体"/>
        <family val="2"/>
        <charset val="134"/>
        <scheme val="minor"/>
      </rPr>
      <t/>
    </r>
  </si>
  <si>
    <r>
      <t>-</t>
    </r>
    <r>
      <rPr>
        <sz val="11"/>
        <color theme="1"/>
        <rFont val="宋体"/>
        <family val="3"/>
        <charset val="134"/>
        <scheme val="minor"/>
      </rPr>
      <t>533</t>
    </r>
    <r>
      <rPr>
        <sz val="11"/>
        <color theme="1"/>
        <rFont val="宋体"/>
        <family val="2"/>
        <charset val="134"/>
        <scheme val="minor"/>
      </rPr>
      <t/>
    </r>
  </si>
  <si>
    <r>
      <t>-</t>
    </r>
    <r>
      <rPr>
        <sz val="11"/>
        <color theme="1"/>
        <rFont val="宋体"/>
        <family val="3"/>
        <charset val="134"/>
        <scheme val="minor"/>
      </rPr>
      <t>534</t>
    </r>
    <r>
      <rPr>
        <sz val="11"/>
        <color theme="1"/>
        <rFont val="宋体"/>
        <family val="2"/>
        <charset val="134"/>
        <scheme val="minor"/>
      </rPr>
      <t/>
    </r>
  </si>
  <si>
    <r>
      <t>-</t>
    </r>
    <r>
      <rPr>
        <sz val="11"/>
        <color theme="1"/>
        <rFont val="宋体"/>
        <family val="3"/>
        <charset val="134"/>
        <scheme val="minor"/>
      </rPr>
      <t>535</t>
    </r>
    <r>
      <rPr>
        <sz val="11"/>
        <color theme="1"/>
        <rFont val="宋体"/>
        <family val="2"/>
        <charset val="134"/>
        <scheme val="minor"/>
      </rPr>
      <t/>
    </r>
  </si>
  <si>
    <r>
      <t>-</t>
    </r>
    <r>
      <rPr>
        <sz val="11"/>
        <color theme="1"/>
        <rFont val="宋体"/>
        <family val="3"/>
        <charset val="134"/>
        <scheme val="minor"/>
      </rPr>
      <t>536</t>
    </r>
    <r>
      <rPr>
        <sz val="11"/>
        <color theme="1"/>
        <rFont val="宋体"/>
        <family val="2"/>
        <charset val="134"/>
        <scheme val="minor"/>
      </rPr>
      <t/>
    </r>
  </si>
  <si>
    <r>
      <t>-</t>
    </r>
    <r>
      <rPr>
        <sz val="11"/>
        <color theme="1"/>
        <rFont val="宋体"/>
        <family val="3"/>
        <charset val="134"/>
        <scheme val="minor"/>
      </rPr>
      <t>537</t>
    </r>
    <r>
      <rPr>
        <sz val="11"/>
        <color theme="1"/>
        <rFont val="宋体"/>
        <family val="2"/>
        <charset val="134"/>
        <scheme val="minor"/>
      </rPr>
      <t/>
    </r>
  </si>
  <si>
    <r>
      <t>-</t>
    </r>
    <r>
      <rPr>
        <sz val="11"/>
        <color theme="1"/>
        <rFont val="宋体"/>
        <family val="3"/>
        <charset val="134"/>
        <scheme val="minor"/>
      </rPr>
      <t>538</t>
    </r>
    <r>
      <rPr>
        <sz val="11"/>
        <color theme="1"/>
        <rFont val="宋体"/>
        <family val="2"/>
        <charset val="134"/>
        <scheme val="minor"/>
      </rPr>
      <t/>
    </r>
  </si>
  <si>
    <r>
      <t>-</t>
    </r>
    <r>
      <rPr>
        <sz val="11"/>
        <color theme="1"/>
        <rFont val="宋体"/>
        <family val="3"/>
        <charset val="134"/>
        <scheme val="minor"/>
      </rPr>
      <t>539</t>
    </r>
    <r>
      <rPr>
        <sz val="11"/>
        <color theme="1"/>
        <rFont val="宋体"/>
        <family val="2"/>
        <charset val="134"/>
        <scheme val="minor"/>
      </rPr>
      <t/>
    </r>
  </si>
  <si>
    <r>
      <t>-</t>
    </r>
    <r>
      <rPr>
        <sz val="11"/>
        <color theme="1"/>
        <rFont val="宋体"/>
        <family val="3"/>
        <charset val="134"/>
        <scheme val="minor"/>
      </rPr>
      <t>540</t>
    </r>
    <r>
      <rPr>
        <sz val="11"/>
        <color theme="1"/>
        <rFont val="宋体"/>
        <family val="2"/>
        <charset val="134"/>
        <scheme val="minor"/>
      </rPr>
      <t/>
    </r>
  </si>
  <si>
    <r>
      <t>-</t>
    </r>
    <r>
      <rPr>
        <sz val="11"/>
        <color theme="1"/>
        <rFont val="宋体"/>
        <family val="3"/>
        <charset val="134"/>
        <scheme val="minor"/>
      </rPr>
      <t>541</t>
    </r>
    <r>
      <rPr>
        <sz val="11"/>
        <color theme="1"/>
        <rFont val="宋体"/>
        <family val="2"/>
        <charset val="134"/>
        <scheme val="minor"/>
      </rPr>
      <t/>
    </r>
  </si>
  <si>
    <r>
      <t>-</t>
    </r>
    <r>
      <rPr>
        <sz val="11"/>
        <color theme="1"/>
        <rFont val="宋体"/>
        <family val="3"/>
        <charset val="134"/>
        <scheme val="minor"/>
      </rPr>
      <t>542</t>
    </r>
    <r>
      <rPr>
        <sz val="11"/>
        <color theme="1"/>
        <rFont val="宋体"/>
        <family val="2"/>
        <charset val="134"/>
        <scheme val="minor"/>
      </rPr>
      <t/>
    </r>
  </si>
  <si>
    <r>
      <t>-</t>
    </r>
    <r>
      <rPr>
        <sz val="11"/>
        <color theme="1"/>
        <rFont val="宋体"/>
        <family val="3"/>
        <charset val="134"/>
        <scheme val="minor"/>
      </rPr>
      <t>543</t>
    </r>
    <r>
      <rPr>
        <sz val="11"/>
        <color theme="1"/>
        <rFont val="宋体"/>
        <family val="2"/>
        <charset val="134"/>
        <scheme val="minor"/>
      </rPr>
      <t/>
    </r>
  </si>
  <si>
    <r>
      <t>-</t>
    </r>
    <r>
      <rPr>
        <sz val="11"/>
        <color theme="1"/>
        <rFont val="宋体"/>
        <family val="3"/>
        <charset val="134"/>
        <scheme val="minor"/>
      </rPr>
      <t>544</t>
    </r>
    <r>
      <rPr>
        <sz val="11"/>
        <color theme="1"/>
        <rFont val="宋体"/>
        <family val="2"/>
        <charset val="134"/>
        <scheme val="minor"/>
      </rPr>
      <t/>
    </r>
  </si>
  <si>
    <r>
      <t>-</t>
    </r>
    <r>
      <rPr>
        <sz val="11"/>
        <color theme="1"/>
        <rFont val="宋体"/>
        <family val="3"/>
        <charset val="134"/>
        <scheme val="minor"/>
      </rPr>
      <t>545、-546</t>
    </r>
    <phoneticPr fontId="141" type="noConversion"/>
  </si>
  <si>
    <r>
      <t>-</t>
    </r>
    <r>
      <rPr>
        <sz val="11"/>
        <color theme="1"/>
        <rFont val="宋体"/>
        <family val="3"/>
        <charset val="134"/>
        <scheme val="minor"/>
      </rPr>
      <t>547</t>
    </r>
    <phoneticPr fontId="141" type="noConversion"/>
  </si>
  <si>
    <r>
      <t>-</t>
    </r>
    <r>
      <rPr>
        <sz val="11"/>
        <color theme="1"/>
        <rFont val="宋体"/>
        <family val="3"/>
        <charset val="134"/>
        <scheme val="minor"/>
      </rPr>
      <t>548</t>
    </r>
    <r>
      <rPr>
        <sz val="11"/>
        <color theme="1"/>
        <rFont val="宋体"/>
        <family val="2"/>
        <charset val="134"/>
        <scheme val="minor"/>
      </rPr>
      <t/>
    </r>
  </si>
  <si>
    <r>
      <t>-</t>
    </r>
    <r>
      <rPr>
        <sz val="11"/>
        <color theme="1"/>
        <rFont val="宋体"/>
        <family val="3"/>
        <charset val="134"/>
        <scheme val="minor"/>
      </rPr>
      <t>549</t>
    </r>
    <r>
      <rPr>
        <sz val="11"/>
        <color theme="1"/>
        <rFont val="宋体"/>
        <family val="2"/>
        <charset val="134"/>
        <scheme val="minor"/>
      </rPr>
      <t/>
    </r>
  </si>
  <si>
    <r>
      <t>-</t>
    </r>
    <r>
      <rPr>
        <sz val="11"/>
        <color theme="1"/>
        <rFont val="宋体"/>
        <family val="3"/>
        <charset val="134"/>
        <scheme val="minor"/>
      </rPr>
      <t>550</t>
    </r>
    <r>
      <rPr>
        <sz val="11"/>
        <color theme="1"/>
        <rFont val="宋体"/>
        <family val="2"/>
        <charset val="134"/>
        <scheme val="minor"/>
      </rPr>
      <t/>
    </r>
  </si>
  <si>
    <r>
      <t>-</t>
    </r>
    <r>
      <rPr>
        <sz val="11"/>
        <color theme="1"/>
        <rFont val="宋体"/>
        <family val="3"/>
        <charset val="134"/>
        <scheme val="minor"/>
      </rPr>
      <t>551</t>
    </r>
    <r>
      <rPr>
        <sz val="11"/>
        <color theme="1"/>
        <rFont val="宋体"/>
        <family val="2"/>
        <charset val="134"/>
        <scheme val="minor"/>
      </rPr>
      <t/>
    </r>
  </si>
  <si>
    <r>
      <t>-</t>
    </r>
    <r>
      <rPr>
        <sz val="11"/>
        <color theme="1"/>
        <rFont val="宋体"/>
        <family val="3"/>
        <charset val="134"/>
        <scheme val="minor"/>
      </rPr>
      <t>552</t>
    </r>
    <r>
      <rPr>
        <sz val="11"/>
        <color theme="1"/>
        <rFont val="宋体"/>
        <family val="2"/>
        <charset val="134"/>
        <scheme val="minor"/>
      </rPr>
      <t/>
    </r>
  </si>
  <si>
    <r>
      <t>-</t>
    </r>
    <r>
      <rPr>
        <sz val="11"/>
        <color theme="1"/>
        <rFont val="宋体"/>
        <family val="3"/>
        <charset val="134"/>
        <scheme val="minor"/>
      </rPr>
      <t>553</t>
    </r>
    <r>
      <rPr>
        <sz val="11"/>
        <color theme="1"/>
        <rFont val="宋体"/>
        <family val="2"/>
        <charset val="134"/>
        <scheme val="minor"/>
      </rPr>
      <t/>
    </r>
  </si>
  <si>
    <r>
      <t>-</t>
    </r>
    <r>
      <rPr>
        <sz val="11"/>
        <color theme="1"/>
        <rFont val="宋体"/>
        <family val="3"/>
        <charset val="134"/>
        <scheme val="minor"/>
      </rPr>
      <t>554</t>
    </r>
    <r>
      <rPr>
        <sz val="11"/>
        <color theme="1"/>
        <rFont val="宋体"/>
        <family val="2"/>
        <charset val="134"/>
        <scheme val="minor"/>
      </rPr>
      <t/>
    </r>
  </si>
  <si>
    <r>
      <t>-</t>
    </r>
    <r>
      <rPr>
        <sz val="11"/>
        <color theme="1"/>
        <rFont val="宋体"/>
        <family val="3"/>
        <charset val="134"/>
        <scheme val="minor"/>
      </rPr>
      <t>555</t>
    </r>
    <r>
      <rPr>
        <sz val="11"/>
        <color theme="1"/>
        <rFont val="宋体"/>
        <family val="2"/>
        <charset val="134"/>
        <scheme val="minor"/>
      </rPr>
      <t/>
    </r>
  </si>
  <si>
    <r>
      <t>-</t>
    </r>
    <r>
      <rPr>
        <sz val="11"/>
        <color theme="1"/>
        <rFont val="宋体"/>
        <family val="3"/>
        <charset val="134"/>
        <scheme val="minor"/>
      </rPr>
      <t>556</t>
    </r>
    <r>
      <rPr>
        <sz val="11"/>
        <color theme="1"/>
        <rFont val="宋体"/>
        <family val="2"/>
        <charset val="134"/>
        <scheme val="minor"/>
      </rPr>
      <t/>
    </r>
  </si>
  <si>
    <r>
      <t>-</t>
    </r>
    <r>
      <rPr>
        <sz val="11"/>
        <color theme="1"/>
        <rFont val="宋体"/>
        <family val="3"/>
        <charset val="134"/>
        <scheme val="minor"/>
      </rPr>
      <t>557</t>
    </r>
    <r>
      <rPr>
        <sz val="11"/>
        <color theme="1"/>
        <rFont val="宋体"/>
        <family val="2"/>
        <charset val="134"/>
        <scheme val="minor"/>
      </rPr>
      <t/>
    </r>
  </si>
  <si>
    <r>
      <t>-</t>
    </r>
    <r>
      <rPr>
        <sz val="11"/>
        <color theme="1"/>
        <rFont val="宋体"/>
        <family val="3"/>
        <charset val="134"/>
        <scheme val="minor"/>
      </rPr>
      <t>558</t>
    </r>
    <r>
      <rPr>
        <sz val="11"/>
        <color theme="1"/>
        <rFont val="宋体"/>
        <family val="2"/>
        <charset val="134"/>
        <scheme val="minor"/>
      </rPr>
      <t/>
    </r>
  </si>
  <si>
    <r>
      <t>-</t>
    </r>
    <r>
      <rPr>
        <sz val="11"/>
        <color theme="1"/>
        <rFont val="宋体"/>
        <family val="3"/>
        <charset val="134"/>
        <scheme val="minor"/>
      </rPr>
      <t>559</t>
    </r>
    <r>
      <rPr>
        <sz val="11"/>
        <color theme="1"/>
        <rFont val="宋体"/>
        <family val="2"/>
        <charset val="134"/>
        <scheme val="minor"/>
      </rPr>
      <t/>
    </r>
  </si>
  <si>
    <r>
      <t>-</t>
    </r>
    <r>
      <rPr>
        <sz val="11"/>
        <color theme="1"/>
        <rFont val="宋体"/>
        <family val="3"/>
        <charset val="134"/>
        <scheme val="minor"/>
      </rPr>
      <t>560</t>
    </r>
    <r>
      <rPr>
        <sz val="11"/>
        <color theme="1"/>
        <rFont val="宋体"/>
        <family val="2"/>
        <charset val="134"/>
        <scheme val="minor"/>
      </rPr>
      <t/>
    </r>
  </si>
  <si>
    <r>
      <t>-</t>
    </r>
    <r>
      <rPr>
        <sz val="11"/>
        <color theme="1"/>
        <rFont val="宋体"/>
        <family val="3"/>
        <charset val="134"/>
        <scheme val="minor"/>
      </rPr>
      <t>561</t>
    </r>
    <r>
      <rPr>
        <sz val="11"/>
        <color theme="1"/>
        <rFont val="宋体"/>
        <family val="2"/>
        <charset val="134"/>
        <scheme val="minor"/>
      </rPr>
      <t/>
    </r>
  </si>
  <si>
    <r>
      <t>-</t>
    </r>
    <r>
      <rPr>
        <sz val="11"/>
        <color theme="1"/>
        <rFont val="宋体"/>
        <family val="3"/>
        <charset val="134"/>
        <scheme val="minor"/>
      </rPr>
      <t>562</t>
    </r>
    <r>
      <rPr>
        <sz val="11"/>
        <color theme="1"/>
        <rFont val="宋体"/>
        <family val="2"/>
        <charset val="134"/>
        <scheme val="minor"/>
      </rPr>
      <t/>
    </r>
  </si>
  <si>
    <r>
      <t>-</t>
    </r>
    <r>
      <rPr>
        <sz val="11"/>
        <color theme="1"/>
        <rFont val="宋体"/>
        <family val="3"/>
        <charset val="134"/>
        <scheme val="minor"/>
      </rPr>
      <t>563</t>
    </r>
    <r>
      <rPr>
        <sz val="11"/>
        <color theme="1"/>
        <rFont val="宋体"/>
        <family val="2"/>
        <charset val="134"/>
        <scheme val="minor"/>
      </rPr>
      <t/>
    </r>
  </si>
  <si>
    <r>
      <t>-</t>
    </r>
    <r>
      <rPr>
        <sz val="11"/>
        <color theme="1"/>
        <rFont val="宋体"/>
        <family val="3"/>
        <charset val="134"/>
        <scheme val="minor"/>
      </rPr>
      <t>564</t>
    </r>
    <r>
      <rPr>
        <sz val="11"/>
        <color theme="1"/>
        <rFont val="宋体"/>
        <family val="2"/>
        <charset val="134"/>
        <scheme val="minor"/>
      </rPr>
      <t/>
    </r>
  </si>
  <si>
    <r>
      <t>-</t>
    </r>
    <r>
      <rPr>
        <sz val="11"/>
        <color theme="1"/>
        <rFont val="宋体"/>
        <family val="3"/>
        <charset val="134"/>
        <scheme val="minor"/>
      </rPr>
      <t>565</t>
    </r>
    <r>
      <rPr>
        <sz val="11"/>
        <color theme="1"/>
        <rFont val="宋体"/>
        <family val="2"/>
        <charset val="134"/>
        <scheme val="minor"/>
      </rPr>
      <t/>
    </r>
  </si>
  <si>
    <r>
      <t>-</t>
    </r>
    <r>
      <rPr>
        <sz val="11"/>
        <color theme="1"/>
        <rFont val="宋体"/>
        <family val="3"/>
        <charset val="134"/>
        <scheme val="minor"/>
      </rPr>
      <t>566</t>
    </r>
    <r>
      <rPr>
        <sz val="11"/>
        <color theme="1"/>
        <rFont val="宋体"/>
        <family val="2"/>
        <charset val="134"/>
        <scheme val="minor"/>
      </rPr>
      <t/>
    </r>
  </si>
  <si>
    <r>
      <t>-</t>
    </r>
    <r>
      <rPr>
        <sz val="11"/>
        <color theme="1"/>
        <rFont val="宋体"/>
        <family val="3"/>
        <charset val="134"/>
        <scheme val="minor"/>
      </rPr>
      <t>567</t>
    </r>
    <r>
      <rPr>
        <sz val="11"/>
        <color theme="1"/>
        <rFont val="宋体"/>
        <family val="2"/>
        <charset val="134"/>
        <scheme val="minor"/>
      </rPr>
      <t/>
    </r>
  </si>
  <si>
    <r>
      <t>-</t>
    </r>
    <r>
      <rPr>
        <sz val="11"/>
        <color theme="1"/>
        <rFont val="宋体"/>
        <family val="3"/>
        <charset val="134"/>
        <scheme val="minor"/>
      </rPr>
      <t>568</t>
    </r>
    <r>
      <rPr>
        <sz val="11"/>
        <color theme="1"/>
        <rFont val="宋体"/>
        <family val="2"/>
        <charset val="134"/>
        <scheme val="minor"/>
      </rPr>
      <t/>
    </r>
  </si>
  <si>
    <r>
      <t>-</t>
    </r>
    <r>
      <rPr>
        <sz val="11"/>
        <color theme="1"/>
        <rFont val="宋体"/>
        <family val="3"/>
        <charset val="134"/>
        <scheme val="minor"/>
      </rPr>
      <t>569</t>
    </r>
    <r>
      <rPr>
        <sz val="11"/>
        <color theme="1"/>
        <rFont val="宋体"/>
        <family val="2"/>
        <charset val="134"/>
        <scheme val="minor"/>
      </rPr>
      <t/>
    </r>
  </si>
  <si>
    <r>
      <t>-</t>
    </r>
    <r>
      <rPr>
        <sz val="11"/>
        <color theme="1"/>
        <rFont val="宋体"/>
        <family val="3"/>
        <charset val="134"/>
        <scheme val="minor"/>
      </rPr>
      <t>570</t>
    </r>
    <r>
      <rPr>
        <sz val="11"/>
        <color theme="1"/>
        <rFont val="宋体"/>
        <family val="2"/>
        <charset val="134"/>
        <scheme val="minor"/>
      </rPr>
      <t/>
    </r>
  </si>
  <si>
    <r>
      <t>-</t>
    </r>
    <r>
      <rPr>
        <sz val="11"/>
        <color theme="1"/>
        <rFont val="宋体"/>
        <family val="3"/>
        <charset val="134"/>
        <scheme val="minor"/>
      </rPr>
      <t>571</t>
    </r>
    <r>
      <rPr>
        <sz val="11"/>
        <color theme="1"/>
        <rFont val="宋体"/>
        <family val="2"/>
        <charset val="134"/>
        <scheme val="minor"/>
      </rPr>
      <t/>
    </r>
  </si>
  <si>
    <r>
      <t>-</t>
    </r>
    <r>
      <rPr>
        <sz val="11"/>
        <color theme="1"/>
        <rFont val="宋体"/>
        <family val="3"/>
        <charset val="134"/>
        <scheme val="minor"/>
      </rPr>
      <t>572</t>
    </r>
    <r>
      <rPr>
        <sz val="11"/>
        <color theme="1"/>
        <rFont val="宋体"/>
        <family val="2"/>
        <charset val="134"/>
        <scheme val="minor"/>
      </rPr>
      <t/>
    </r>
  </si>
  <si>
    <r>
      <t>-</t>
    </r>
    <r>
      <rPr>
        <sz val="11"/>
        <color theme="1"/>
        <rFont val="宋体"/>
        <family val="3"/>
        <charset val="134"/>
        <scheme val="minor"/>
      </rPr>
      <t>573</t>
    </r>
    <r>
      <rPr>
        <sz val="11"/>
        <color theme="1"/>
        <rFont val="宋体"/>
        <family val="2"/>
        <charset val="134"/>
        <scheme val="minor"/>
      </rPr>
      <t/>
    </r>
  </si>
  <si>
    <r>
      <t>-</t>
    </r>
    <r>
      <rPr>
        <sz val="11"/>
        <color theme="1"/>
        <rFont val="宋体"/>
        <family val="3"/>
        <charset val="134"/>
        <scheme val="minor"/>
      </rPr>
      <t>574</t>
    </r>
    <r>
      <rPr>
        <sz val="11"/>
        <color theme="1"/>
        <rFont val="宋体"/>
        <family val="2"/>
        <charset val="134"/>
        <scheme val="minor"/>
      </rPr>
      <t/>
    </r>
  </si>
  <si>
    <r>
      <t>-</t>
    </r>
    <r>
      <rPr>
        <sz val="11"/>
        <color theme="1"/>
        <rFont val="宋体"/>
        <family val="3"/>
        <charset val="134"/>
        <scheme val="minor"/>
      </rPr>
      <t>575</t>
    </r>
    <r>
      <rPr>
        <sz val="11"/>
        <color theme="1"/>
        <rFont val="宋体"/>
        <family val="2"/>
        <charset val="134"/>
        <scheme val="minor"/>
      </rPr>
      <t/>
    </r>
  </si>
  <si>
    <r>
      <t>-</t>
    </r>
    <r>
      <rPr>
        <sz val="11"/>
        <color theme="1"/>
        <rFont val="宋体"/>
        <family val="3"/>
        <charset val="134"/>
        <scheme val="minor"/>
      </rPr>
      <t>576</t>
    </r>
    <r>
      <rPr>
        <sz val="11"/>
        <color theme="1"/>
        <rFont val="宋体"/>
        <family val="2"/>
        <charset val="134"/>
        <scheme val="minor"/>
      </rPr>
      <t/>
    </r>
  </si>
  <si>
    <r>
      <t>-</t>
    </r>
    <r>
      <rPr>
        <sz val="11"/>
        <color theme="1"/>
        <rFont val="宋体"/>
        <family val="3"/>
        <charset val="134"/>
        <scheme val="minor"/>
      </rPr>
      <t>577</t>
    </r>
    <r>
      <rPr>
        <sz val="11"/>
        <color theme="1"/>
        <rFont val="宋体"/>
        <family val="2"/>
        <charset val="134"/>
        <scheme val="minor"/>
      </rPr>
      <t/>
    </r>
  </si>
  <si>
    <r>
      <t>-</t>
    </r>
    <r>
      <rPr>
        <sz val="11"/>
        <color theme="1"/>
        <rFont val="宋体"/>
        <family val="3"/>
        <charset val="134"/>
        <scheme val="minor"/>
      </rPr>
      <t>578</t>
    </r>
    <r>
      <rPr>
        <sz val="11"/>
        <color theme="1"/>
        <rFont val="宋体"/>
        <family val="2"/>
        <charset val="134"/>
        <scheme val="minor"/>
      </rPr>
      <t/>
    </r>
  </si>
  <si>
    <r>
      <t>-</t>
    </r>
    <r>
      <rPr>
        <sz val="11"/>
        <color theme="1"/>
        <rFont val="宋体"/>
        <family val="3"/>
        <charset val="134"/>
        <scheme val="minor"/>
      </rPr>
      <t>579</t>
    </r>
    <r>
      <rPr>
        <sz val="11"/>
        <color theme="1"/>
        <rFont val="宋体"/>
        <family val="2"/>
        <charset val="134"/>
        <scheme val="minor"/>
      </rPr>
      <t/>
    </r>
  </si>
  <si>
    <r>
      <t>-</t>
    </r>
    <r>
      <rPr>
        <sz val="11"/>
        <color theme="1"/>
        <rFont val="宋体"/>
        <family val="3"/>
        <charset val="134"/>
        <scheme val="minor"/>
      </rPr>
      <t>580</t>
    </r>
    <r>
      <rPr>
        <sz val="11"/>
        <color theme="1"/>
        <rFont val="宋体"/>
        <family val="2"/>
        <charset val="134"/>
        <scheme val="minor"/>
      </rPr>
      <t/>
    </r>
  </si>
  <si>
    <r>
      <t>-</t>
    </r>
    <r>
      <rPr>
        <sz val="11"/>
        <color theme="1"/>
        <rFont val="宋体"/>
        <family val="3"/>
        <charset val="134"/>
        <scheme val="minor"/>
      </rPr>
      <t>581</t>
    </r>
    <r>
      <rPr>
        <sz val="11"/>
        <color theme="1"/>
        <rFont val="宋体"/>
        <family val="2"/>
        <charset val="134"/>
        <scheme val="minor"/>
      </rPr>
      <t/>
    </r>
  </si>
  <si>
    <r>
      <t>-</t>
    </r>
    <r>
      <rPr>
        <sz val="11"/>
        <color theme="1"/>
        <rFont val="宋体"/>
        <family val="3"/>
        <charset val="134"/>
        <scheme val="minor"/>
      </rPr>
      <t>582</t>
    </r>
    <r>
      <rPr>
        <sz val="11"/>
        <color theme="1"/>
        <rFont val="宋体"/>
        <family val="2"/>
        <charset val="134"/>
        <scheme val="minor"/>
      </rPr>
      <t/>
    </r>
  </si>
  <si>
    <r>
      <t>-</t>
    </r>
    <r>
      <rPr>
        <sz val="11"/>
        <color theme="1"/>
        <rFont val="宋体"/>
        <family val="3"/>
        <charset val="134"/>
        <scheme val="minor"/>
      </rPr>
      <t>583</t>
    </r>
    <r>
      <rPr>
        <sz val="11"/>
        <color theme="1"/>
        <rFont val="宋体"/>
        <family val="2"/>
        <charset val="134"/>
        <scheme val="minor"/>
      </rPr>
      <t/>
    </r>
  </si>
  <si>
    <r>
      <t>-</t>
    </r>
    <r>
      <rPr>
        <sz val="11"/>
        <color theme="1"/>
        <rFont val="宋体"/>
        <family val="3"/>
        <charset val="134"/>
        <scheme val="minor"/>
      </rPr>
      <t>584</t>
    </r>
    <r>
      <rPr>
        <sz val="11"/>
        <color theme="1"/>
        <rFont val="宋体"/>
        <family val="2"/>
        <charset val="134"/>
        <scheme val="minor"/>
      </rPr>
      <t/>
    </r>
  </si>
  <si>
    <r>
      <t>-</t>
    </r>
    <r>
      <rPr>
        <sz val="11"/>
        <color theme="1"/>
        <rFont val="宋体"/>
        <family val="3"/>
        <charset val="134"/>
        <scheme val="minor"/>
      </rPr>
      <t>585</t>
    </r>
    <r>
      <rPr>
        <sz val="11"/>
        <color theme="1"/>
        <rFont val="宋体"/>
        <family val="2"/>
        <charset val="134"/>
        <scheme val="minor"/>
      </rPr>
      <t/>
    </r>
  </si>
  <si>
    <r>
      <t>-</t>
    </r>
    <r>
      <rPr>
        <sz val="11"/>
        <color theme="1"/>
        <rFont val="宋体"/>
        <family val="3"/>
        <charset val="134"/>
        <scheme val="minor"/>
      </rPr>
      <t>586</t>
    </r>
    <r>
      <rPr>
        <sz val="11"/>
        <color theme="1"/>
        <rFont val="宋体"/>
        <family val="2"/>
        <charset val="134"/>
        <scheme val="minor"/>
      </rPr>
      <t/>
    </r>
  </si>
  <si>
    <r>
      <t>-</t>
    </r>
    <r>
      <rPr>
        <sz val="11"/>
        <color theme="1"/>
        <rFont val="宋体"/>
        <family val="3"/>
        <charset val="134"/>
        <scheme val="minor"/>
      </rPr>
      <t>587</t>
    </r>
    <r>
      <rPr>
        <sz val="11"/>
        <color theme="1"/>
        <rFont val="宋体"/>
        <family val="2"/>
        <charset val="134"/>
        <scheme val="minor"/>
      </rPr>
      <t/>
    </r>
  </si>
  <si>
    <r>
      <t>-</t>
    </r>
    <r>
      <rPr>
        <sz val="11"/>
        <color theme="1"/>
        <rFont val="宋体"/>
        <family val="3"/>
        <charset val="134"/>
        <scheme val="minor"/>
      </rPr>
      <t>588</t>
    </r>
    <r>
      <rPr>
        <sz val="11"/>
        <color theme="1"/>
        <rFont val="宋体"/>
        <family val="2"/>
        <charset val="134"/>
        <scheme val="minor"/>
      </rPr>
      <t/>
    </r>
  </si>
  <si>
    <r>
      <t>-</t>
    </r>
    <r>
      <rPr>
        <sz val="11"/>
        <color theme="1"/>
        <rFont val="宋体"/>
        <family val="3"/>
        <charset val="134"/>
        <scheme val="minor"/>
      </rPr>
      <t>589</t>
    </r>
    <r>
      <rPr>
        <sz val="11"/>
        <color theme="1"/>
        <rFont val="宋体"/>
        <family val="2"/>
        <charset val="134"/>
        <scheme val="minor"/>
      </rPr>
      <t/>
    </r>
  </si>
  <si>
    <r>
      <t>-</t>
    </r>
    <r>
      <rPr>
        <sz val="11"/>
        <color theme="1"/>
        <rFont val="宋体"/>
        <family val="3"/>
        <charset val="134"/>
        <scheme val="minor"/>
      </rPr>
      <t>590</t>
    </r>
    <r>
      <rPr>
        <sz val="11"/>
        <color theme="1"/>
        <rFont val="宋体"/>
        <family val="2"/>
        <charset val="134"/>
        <scheme val="minor"/>
      </rPr>
      <t/>
    </r>
  </si>
  <si>
    <r>
      <t>-</t>
    </r>
    <r>
      <rPr>
        <sz val="11"/>
        <color theme="1"/>
        <rFont val="宋体"/>
        <family val="3"/>
        <charset val="134"/>
        <scheme val="minor"/>
      </rPr>
      <t>591</t>
    </r>
    <r>
      <rPr>
        <sz val="11"/>
        <color theme="1"/>
        <rFont val="宋体"/>
        <family val="2"/>
        <charset val="134"/>
        <scheme val="minor"/>
      </rPr>
      <t/>
    </r>
  </si>
  <si>
    <r>
      <t>-</t>
    </r>
    <r>
      <rPr>
        <sz val="11"/>
        <color theme="1"/>
        <rFont val="宋体"/>
        <family val="3"/>
        <charset val="134"/>
        <scheme val="minor"/>
      </rPr>
      <t>592</t>
    </r>
    <r>
      <rPr>
        <sz val="11"/>
        <color theme="1"/>
        <rFont val="宋体"/>
        <family val="2"/>
        <charset val="134"/>
        <scheme val="minor"/>
      </rPr>
      <t/>
    </r>
  </si>
  <si>
    <r>
      <t>-</t>
    </r>
    <r>
      <rPr>
        <sz val="11"/>
        <color theme="1"/>
        <rFont val="宋体"/>
        <family val="3"/>
        <charset val="134"/>
        <scheme val="minor"/>
      </rPr>
      <t>593</t>
    </r>
    <r>
      <rPr>
        <sz val="11"/>
        <color theme="1"/>
        <rFont val="宋体"/>
        <family val="2"/>
        <charset val="134"/>
        <scheme val="minor"/>
      </rPr>
      <t/>
    </r>
  </si>
  <si>
    <r>
      <t>-</t>
    </r>
    <r>
      <rPr>
        <sz val="11"/>
        <color theme="1"/>
        <rFont val="宋体"/>
        <family val="3"/>
        <charset val="134"/>
        <scheme val="minor"/>
      </rPr>
      <t>594</t>
    </r>
    <r>
      <rPr>
        <sz val="11"/>
        <color theme="1"/>
        <rFont val="宋体"/>
        <family val="2"/>
        <charset val="134"/>
        <scheme val="minor"/>
      </rPr>
      <t/>
    </r>
  </si>
  <si>
    <r>
      <t>-</t>
    </r>
    <r>
      <rPr>
        <sz val="11"/>
        <color theme="1"/>
        <rFont val="宋体"/>
        <family val="3"/>
        <charset val="134"/>
        <scheme val="minor"/>
      </rPr>
      <t>595</t>
    </r>
    <r>
      <rPr>
        <sz val="11"/>
        <color theme="1"/>
        <rFont val="宋体"/>
        <family val="2"/>
        <charset val="134"/>
        <scheme val="minor"/>
      </rPr>
      <t/>
    </r>
  </si>
  <si>
    <r>
      <t>-</t>
    </r>
    <r>
      <rPr>
        <sz val="11"/>
        <color theme="1"/>
        <rFont val="宋体"/>
        <family val="3"/>
        <charset val="134"/>
        <scheme val="minor"/>
      </rPr>
      <t>596</t>
    </r>
    <r>
      <rPr>
        <sz val="11"/>
        <color theme="1"/>
        <rFont val="宋体"/>
        <family val="2"/>
        <charset val="134"/>
        <scheme val="minor"/>
      </rPr>
      <t/>
    </r>
  </si>
  <si>
    <r>
      <t>-</t>
    </r>
    <r>
      <rPr>
        <sz val="11"/>
        <color theme="1"/>
        <rFont val="宋体"/>
        <family val="3"/>
        <charset val="134"/>
        <scheme val="minor"/>
      </rPr>
      <t>597</t>
    </r>
    <r>
      <rPr>
        <sz val="11"/>
        <color theme="1"/>
        <rFont val="宋体"/>
        <family val="2"/>
        <charset val="134"/>
        <scheme val="minor"/>
      </rPr>
      <t/>
    </r>
  </si>
  <si>
    <r>
      <t>-</t>
    </r>
    <r>
      <rPr>
        <sz val="11"/>
        <color theme="1"/>
        <rFont val="宋体"/>
        <family val="3"/>
        <charset val="134"/>
        <scheme val="minor"/>
      </rPr>
      <t>598</t>
    </r>
    <r>
      <rPr>
        <sz val="11"/>
        <color theme="1"/>
        <rFont val="宋体"/>
        <family val="2"/>
        <charset val="134"/>
        <scheme val="minor"/>
      </rPr>
      <t/>
    </r>
  </si>
  <si>
    <r>
      <t>-</t>
    </r>
    <r>
      <rPr>
        <sz val="11"/>
        <color theme="1"/>
        <rFont val="宋体"/>
        <family val="3"/>
        <charset val="134"/>
        <scheme val="minor"/>
      </rPr>
      <t>599</t>
    </r>
    <r>
      <rPr>
        <sz val="11"/>
        <color theme="1"/>
        <rFont val="宋体"/>
        <family val="2"/>
        <charset val="134"/>
        <scheme val="minor"/>
      </rPr>
      <t/>
    </r>
  </si>
  <si>
    <r>
      <t>-</t>
    </r>
    <r>
      <rPr>
        <sz val="11"/>
        <color theme="1"/>
        <rFont val="宋体"/>
        <family val="3"/>
        <charset val="134"/>
        <scheme val="minor"/>
      </rPr>
      <t>600</t>
    </r>
    <r>
      <rPr>
        <sz val="11"/>
        <color theme="1"/>
        <rFont val="宋体"/>
        <family val="2"/>
        <charset val="134"/>
        <scheme val="minor"/>
      </rPr>
      <t/>
    </r>
  </si>
  <si>
    <r>
      <t>-</t>
    </r>
    <r>
      <rPr>
        <sz val="11"/>
        <color theme="1"/>
        <rFont val="宋体"/>
        <family val="3"/>
        <charset val="134"/>
        <scheme val="minor"/>
      </rPr>
      <t>601</t>
    </r>
    <r>
      <rPr>
        <sz val="11"/>
        <color theme="1"/>
        <rFont val="宋体"/>
        <family val="2"/>
        <charset val="134"/>
        <scheme val="minor"/>
      </rPr>
      <t/>
    </r>
  </si>
  <si>
    <r>
      <t>-</t>
    </r>
    <r>
      <rPr>
        <sz val="11"/>
        <color theme="1"/>
        <rFont val="宋体"/>
        <family val="3"/>
        <charset val="134"/>
        <scheme val="minor"/>
      </rPr>
      <t>602</t>
    </r>
    <r>
      <rPr>
        <sz val="11"/>
        <color theme="1"/>
        <rFont val="宋体"/>
        <family val="2"/>
        <charset val="134"/>
        <scheme val="minor"/>
      </rPr>
      <t/>
    </r>
  </si>
  <si>
    <r>
      <t>-</t>
    </r>
    <r>
      <rPr>
        <sz val="11"/>
        <color theme="1"/>
        <rFont val="宋体"/>
        <family val="3"/>
        <charset val="134"/>
        <scheme val="minor"/>
      </rPr>
      <t>603</t>
    </r>
    <r>
      <rPr>
        <sz val="11"/>
        <color theme="1"/>
        <rFont val="宋体"/>
        <family val="2"/>
        <charset val="134"/>
        <scheme val="minor"/>
      </rPr>
      <t/>
    </r>
  </si>
  <si>
    <r>
      <t>-</t>
    </r>
    <r>
      <rPr>
        <sz val="11"/>
        <color theme="1"/>
        <rFont val="宋体"/>
        <family val="3"/>
        <charset val="134"/>
        <scheme val="minor"/>
      </rPr>
      <t>604</t>
    </r>
    <r>
      <rPr>
        <sz val="11"/>
        <color theme="1"/>
        <rFont val="宋体"/>
        <family val="2"/>
        <charset val="134"/>
        <scheme val="minor"/>
      </rPr>
      <t/>
    </r>
  </si>
  <si>
    <r>
      <t>-</t>
    </r>
    <r>
      <rPr>
        <sz val="11"/>
        <color theme="1"/>
        <rFont val="宋体"/>
        <family val="3"/>
        <charset val="134"/>
        <scheme val="minor"/>
      </rPr>
      <t>605</t>
    </r>
    <r>
      <rPr>
        <sz val="11"/>
        <color theme="1"/>
        <rFont val="宋体"/>
        <family val="2"/>
        <charset val="134"/>
        <scheme val="minor"/>
      </rPr>
      <t/>
    </r>
  </si>
  <si>
    <r>
      <t>-</t>
    </r>
    <r>
      <rPr>
        <sz val="11"/>
        <color theme="1"/>
        <rFont val="宋体"/>
        <family val="3"/>
        <charset val="134"/>
        <scheme val="minor"/>
      </rPr>
      <t>606</t>
    </r>
    <r>
      <rPr>
        <sz val="11"/>
        <color theme="1"/>
        <rFont val="宋体"/>
        <family val="2"/>
        <charset val="134"/>
        <scheme val="minor"/>
      </rPr>
      <t/>
    </r>
  </si>
  <si>
    <r>
      <t>-</t>
    </r>
    <r>
      <rPr>
        <sz val="11"/>
        <color theme="1"/>
        <rFont val="宋体"/>
        <family val="3"/>
        <charset val="134"/>
        <scheme val="minor"/>
      </rPr>
      <t>607</t>
    </r>
    <r>
      <rPr>
        <sz val="11"/>
        <color theme="1"/>
        <rFont val="宋体"/>
        <family val="2"/>
        <charset val="134"/>
        <scheme val="minor"/>
      </rPr>
      <t/>
    </r>
  </si>
  <si>
    <r>
      <t>-</t>
    </r>
    <r>
      <rPr>
        <sz val="11"/>
        <color theme="1"/>
        <rFont val="宋体"/>
        <family val="3"/>
        <charset val="134"/>
        <scheme val="minor"/>
      </rPr>
      <t>608</t>
    </r>
    <r>
      <rPr>
        <sz val="11"/>
        <color theme="1"/>
        <rFont val="宋体"/>
        <family val="2"/>
        <charset val="134"/>
        <scheme val="minor"/>
      </rPr>
      <t/>
    </r>
  </si>
  <si>
    <r>
      <t>-</t>
    </r>
    <r>
      <rPr>
        <sz val="11"/>
        <color theme="1"/>
        <rFont val="宋体"/>
        <family val="3"/>
        <charset val="134"/>
        <scheme val="minor"/>
      </rPr>
      <t>609</t>
    </r>
    <r>
      <rPr>
        <sz val="11"/>
        <color theme="1"/>
        <rFont val="宋体"/>
        <family val="2"/>
        <charset val="134"/>
        <scheme val="minor"/>
      </rPr>
      <t/>
    </r>
  </si>
  <si>
    <r>
      <t>-</t>
    </r>
    <r>
      <rPr>
        <sz val="11"/>
        <color theme="1"/>
        <rFont val="宋体"/>
        <family val="3"/>
        <charset val="134"/>
        <scheme val="minor"/>
      </rPr>
      <t>610</t>
    </r>
    <r>
      <rPr>
        <sz val="11"/>
        <color theme="1"/>
        <rFont val="宋体"/>
        <family val="2"/>
        <charset val="134"/>
        <scheme val="minor"/>
      </rPr>
      <t/>
    </r>
  </si>
  <si>
    <r>
      <t>-</t>
    </r>
    <r>
      <rPr>
        <sz val="11"/>
        <color theme="1"/>
        <rFont val="宋体"/>
        <family val="3"/>
        <charset val="134"/>
        <scheme val="minor"/>
      </rPr>
      <t>611</t>
    </r>
    <r>
      <rPr>
        <sz val="11"/>
        <color theme="1"/>
        <rFont val="宋体"/>
        <family val="2"/>
        <charset val="134"/>
        <scheme val="minor"/>
      </rPr>
      <t/>
    </r>
  </si>
  <si>
    <r>
      <t>-</t>
    </r>
    <r>
      <rPr>
        <sz val="11"/>
        <color theme="1"/>
        <rFont val="宋体"/>
        <family val="3"/>
        <charset val="134"/>
        <scheme val="minor"/>
      </rPr>
      <t>612</t>
    </r>
    <r>
      <rPr>
        <sz val="11"/>
        <color theme="1"/>
        <rFont val="宋体"/>
        <family val="2"/>
        <charset val="134"/>
        <scheme val="minor"/>
      </rPr>
      <t/>
    </r>
  </si>
  <si>
    <r>
      <t>-</t>
    </r>
    <r>
      <rPr>
        <sz val="11"/>
        <color theme="1"/>
        <rFont val="宋体"/>
        <family val="3"/>
        <charset val="134"/>
        <scheme val="minor"/>
      </rPr>
      <t>613</t>
    </r>
    <r>
      <rPr>
        <sz val="11"/>
        <color theme="1"/>
        <rFont val="宋体"/>
        <family val="2"/>
        <charset val="134"/>
        <scheme val="minor"/>
      </rPr>
      <t/>
    </r>
  </si>
  <si>
    <r>
      <t>-</t>
    </r>
    <r>
      <rPr>
        <sz val="11"/>
        <color theme="1"/>
        <rFont val="宋体"/>
        <family val="3"/>
        <charset val="134"/>
        <scheme val="minor"/>
      </rPr>
      <t>614</t>
    </r>
    <r>
      <rPr>
        <sz val="11"/>
        <color theme="1"/>
        <rFont val="宋体"/>
        <family val="2"/>
        <charset val="134"/>
        <scheme val="minor"/>
      </rPr>
      <t/>
    </r>
  </si>
  <si>
    <r>
      <t>-</t>
    </r>
    <r>
      <rPr>
        <sz val="11"/>
        <color theme="1"/>
        <rFont val="宋体"/>
        <family val="3"/>
        <charset val="134"/>
        <scheme val="minor"/>
      </rPr>
      <t>615</t>
    </r>
    <r>
      <rPr>
        <sz val="11"/>
        <color theme="1"/>
        <rFont val="宋体"/>
        <family val="2"/>
        <charset val="134"/>
        <scheme val="minor"/>
      </rPr>
      <t/>
    </r>
  </si>
  <si>
    <r>
      <t>-</t>
    </r>
    <r>
      <rPr>
        <sz val="11"/>
        <color theme="1"/>
        <rFont val="宋体"/>
        <family val="3"/>
        <charset val="134"/>
        <scheme val="minor"/>
      </rPr>
      <t>616</t>
    </r>
    <r>
      <rPr>
        <sz val="11"/>
        <color theme="1"/>
        <rFont val="宋体"/>
        <family val="2"/>
        <charset val="134"/>
        <scheme val="minor"/>
      </rPr>
      <t/>
    </r>
  </si>
  <si>
    <r>
      <t>-</t>
    </r>
    <r>
      <rPr>
        <sz val="11"/>
        <color theme="1"/>
        <rFont val="宋体"/>
        <family val="3"/>
        <charset val="134"/>
        <scheme val="minor"/>
      </rPr>
      <t>617</t>
    </r>
    <r>
      <rPr>
        <sz val="11"/>
        <color theme="1"/>
        <rFont val="宋体"/>
        <family val="2"/>
        <charset val="134"/>
        <scheme val="minor"/>
      </rPr>
      <t/>
    </r>
  </si>
  <si>
    <r>
      <t>-</t>
    </r>
    <r>
      <rPr>
        <sz val="11"/>
        <color theme="1"/>
        <rFont val="宋体"/>
        <family val="3"/>
        <charset val="134"/>
        <scheme val="minor"/>
      </rPr>
      <t>618</t>
    </r>
    <r>
      <rPr>
        <sz val="11"/>
        <color theme="1"/>
        <rFont val="宋体"/>
        <family val="2"/>
        <charset val="134"/>
        <scheme val="minor"/>
      </rPr>
      <t/>
    </r>
  </si>
  <si>
    <r>
      <t>-</t>
    </r>
    <r>
      <rPr>
        <sz val="11"/>
        <color theme="1"/>
        <rFont val="宋体"/>
        <family val="3"/>
        <charset val="134"/>
        <scheme val="minor"/>
      </rPr>
      <t>619</t>
    </r>
    <r>
      <rPr>
        <sz val="11"/>
        <color theme="1"/>
        <rFont val="宋体"/>
        <family val="2"/>
        <charset val="134"/>
        <scheme val="minor"/>
      </rPr>
      <t/>
    </r>
  </si>
  <si>
    <r>
      <t>-</t>
    </r>
    <r>
      <rPr>
        <sz val="11"/>
        <color theme="1"/>
        <rFont val="宋体"/>
        <family val="3"/>
        <charset val="134"/>
        <scheme val="minor"/>
      </rPr>
      <t>620</t>
    </r>
    <r>
      <rPr>
        <sz val="11"/>
        <color theme="1"/>
        <rFont val="宋体"/>
        <family val="2"/>
        <charset val="134"/>
        <scheme val="minor"/>
      </rPr>
      <t/>
    </r>
  </si>
  <si>
    <r>
      <t>-</t>
    </r>
    <r>
      <rPr>
        <sz val="11"/>
        <color theme="1"/>
        <rFont val="宋体"/>
        <family val="3"/>
        <charset val="134"/>
        <scheme val="minor"/>
      </rPr>
      <t>621</t>
    </r>
    <r>
      <rPr>
        <sz val="11"/>
        <color theme="1"/>
        <rFont val="宋体"/>
        <family val="2"/>
        <charset val="134"/>
        <scheme val="minor"/>
      </rPr>
      <t/>
    </r>
  </si>
  <si>
    <r>
      <t>-</t>
    </r>
    <r>
      <rPr>
        <sz val="11"/>
        <color theme="1"/>
        <rFont val="宋体"/>
        <family val="3"/>
        <charset val="134"/>
        <scheme val="minor"/>
      </rPr>
      <t>622</t>
    </r>
    <r>
      <rPr>
        <sz val="11"/>
        <color theme="1"/>
        <rFont val="宋体"/>
        <family val="2"/>
        <charset val="134"/>
        <scheme val="minor"/>
      </rPr>
      <t/>
    </r>
  </si>
  <si>
    <r>
      <t>-</t>
    </r>
    <r>
      <rPr>
        <sz val="11"/>
        <color theme="1"/>
        <rFont val="宋体"/>
        <family val="3"/>
        <charset val="134"/>
        <scheme val="minor"/>
      </rPr>
      <t>623</t>
    </r>
    <r>
      <rPr>
        <sz val="11"/>
        <color theme="1"/>
        <rFont val="宋体"/>
        <family val="2"/>
        <charset val="134"/>
        <scheme val="minor"/>
      </rPr>
      <t/>
    </r>
  </si>
  <si>
    <r>
      <t>-</t>
    </r>
    <r>
      <rPr>
        <sz val="11"/>
        <color theme="1"/>
        <rFont val="宋体"/>
        <family val="3"/>
        <charset val="134"/>
        <scheme val="minor"/>
      </rPr>
      <t>624</t>
    </r>
    <r>
      <rPr>
        <sz val="11"/>
        <color theme="1"/>
        <rFont val="宋体"/>
        <family val="2"/>
        <charset val="134"/>
        <scheme val="minor"/>
      </rPr>
      <t/>
    </r>
  </si>
  <si>
    <r>
      <t>-</t>
    </r>
    <r>
      <rPr>
        <sz val="11"/>
        <color theme="1"/>
        <rFont val="宋体"/>
        <family val="3"/>
        <charset val="134"/>
        <scheme val="minor"/>
      </rPr>
      <t>625</t>
    </r>
    <r>
      <rPr>
        <sz val="11"/>
        <color theme="1"/>
        <rFont val="宋体"/>
        <family val="2"/>
        <charset val="134"/>
        <scheme val="minor"/>
      </rPr>
      <t/>
    </r>
  </si>
  <si>
    <r>
      <t>-</t>
    </r>
    <r>
      <rPr>
        <sz val="11"/>
        <color theme="1"/>
        <rFont val="宋体"/>
        <family val="3"/>
        <charset val="134"/>
        <scheme val="minor"/>
      </rPr>
      <t>626</t>
    </r>
    <r>
      <rPr>
        <sz val="11"/>
        <color theme="1"/>
        <rFont val="宋体"/>
        <family val="2"/>
        <charset val="134"/>
        <scheme val="minor"/>
      </rPr>
      <t/>
    </r>
  </si>
  <si>
    <r>
      <t>-</t>
    </r>
    <r>
      <rPr>
        <sz val="11"/>
        <color theme="1"/>
        <rFont val="宋体"/>
        <family val="3"/>
        <charset val="134"/>
        <scheme val="minor"/>
      </rPr>
      <t>627</t>
    </r>
    <r>
      <rPr>
        <sz val="11"/>
        <color theme="1"/>
        <rFont val="宋体"/>
        <family val="2"/>
        <charset val="134"/>
        <scheme val="minor"/>
      </rPr>
      <t/>
    </r>
  </si>
  <si>
    <r>
      <t>-</t>
    </r>
    <r>
      <rPr>
        <sz val="11"/>
        <color theme="1"/>
        <rFont val="宋体"/>
        <family val="3"/>
        <charset val="134"/>
        <scheme val="minor"/>
      </rPr>
      <t>628</t>
    </r>
    <r>
      <rPr>
        <sz val="11"/>
        <color theme="1"/>
        <rFont val="宋体"/>
        <family val="2"/>
        <charset val="134"/>
        <scheme val="minor"/>
      </rPr>
      <t/>
    </r>
  </si>
  <si>
    <r>
      <t>-</t>
    </r>
    <r>
      <rPr>
        <sz val="11"/>
        <color theme="1"/>
        <rFont val="宋体"/>
        <family val="3"/>
        <charset val="134"/>
        <scheme val="minor"/>
      </rPr>
      <t>629</t>
    </r>
    <r>
      <rPr>
        <sz val="11"/>
        <color theme="1"/>
        <rFont val="宋体"/>
        <family val="2"/>
        <charset val="134"/>
        <scheme val="minor"/>
      </rPr>
      <t/>
    </r>
  </si>
  <si>
    <r>
      <t>-</t>
    </r>
    <r>
      <rPr>
        <sz val="11"/>
        <color theme="1"/>
        <rFont val="宋体"/>
        <family val="3"/>
        <charset val="134"/>
        <scheme val="minor"/>
      </rPr>
      <t>630</t>
    </r>
    <r>
      <rPr>
        <sz val="11"/>
        <color theme="1"/>
        <rFont val="宋体"/>
        <family val="2"/>
        <charset val="134"/>
        <scheme val="minor"/>
      </rPr>
      <t/>
    </r>
  </si>
  <si>
    <r>
      <t>-</t>
    </r>
    <r>
      <rPr>
        <sz val="11"/>
        <color theme="1"/>
        <rFont val="宋体"/>
        <family val="3"/>
        <charset val="134"/>
        <scheme val="minor"/>
      </rPr>
      <t>631</t>
    </r>
    <r>
      <rPr>
        <sz val="11"/>
        <color theme="1"/>
        <rFont val="宋体"/>
        <family val="2"/>
        <charset val="134"/>
        <scheme val="minor"/>
      </rPr>
      <t/>
    </r>
  </si>
  <si>
    <r>
      <t>-</t>
    </r>
    <r>
      <rPr>
        <sz val="11"/>
        <color theme="1"/>
        <rFont val="宋体"/>
        <family val="3"/>
        <charset val="134"/>
        <scheme val="minor"/>
      </rPr>
      <t>632</t>
    </r>
    <r>
      <rPr>
        <sz val="11"/>
        <color theme="1"/>
        <rFont val="宋体"/>
        <family val="2"/>
        <charset val="134"/>
        <scheme val="minor"/>
      </rPr>
      <t/>
    </r>
  </si>
  <si>
    <r>
      <t>-</t>
    </r>
    <r>
      <rPr>
        <sz val="11"/>
        <color theme="1"/>
        <rFont val="宋体"/>
        <family val="3"/>
        <charset val="134"/>
        <scheme val="minor"/>
      </rPr>
      <t>633</t>
    </r>
    <r>
      <rPr>
        <sz val="11"/>
        <color theme="1"/>
        <rFont val="宋体"/>
        <family val="2"/>
        <charset val="134"/>
        <scheme val="minor"/>
      </rPr>
      <t/>
    </r>
  </si>
  <si>
    <r>
      <t>-</t>
    </r>
    <r>
      <rPr>
        <sz val="11"/>
        <color theme="1"/>
        <rFont val="宋体"/>
        <family val="3"/>
        <charset val="134"/>
        <scheme val="minor"/>
      </rPr>
      <t>634</t>
    </r>
    <r>
      <rPr>
        <sz val="11"/>
        <color theme="1"/>
        <rFont val="宋体"/>
        <family val="2"/>
        <charset val="134"/>
        <scheme val="minor"/>
      </rPr>
      <t/>
    </r>
  </si>
  <si>
    <r>
      <t>-</t>
    </r>
    <r>
      <rPr>
        <sz val="11"/>
        <color theme="1"/>
        <rFont val="宋体"/>
        <family val="3"/>
        <charset val="134"/>
        <scheme val="minor"/>
      </rPr>
      <t>635</t>
    </r>
    <r>
      <rPr>
        <sz val="11"/>
        <color theme="1"/>
        <rFont val="宋体"/>
        <family val="2"/>
        <charset val="134"/>
        <scheme val="minor"/>
      </rPr>
      <t/>
    </r>
  </si>
  <si>
    <r>
      <t>-</t>
    </r>
    <r>
      <rPr>
        <sz val="11"/>
        <color theme="1"/>
        <rFont val="宋体"/>
        <family val="3"/>
        <charset val="134"/>
        <scheme val="minor"/>
      </rPr>
      <t>636</t>
    </r>
    <r>
      <rPr>
        <sz val="11"/>
        <color theme="1"/>
        <rFont val="宋体"/>
        <family val="2"/>
        <charset val="134"/>
        <scheme val="minor"/>
      </rPr>
      <t/>
    </r>
  </si>
  <si>
    <r>
      <t>-</t>
    </r>
    <r>
      <rPr>
        <sz val="11"/>
        <color theme="1"/>
        <rFont val="宋体"/>
        <family val="3"/>
        <charset val="134"/>
        <scheme val="minor"/>
      </rPr>
      <t>637</t>
    </r>
    <r>
      <rPr>
        <sz val="11"/>
        <color theme="1"/>
        <rFont val="宋体"/>
        <family val="2"/>
        <charset val="134"/>
        <scheme val="minor"/>
      </rPr>
      <t/>
    </r>
  </si>
  <si>
    <r>
      <t>-</t>
    </r>
    <r>
      <rPr>
        <sz val="11"/>
        <color theme="1"/>
        <rFont val="宋体"/>
        <family val="3"/>
        <charset val="134"/>
        <scheme val="minor"/>
      </rPr>
      <t>638</t>
    </r>
    <r>
      <rPr>
        <sz val="11"/>
        <color theme="1"/>
        <rFont val="宋体"/>
        <family val="2"/>
        <charset val="134"/>
        <scheme val="minor"/>
      </rPr>
      <t/>
    </r>
  </si>
  <si>
    <r>
      <t>-</t>
    </r>
    <r>
      <rPr>
        <sz val="11"/>
        <color theme="1"/>
        <rFont val="宋体"/>
        <family val="3"/>
        <charset val="134"/>
        <scheme val="minor"/>
      </rPr>
      <t>639</t>
    </r>
    <r>
      <rPr>
        <sz val="11"/>
        <color theme="1"/>
        <rFont val="宋体"/>
        <family val="2"/>
        <charset val="134"/>
        <scheme val="minor"/>
      </rPr>
      <t/>
    </r>
  </si>
  <si>
    <r>
      <t>-</t>
    </r>
    <r>
      <rPr>
        <sz val="11"/>
        <color theme="1"/>
        <rFont val="宋体"/>
        <family val="3"/>
        <charset val="134"/>
        <scheme val="minor"/>
      </rPr>
      <t>640</t>
    </r>
    <r>
      <rPr>
        <sz val="11"/>
        <color theme="1"/>
        <rFont val="宋体"/>
        <family val="2"/>
        <charset val="134"/>
        <scheme val="minor"/>
      </rPr>
      <t/>
    </r>
  </si>
  <si>
    <r>
      <t>-</t>
    </r>
    <r>
      <rPr>
        <sz val="11"/>
        <color theme="1"/>
        <rFont val="宋体"/>
        <family val="3"/>
        <charset val="134"/>
        <scheme val="minor"/>
      </rPr>
      <t>641</t>
    </r>
    <r>
      <rPr>
        <sz val="11"/>
        <color theme="1"/>
        <rFont val="宋体"/>
        <family val="2"/>
        <charset val="134"/>
        <scheme val="minor"/>
      </rPr>
      <t/>
    </r>
  </si>
  <si>
    <r>
      <t>-</t>
    </r>
    <r>
      <rPr>
        <sz val="11"/>
        <color theme="1"/>
        <rFont val="宋体"/>
        <family val="3"/>
        <charset val="134"/>
        <scheme val="minor"/>
      </rPr>
      <t>642</t>
    </r>
    <r>
      <rPr>
        <sz val="11"/>
        <color theme="1"/>
        <rFont val="宋体"/>
        <family val="2"/>
        <charset val="134"/>
        <scheme val="minor"/>
      </rPr>
      <t/>
    </r>
  </si>
  <si>
    <r>
      <t>-</t>
    </r>
    <r>
      <rPr>
        <sz val="11"/>
        <color theme="1"/>
        <rFont val="宋体"/>
        <family val="3"/>
        <charset val="134"/>
        <scheme val="minor"/>
      </rPr>
      <t>643</t>
    </r>
    <r>
      <rPr>
        <sz val="11"/>
        <color theme="1"/>
        <rFont val="宋体"/>
        <family val="2"/>
        <charset val="134"/>
        <scheme val="minor"/>
      </rPr>
      <t/>
    </r>
  </si>
  <si>
    <r>
      <t>-</t>
    </r>
    <r>
      <rPr>
        <sz val="11"/>
        <color theme="1"/>
        <rFont val="宋体"/>
        <family val="3"/>
        <charset val="134"/>
        <scheme val="minor"/>
      </rPr>
      <t>644</t>
    </r>
    <r>
      <rPr>
        <sz val="11"/>
        <color theme="1"/>
        <rFont val="宋体"/>
        <family val="2"/>
        <charset val="134"/>
        <scheme val="minor"/>
      </rPr>
      <t/>
    </r>
  </si>
  <si>
    <r>
      <t>-</t>
    </r>
    <r>
      <rPr>
        <sz val="11"/>
        <color theme="1"/>
        <rFont val="宋体"/>
        <family val="3"/>
        <charset val="134"/>
        <scheme val="minor"/>
      </rPr>
      <t>645</t>
    </r>
    <r>
      <rPr>
        <sz val="11"/>
        <color theme="1"/>
        <rFont val="宋体"/>
        <family val="2"/>
        <charset val="134"/>
        <scheme val="minor"/>
      </rPr>
      <t/>
    </r>
  </si>
  <si>
    <r>
      <t>-</t>
    </r>
    <r>
      <rPr>
        <sz val="11"/>
        <color theme="1"/>
        <rFont val="宋体"/>
        <family val="3"/>
        <charset val="134"/>
        <scheme val="minor"/>
      </rPr>
      <t>646</t>
    </r>
    <r>
      <rPr>
        <sz val="11"/>
        <color theme="1"/>
        <rFont val="宋体"/>
        <family val="2"/>
        <charset val="134"/>
        <scheme val="minor"/>
      </rPr>
      <t/>
    </r>
  </si>
  <si>
    <r>
      <t>-</t>
    </r>
    <r>
      <rPr>
        <sz val="11"/>
        <color theme="1"/>
        <rFont val="宋体"/>
        <family val="3"/>
        <charset val="134"/>
        <scheme val="minor"/>
      </rPr>
      <t>647</t>
    </r>
    <r>
      <rPr>
        <sz val="11"/>
        <color theme="1"/>
        <rFont val="宋体"/>
        <family val="2"/>
        <charset val="134"/>
        <scheme val="minor"/>
      </rPr>
      <t/>
    </r>
  </si>
  <si>
    <r>
      <t>-</t>
    </r>
    <r>
      <rPr>
        <sz val="11"/>
        <color theme="1"/>
        <rFont val="宋体"/>
        <family val="3"/>
        <charset val="134"/>
        <scheme val="minor"/>
      </rPr>
      <t>648</t>
    </r>
    <r>
      <rPr>
        <sz val="11"/>
        <color theme="1"/>
        <rFont val="宋体"/>
        <family val="2"/>
        <charset val="134"/>
        <scheme val="minor"/>
      </rPr>
      <t/>
    </r>
  </si>
  <si>
    <r>
      <t>-</t>
    </r>
    <r>
      <rPr>
        <sz val="11"/>
        <color theme="1"/>
        <rFont val="宋体"/>
        <family val="3"/>
        <charset val="134"/>
        <scheme val="minor"/>
      </rPr>
      <t>649</t>
    </r>
    <r>
      <rPr>
        <sz val="11"/>
        <color theme="1"/>
        <rFont val="宋体"/>
        <family val="2"/>
        <charset val="134"/>
        <scheme val="minor"/>
      </rPr>
      <t/>
    </r>
  </si>
  <si>
    <r>
      <t>-</t>
    </r>
    <r>
      <rPr>
        <sz val="11"/>
        <color theme="1"/>
        <rFont val="宋体"/>
        <family val="3"/>
        <charset val="134"/>
        <scheme val="minor"/>
      </rPr>
      <t>650</t>
    </r>
    <r>
      <rPr>
        <sz val="11"/>
        <color theme="1"/>
        <rFont val="宋体"/>
        <family val="2"/>
        <charset val="134"/>
        <scheme val="minor"/>
      </rPr>
      <t/>
    </r>
  </si>
  <si>
    <r>
      <t>-</t>
    </r>
    <r>
      <rPr>
        <sz val="11"/>
        <color theme="1"/>
        <rFont val="宋体"/>
        <family val="3"/>
        <charset val="134"/>
        <scheme val="minor"/>
      </rPr>
      <t>651</t>
    </r>
    <r>
      <rPr>
        <sz val="11"/>
        <color theme="1"/>
        <rFont val="宋体"/>
        <family val="2"/>
        <charset val="134"/>
        <scheme val="minor"/>
      </rPr>
      <t/>
    </r>
  </si>
  <si>
    <r>
      <t>-</t>
    </r>
    <r>
      <rPr>
        <sz val="11"/>
        <color theme="1"/>
        <rFont val="宋体"/>
        <family val="3"/>
        <charset val="134"/>
        <scheme val="minor"/>
      </rPr>
      <t>652</t>
    </r>
    <r>
      <rPr>
        <sz val="11"/>
        <color theme="1"/>
        <rFont val="宋体"/>
        <family val="2"/>
        <charset val="134"/>
        <scheme val="minor"/>
      </rPr>
      <t/>
    </r>
  </si>
  <si>
    <r>
      <t>-</t>
    </r>
    <r>
      <rPr>
        <sz val="11"/>
        <color theme="1"/>
        <rFont val="宋体"/>
        <family val="3"/>
        <charset val="134"/>
        <scheme val="minor"/>
      </rPr>
      <t>653</t>
    </r>
    <r>
      <rPr>
        <sz val="11"/>
        <color theme="1"/>
        <rFont val="宋体"/>
        <family val="2"/>
        <charset val="134"/>
        <scheme val="minor"/>
      </rPr>
      <t/>
    </r>
  </si>
  <si>
    <r>
      <t>-</t>
    </r>
    <r>
      <rPr>
        <sz val="11"/>
        <color theme="1"/>
        <rFont val="宋体"/>
        <family val="3"/>
        <charset val="134"/>
        <scheme val="minor"/>
      </rPr>
      <t>654</t>
    </r>
    <r>
      <rPr>
        <sz val="11"/>
        <color theme="1"/>
        <rFont val="宋体"/>
        <family val="2"/>
        <charset val="134"/>
        <scheme val="minor"/>
      </rPr>
      <t/>
    </r>
  </si>
  <si>
    <r>
      <t>-</t>
    </r>
    <r>
      <rPr>
        <sz val="11"/>
        <color theme="1"/>
        <rFont val="宋体"/>
        <family val="3"/>
        <charset val="134"/>
        <scheme val="minor"/>
      </rPr>
      <t>655</t>
    </r>
    <r>
      <rPr>
        <sz val="11"/>
        <color theme="1"/>
        <rFont val="宋体"/>
        <family val="2"/>
        <charset val="134"/>
        <scheme val="minor"/>
      </rPr>
      <t/>
    </r>
  </si>
  <si>
    <r>
      <t>-</t>
    </r>
    <r>
      <rPr>
        <sz val="11"/>
        <color theme="1"/>
        <rFont val="宋体"/>
        <family val="3"/>
        <charset val="134"/>
        <scheme val="minor"/>
      </rPr>
      <t>656</t>
    </r>
    <r>
      <rPr>
        <sz val="11"/>
        <color theme="1"/>
        <rFont val="宋体"/>
        <family val="2"/>
        <charset val="134"/>
        <scheme val="minor"/>
      </rPr>
      <t/>
    </r>
  </si>
  <si>
    <r>
      <t>-</t>
    </r>
    <r>
      <rPr>
        <sz val="11"/>
        <color theme="1"/>
        <rFont val="宋体"/>
        <family val="3"/>
        <charset val="134"/>
        <scheme val="minor"/>
      </rPr>
      <t>657</t>
    </r>
    <r>
      <rPr>
        <sz val="11"/>
        <color theme="1"/>
        <rFont val="宋体"/>
        <family val="2"/>
        <charset val="134"/>
        <scheme val="minor"/>
      </rPr>
      <t/>
    </r>
  </si>
  <si>
    <r>
      <t>-</t>
    </r>
    <r>
      <rPr>
        <sz val="11"/>
        <color theme="1"/>
        <rFont val="宋体"/>
        <family val="3"/>
        <charset val="134"/>
        <scheme val="minor"/>
      </rPr>
      <t>658</t>
    </r>
    <r>
      <rPr>
        <sz val="11"/>
        <color theme="1"/>
        <rFont val="宋体"/>
        <family val="2"/>
        <charset val="134"/>
        <scheme val="minor"/>
      </rPr>
      <t/>
    </r>
  </si>
  <si>
    <r>
      <t>-</t>
    </r>
    <r>
      <rPr>
        <sz val="11"/>
        <color theme="1"/>
        <rFont val="宋体"/>
        <family val="3"/>
        <charset val="134"/>
        <scheme val="minor"/>
      </rPr>
      <t>659</t>
    </r>
    <r>
      <rPr>
        <sz val="11"/>
        <color theme="1"/>
        <rFont val="宋体"/>
        <family val="2"/>
        <charset val="134"/>
        <scheme val="minor"/>
      </rPr>
      <t/>
    </r>
  </si>
  <si>
    <r>
      <t>-</t>
    </r>
    <r>
      <rPr>
        <sz val="11"/>
        <color theme="1"/>
        <rFont val="宋体"/>
        <family val="3"/>
        <charset val="134"/>
        <scheme val="minor"/>
      </rPr>
      <t>660</t>
    </r>
    <r>
      <rPr>
        <sz val="11"/>
        <color theme="1"/>
        <rFont val="宋体"/>
        <family val="2"/>
        <charset val="134"/>
        <scheme val="minor"/>
      </rPr>
      <t/>
    </r>
  </si>
  <si>
    <r>
      <t>-</t>
    </r>
    <r>
      <rPr>
        <sz val="11"/>
        <color theme="1"/>
        <rFont val="宋体"/>
        <family val="3"/>
        <charset val="134"/>
        <scheme val="minor"/>
      </rPr>
      <t>661</t>
    </r>
    <r>
      <rPr>
        <sz val="11"/>
        <color theme="1"/>
        <rFont val="宋体"/>
        <family val="2"/>
        <charset val="134"/>
        <scheme val="minor"/>
      </rPr>
      <t/>
    </r>
  </si>
  <si>
    <r>
      <t>-</t>
    </r>
    <r>
      <rPr>
        <sz val="11"/>
        <color theme="1"/>
        <rFont val="宋体"/>
        <family val="3"/>
        <charset val="134"/>
        <scheme val="minor"/>
      </rPr>
      <t>662</t>
    </r>
    <r>
      <rPr>
        <sz val="11"/>
        <color theme="1"/>
        <rFont val="宋体"/>
        <family val="2"/>
        <charset val="134"/>
        <scheme val="minor"/>
      </rPr>
      <t/>
    </r>
  </si>
  <si>
    <r>
      <t>-</t>
    </r>
    <r>
      <rPr>
        <sz val="11"/>
        <color theme="1"/>
        <rFont val="宋体"/>
        <family val="3"/>
        <charset val="134"/>
        <scheme val="minor"/>
      </rPr>
      <t>663</t>
    </r>
    <r>
      <rPr>
        <sz val="11"/>
        <color theme="1"/>
        <rFont val="宋体"/>
        <family val="2"/>
        <charset val="134"/>
        <scheme val="minor"/>
      </rPr>
      <t/>
    </r>
  </si>
  <si>
    <r>
      <t>-</t>
    </r>
    <r>
      <rPr>
        <sz val="11"/>
        <color theme="1"/>
        <rFont val="宋体"/>
        <family val="3"/>
        <charset val="134"/>
        <scheme val="minor"/>
      </rPr>
      <t>664</t>
    </r>
    <r>
      <rPr>
        <sz val="11"/>
        <color theme="1"/>
        <rFont val="宋体"/>
        <family val="2"/>
        <charset val="134"/>
        <scheme val="minor"/>
      </rPr>
      <t/>
    </r>
  </si>
  <si>
    <r>
      <t>-</t>
    </r>
    <r>
      <rPr>
        <sz val="11"/>
        <color theme="1"/>
        <rFont val="宋体"/>
        <family val="3"/>
        <charset val="134"/>
        <scheme val="minor"/>
      </rPr>
      <t>665</t>
    </r>
    <r>
      <rPr>
        <sz val="11"/>
        <color theme="1"/>
        <rFont val="宋体"/>
        <family val="2"/>
        <charset val="134"/>
        <scheme val="minor"/>
      </rPr>
      <t/>
    </r>
  </si>
  <si>
    <r>
      <t>-</t>
    </r>
    <r>
      <rPr>
        <sz val="11"/>
        <color theme="1"/>
        <rFont val="宋体"/>
        <family val="3"/>
        <charset val="134"/>
        <scheme val="minor"/>
      </rPr>
      <t>666</t>
    </r>
    <r>
      <rPr>
        <sz val="11"/>
        <color theme="1"/>
        <rFont val="宋体"/>
        <family val="2"/>
        <charset val="134"/>
        <scheme val="minor"/>
      </rPr>
      <t/>
    </r>
  </si>
  <si>
    <r>
      <t>-</t>
    </r>
    <r>
      <rPr>
        <sz val="11"/>
        <color theme="1"/>
        <rFont val="宋体"/>
        <family val="3"/>
        <charset val="134"/>
        <scheme val="minor"/>
      </rPr>
      <t>667</t>
    </r>
    <r>
      <rPr>
        <sz val="11"/>
        <color theme="1"/>
        <rFont val="宋体"/>
        <family val="2"/>
        <charset val="134"/>
        <scheme val="minor"/>
      </rPr>
      <t/>
    </r>
  </si>
  <si>
    <r>
      <t>-</t>
    </r>
    <r>
      <rPr>
        <sz val="11"/>
        <color theme="1"/>
        <rFont val="宋体"/>
        <family val="3"/>
        <charset val="134"/>
        <scheme val="minor"/>
      </rPr>
      <t>668</t>
    </r>
    <r>
      <rPr>
        <sz val="11"/>
        <color theme="1"/>
        <rFont val="宋体"/>
        <family val="2"/>
        <charset val="134"/>
        <scheme val="minor"/>
      </rPr>
      <t/>
    </r>
  </si>
  <si>
    <r>
      <t>-</t>
    </r>
    <r>
      <rPr>
        <sz val="11"/>
        <color theme="1"/>
        <rFont val="宋体"/>
        <family val="3"/>
        <charset val="134"/>
        <scheme val="minor"/>
      </rPr>
      <t>669</t>
    </r>
    <r>
      <rPr>
        <sz val="11"/>
        <color theme="1"/>
        <rFont val="宋体"/>
        <family val="2"/>
        <charset val="134"/>
        <scheme val="minor"/>
      </rPr>
      <t/>
    </r>
  </si>
  <si>
    <r>
      <t>-</t>
    </r>
    <r>
      <rPr>
        <sz val="11"/>
        <color theme="1"/>
        <rFont val="宋体"/>
        <family val="3"/>
        <charset val="134"/>
        <scheme val="minor"/>
      </rPr>
      <t>670</t>
    </r>
    <r>
      <rPr>
        <sz val="11"/>
        <color theme="1"/>
        <rFont val="宋体"/>
        <family val="2"/>
        <charset val="134"/>
        <scheme val="minor"/>
      </rPr>
      <t/>
    </r>
  </si>
  <si>
    <r>
      <t>-</t>
    </r>
    <r>
      <rPr>
        <sz val="11"/>
        <color theme="1"/>
        <rFont val="宋体"/>
        <family val="3"/>
        <charset val="134"/>
        <scheme val="minor"/>
      </rPr>
      <t>671</t>
    </r>
    <r>
      <rPr>
        <sz val="11"/>
        <color theme="1"/>
        <rFont val="宋体"/>
        <family val="2"/>
        <charset val="134"/>
        <scheme val="minor"/>
      </rPr>
      <t/>
    </r>
  </si>
  <si>
    <r>
      <t>-</t>
    </r>
    <r>
      <rPr>
        <sz val="11"/>
        <color theme="1"/>
        <rFont val="宋体"/>
        <family val="3"/>
        <charset val="134"/>
        <scheme val="minor"/>
      </rPr>
      <t>672</t>
    </r>
    <r>
      <rPr>
        <sz val="11"/>
        <color theme="1"/>
        <rFont val="宋体"/>
        <family val="2"/>
        <charset val="134"/>
        <scheme val="minor"/>
      </rPr>
      <t/>
    </r>
  </si>
  <si>
    <r>
      <t>-</t>
    </r>
    <r>
      <rPr>
        <sz val="11"/>
        <color theme="1"/>
        <rFont val="宋体"/>
        <family val="3"/>
        <charset val="134"/>
        <scheme val="minor"/>
      </rPr>
      <t>673</t>
    </r>
    <r>
      <rPr>
        <sz val="11"/>
        <color theme="1"/>
        <rFont val="宋体"/>
        <family val="2"/>
        <charset val="134"/>
        <scheme val="minor"/>
      </rPr>
      <t/>
    </r>
  </si>
  <si>
    <r>
      <t>-</t>
    </r>
    <r>
      <rPr>
        <sz val="11"/>
        <color theme="1"/>
        <rFont val="宋体"/>
        <family val="3"/>
        <charset val="134"/>
        <scheme val="minor"/>
      </rPr>
      <t>674</t>
    </r>
    <r>
      <rPr>
        <sz val="11"/>
        <color theme="1"/>
        <rFont val="宋体"/>
        <family val="2"/>
        <charset val="134"/>
        <scheme val="minor"/>
      </rPr>
      <t/>
    </r>
  </si>
  <si>
    <r>
      <t>-</t>
    </r>
    <r>
      <rPr>
        <sz val="11"/>
        <color theme="1"/>
        <rFont val="宋体"/>
        <family val="3"/>
        <charset val="134"/>
        <scheme val="minor"/>
      </rPr>
      <t>675</t>
    </r>
    <r>
      <rPr>
        <sz val="11"/>
        <color theme="1"/>
        <rFont val="宋体"/>
        <family val="2"/>
        <charset val="134"/>
        <scheme val="minor"/>
      </rPr>
      <t/>
    </r>
  </si>
  <si>
    <r>
      <t>-</t>
    </r>
    <r>
      <rPr>
        <sz val="11"/>
        <color theme="1"/>
        <rFont val="宋体"/>
        <family val="3"/>
        <charset val="134"/>
        <scheme val="minor"/>
      </rPr>
      <t>676</t>
    </r>
    <r>
      <rPr>
        <sz val="11"/>
        <color theme="1"/>
        <rFont val="宋体"/>
        <family val="2"/>
        <charset val="134"/>
        <scheme val="minor"/>
      </rPr>
      <t/>
    </r>
  </si>
  <si>
    <r>
      <t>-</t>
    </r>
    <r>
      <rPr>
        <sz val="11"/>
        <color theme="1"/>
        <rFont val="宋体"/>
        <family val="3"/>
        <charset val="134"/>
        <scheme val="minor"/>
      </rPr>
      <t>677</t>
    </r>
    <r>
      <rPr>
        <sz val="11"/>
        <color theme="1"/>
        <rFont val="宋体"/>
        <family val="2"/>
        <charset val="134"/>
        <scheme val="minor"/>
      </rPr>
      <t/>
    </r>
  </si>
  <si>
    <r>
      <t>-</t>
    </r>
    <r>
      <rPr>
        <sz val="11"/>
        <color theme="1"/>
        <rFont val="宋体"/>
        <family val="3"/>
        <charset val="134"/>
        <scheme val="minor"/>
      </rPr>
      <t>678</t>
    </r>
    <r>
      <rPr>
        <sz val="11"/>
        <color theme="1"/>
        <rFont val="宋体"/>
        <family val="2"/>
        <charset val="134"/>
        <scheme val="minor"/>
      </rPr>
      <t/>
    </r>
  </si>
  <si>
    <r>
      <t>-</t>
    </r>
    <r>
      <rPr>
        <sz val="11"/>
        <color theme="1"/>
        <rFont val="宋体"/>
        <family val="3"/>
        <charset val="134"/>
        <scheme val="minor"/>
      </rPr>
      <t>679</t>
    </r>
    <r>
      <rPr>
        <sz val="11"/>
        <color theme="1"/>
        <rFont val="宋体"/>
        <family val="2"/>
        <charset val="134"/>
        <scheme val="minor"/>
      </rPr>
      <t/>
    </r>
  </si>
  <si>
    <r>
      <t>-</t>
    </r>
    <r>
      <rPr>
        <sz val="11"/>
        <color theme="1"/>
        <rFont val="宋体"/>
        <family val="3"/>
        <charset val="134"/>
        <scheme val="minor"/>
      </rPr>
      <t>680</t>
    </r>
    <r>
      <rPr>
        <sz val="11"/>
        <color theme="1"/>
        <rFont val="宋体"/>
        <family val="2"/>
        <charset val="134"/>
        <scheme val="minor"/>
      </rPr>
      <t/>
    </r>
  </si>
  <si>
    <r>
      <t>-</t>
    </r>
    <r>
      <rPr>
        <sz val="11"/>
        <color theme="1"/>
        <rFont val="宋体"/>
        <family val="3"/>
        <charset val="134"/>
        <scheme val="minor"/>
      </rPr>
      <t>681</t>
    </r>
    <r>
      <rPr>
        <sz val="11"/>
        <color theme="1"/>
        <rFont val="宋体"/>
        <family val="2"/>
        <charset val="134"/>
        <scheme val="minor"/>
      </rPr>
      <t/>
    </r>
  </si>
  <si>
    <r>
      <t>-</t>
    </r>
    <r>
      <rPr>
        <sz val="11"/>
        <color theme="1"/>
        <rFont val="宋体"/>
        <family val="3"/>
        <charset val="134"/>
        <scheme val="minor"/>
      </rPr>
      <t>682</t>
    </r>
    <r>
      <rPr>
        <sz val="11"/>
        <color theme="1"/>
        <rFont val="宋体"/>
        <family val="2"/>
        <charset val="134"/>
        <scheme val="minor"/>
      </rPr>
      <t/>
    </r>
  </si>
  <si>
    <r>
      <t>-</t>
    </r>
    <r>
      <rPr>
        <sz val="11"/>
        <color theme="1"/>
        <rFont val="宋体"/>
        <family val="3"/>
        <charset val="134"/>
        <scheme val="minor"/>
      </rPr>
      <t>683</t>
    </r>
    <r>
      <rPr>
        <sz val="11"/>
        <color theme="1"/>
        <rFont val="宋体"/>
        <family val="2"/>
        <charset val="134"/>
        <scheme val="minor"/>
      </rPr>
      <t/>
    </r>
  </si>
  <si>
    <r>
      <t>-</t>
    </r>
    <r>
      <rPr>
        <sz val="11"/>
        <color theme="1"/>
        <rFont val="宋体"/>
        <family val="3"/>
        <charset val="134"/>
        <scheme val="minor"/>
      </rPr>
      <t>684</t>
    </r>
    <r>
      <rPr>
        <sz val="11"/>
        <color theme="1"/>
        <rFont val="宋体"/>
        <family val="2"/>
        <charset val="134"/>
        <scheme val="minor"/>
      </rPr>
      <t/>
    </r>
  </si>
  <si>
    <r>
      <t>-</t>
    </r>
    <r>
      <rPr>
        <sz val="11"/>
        <color theme="1"/>
        <rFont val="宋体"/>
        <family val="3"/>
        <charset val="134"/>
        <scheme val="minor"/>
      </rPr>
      <t>685</t>
    </r>
    <r>
      <rPr>
        <sz val="11"/>
        <color theme="1"/>
        <rFont val="宋体"/>
        <family val="2"/>
        <charset val="134"/>
        <scheme val="minor"/>
      </rPr>
      <t/>
    </r>
  </si>
  <si>
    <r>
      <t>-</t>
    </r>
    <r>
      <rPr>
        <sz val="11"/>
        <color theme="1"/>
        <rFont val="宋体"/>
        <family val="3"/>
        <charset val="134"/>
        <scheme val="minor"/>
      </rPr>
      <t>686</t>
    </r>
    <r>
      <rPr>
        <sz val="11"/>
        <color theme="1"/>
        <rFont val="宋体"/>
        <family val="2"/>
        <charset val="134"/>
        <scheme val="minor"/>
      </rPr>
      <t/>
    </r>
  </si>
  <si>
    <r>
      <t>-</t>
    </r>
    <r>
      <rPr>
        <sz val="11"/>
        <color theme="1"/>
        <rFont val="宋体"/>
        <family val="3"/>
        <charset val="134"/>
        <scheme val="minor"/>
      </rPr>
      <t>687</t>
    </r>
    <r>
      <rPr>
        <sz val="11"/>
        <color theme="1"/>
        <rFont val="宋体"/>
        <family val="2"/>
        <charset val="134"/>
        <scheme val="minor"/>
      </rPr>
      <t/>
    </r>
  </si>
  <si>
    <r>
      <t>-</t>
    </r>
    <r>
      <rPr>
        <sz val="11"/>
        <color theme="1"/>
        <rFont val="宋体"/>
        <family val="3"/>
        <charset val="134"/>
        <scheme val="minor"/>
      </rPr>
      <t>688</t>
    </r>
    <r>
      <rPr>
        <sz val="11"/>
        <color theme="1"/>
        <rFont val="宋体"/>
        <family val="2"/>
        <charset val="134"/>
        <scheme val="minor"/>
      </rPr>
      <t/>
    </r>
  </si>
  <si>
    <r>
      <t>-</t>
    </r>
    <r>
      <rPr>
        <sz val="11"/>
        <color theme="1"/>
        <rFont val="宋体"/>
        <family val="3"/>
        <charset val="134"/>
        <scheme val="minor"/>
      </rPr>
      <t>689</t>
    </r>
    <r>
      <rPr>
        <sz val="11"/>
        <color theme="1"/>
        <rFont val="宋体"/>
        <family val="2"/>
        <charset val="134"/>
        <scheme val="minor"/>
      </rPr>
      <t/>
    </r>
  </si>
  <si>
    <r>
      <t>-</t>
    </r>
    <r>
      <rPr>
        <sz val="11"/>
        <color theme="1"/>
        <rFont val="宋体"/>
        <family val="3"/>
        <charset val="134"/>
        <scheme val="minor"/>
      </rPr>
      <t>690</t>
    </r>
    <r>
      <rPr>
        <sz val="11"/>
        <color theme="1"/>
        <rFont val="宋体"/>
        <family val="2"/>
        <charset val="134"/>
        <scheme val="minor"/>
      </rPr>
      <t/>
    </r>
  </si>
  <si>
    <r>
      <t>-</t>
    </r>
    <r>
      <rPr>
        <sz val="11"/>
        <color theme="1"/>
        <rFont val="宋体"/>
        <family val="3"/>
        <charset val="134"/>
        <scheme val="minor"/>
      </rPr>
      <t>691</t>
    </r>
    <r>
      <rPr>
        <sz val="11"/>
        <color theme="1"/>
        <rFont val="宋体"/>
        <family val="2"/>
        <charset val="134"/>
        <scheme val="minor"/>
      </rPr>
      <t/>
    </r>
  </si>
  <si>
    <r>
      <t>-</t>
    </r>
    <r>
      <rPr>
        <sz val="11"/>
        <color theme="1"/>
        <rFont val="宋体"/>
        <family val="3"/>
        <charset val="134"/>
        <scheme val="minor"/>
      </rPr>
      <t>692</t>
    </r>
    <r>
      <rPr>
        <sz val="11"/>
        <color theme="1"/>
        <rFont val="宋体"/>
        <family val="2"/>
        <charset val="134"/>
        <scheme val="minor"/>
      </rPr>
      <t/>
    </r>
  </si>
  <si>
    <r>
      <t>-</t>
    </r>
    <r>
      <rPr>
        <sz val="11"/>
        <color theme="1"/>
        <rFont val="宋体"/>
        <family val="3"/>
        <charset val="134"/>
        <scheme val="minor"/>
      </rPr>
      <t>693</t>
    </r>
    <r>
      <rPr>
        <sz val="11"/>
        <color theme="1"/>
        <rFont val="宋体"/>
        <family val="2"/>
        <charset val="134"/>
        <scheme val="minor"/>
      </rPr>
      <t/>
    </r>
  </si>
  <si>
    <r>
      <t>-</t>
    </r>
    <r>
      <rPr>
        <sz val="11"/>
        <color theme="1"/>
        <rFont val="宋体"/>
        <family val="3"/>
        <charset val="134"/>
        <scheme val="minor"/>
      </rPr>
      <t>694</t>
    </r>
    <r>
      <rPr>
        <sz val="11"/>
        <color theme="1"/>
        <rFont val="宋体"/>
        <family val="2"/>
        <charset val="134"/>
        <scheme val="minor"/>
      </rPr>
      <t/>
    </r>
  </si>
  <si>
    <r>
      <t>-</t>
    </r>
    <r>
      <rPr>
        <sz val="11"/>
        <color theme="1"/>
        <rFont val="宋体"/>
        <family val="3"/>
        <charset val="134"/>
        <scheme val="minor"/>
      </rPr>
      <t>695</t>
    </r>
    <r>
      <rPr>
        <sz val="11"/>
        <color theme="1"/>
        <rFont val="宋体"/>
        <family val="2"/>
        <charset val="134"/>
        <scheme val="minor"/>
      </rPr>
      <t/>
    </r>
  </si>
  <si>
    <r>
      <t>-</t>
    </r>
    <r>
      <rPr>
        <sz val="11"/>
        <color theme="1"/>
        <rFont val="宋体"/>
        <family val="3"/>
        <charset val="134"/>
        <scheme val="minor"/>
      </rPr>
      <t>696</t>
    </r>
    <r>
      <rPr>
        <sz val="11"/>
        <color theme="1"/>
        <rFont val="宋体"/>
        <family val="2"/>
        <charset val="134"/>
        <scheme val="minor"/>
      </rPr>
      <t/>
    </r>
  </si>
  <si>
    <r>
      <t>-</t>
    </r>
    <r>
      <rPr>
        <sz val="11"/>
        <color theme="1"/>
        <rFont val="宋体"/>
        <family val="3"/>
        <charset val="134"/>
        <scheme val="minor"/>
      </rPr>
      <t>697</t>
    </r>
    <r>
      <rPr>
        <sz val="11"/>
        <color theme="1"/>
        <rFont val="宋体"/>
        <family val="2"/>
        <charset val="134"/>
        <scheme val="minor"/>
      </rPr>
      <t/>
    </r>
  </si>
  <si>
    <r>
      <t>-</t>
    </r>
    <r>
      <rPr>
        <sz val="11"/>
        <color theme="1"/>
        <rFont val="宋体"/>
        <family val="3"/>
        <charset val="134"/>
        <scheme val="minor"/>
      </rPr>
      <t>698</t>
    </r>
    <r>
      <rPr>
        <sz val="11"/>
        <color theme="1"/>
        <rFont val="宋体"/>
        <family val="2"/>
        <charset val="134"/>
        <scheme val="minor"/>
      </rPr>
      <t/>
    </r>
  </si>
  <si>
    <r>
      <t>-</t>
    </r>
    <r>
      <rPr>
        <sz val="11"/>
        <color theme="1"/>
        <rFont val="宋体"/>
        <family val="3"/>
        <charset val="134"/>
        <scheme val="minor"/>
      </rPr>
      <t>699</t>
    </r>
    <r>
      <rPr>
        <sz val="11"/>
        <color theme="1"/>
        <rFont val="宋体"/>
        <family val="2"/>
        <charset val="134"/>
        <scheme val="minor"/>
      </rPr>
      <t/>
    </r>
  </si>
  <si>
    <r>
      <t>-</t>
    </r>
    <r>
      <rPr>
        <sz val="11"/>
        <color theme="1"/>
        <rFont val="宋体"/>
        <family val="3"/>
        <charset val="134"/>
        <scheme val="minor"/>
      </rPr>
      <t>700</t>
    </r>
    <r>
      <rPr>
        <sz val="11"/>
        <color theme="1"/>
        <rFont val="宋体"/>
        <family val="2"/>
        <charset val="134"/>
        <scheme val="minor"/>
      </rPr>
      <t/>
    </r>
  </si>
  <si>
    <r>
      <t>-</t>
    </r>
    <r>
      <rPr>
        <sz val="11"/>
        <color theme="1"/>
        <rFont val="宋体"/>
        <family val="3"/>
        <charset val="134"/>
        <scheme val="minor"/>
      </rPr>
      <t>701</t>
    </r>
    <r>
      <rPr>
        <sz val="11"/>
        <color theme="1"/>
        <rFont val="宋体"/>
        <family val="2"/>
        <charset val="134"/>
        <scheme val="minor"/>
      </rPr>
      <t/>
    </r>
  </si>
  <si>
    <r>
      <t>-</t>
    </r>
    <r>
      <rPr>
        <sz val="11"/>
        <color theme="1"/>
        <rFont val="宋体"/>
        <family val="3"/>
        <charset val="134"/>
        <scheme val="minor"/>
      </rPr>
      <t>702</t>
    </r>
    <r>
      <rPr>
        <sz val="11"/>
        <color theme="1"/>
        <rFont val="宋体"/>
        <family val="2"/>
        <charset val="134"/>
        <scheme val="minor"/>
      </rPr>
      <t/>
    </r>
  </si>
  <si>
    <r>
      <t>-</t>
    </r>
    <r>
      <rPr>
        <sz val="11"/>
        <color theme="1"/>
        <rFont val="宋体"/>
        <family val="3"/>
        <charset val="134"/>
        <scheme val="minor"/>
      </rPr>
      <t>703</t>
    </r>
    <r>
      <rPr>
        <sz val="11"/>
        <color theme="1"/>
        <rFont val="宋体"/>
        <family val="2"/>
        <charset val="134"/>
        <scheme val="minor"/>
      </rPr>
      <t/>
    </r>
  </si>
  <si>
    <r>
      <t>-</t>
    </r>
    <r>
      <rPr>
        <sz val="11"/>
        <color theme="1"/>
        <rFont val="宋体"/>
        <family val="3"/>
        <charset val="134"/>
        <scheme val="minor"/>
      </rPr>
      <t>704</t>
    </r>
    <r>
      <rPr>
        <sz val="11"/>
        <color theme="1"/>
        <rFont val="宋体"/>
        <family val="2"/>
        <charset val="134"/>
        <scheme val="minor"/>
      </rPr>
      <t/>
    </r>
  </si>
  <si>
    <r>
      <t>-</t>
    </r>
    <r>
      <rPr>
        <sz val="11"/>
        <color theme="1"/>
        <rFont val="宋体"/>
        <family val="3"/>
        <charset val="134"/>
        <scheme val="minor"/>
      </rPr>
      <t>705</t>
    </r>
    <r>
      <rPr>
        <sz val="11"/>
        <color theme="1"/>
        <rFont val="宋体"/>
        <family val="2"/>
        <charset val="134"/>
        <scheme val="minor"/>
      </rPr>
      <t/>
    </r>
  </si>
  <si>
    <r>
      <t>-</t>
    </r>
    <r>
      <rPr>
        <sz val="11"/>
        <color theme="1"/>
        <rFont val="宋体"/>
        <family val="3"/>
        <charset val="134"/>
        <scheme val="minor"/>
      </rPr>
      <t>706</t>
    </r>
    <r>
      <rPr>
        <sz val="11"/>
        <color theme="1"/>
        <rFont val="宋体"/>
        <family val="2"/>
        <charset val="134"/>
        <scheme val="minor"/>
      </rPr>
      <t/>
    </r>
  </si>
  <si>
    <r>
      <t>-</t>
    </r>
    <r>
      <rPr>
        <sz val="11"/>
        <color theme="1"/>
        <rFont val="宋体"/>
        <family val="3"/>
        <charset val="134"/>
        <scheme val="minor"/>
      </rPr>
      <t>707</t>
    </r>
    <r>
      <rPr>
        <sz val="11"/>
        <color theme="1"/>
        <rFont val="宋体"/>
        <family val="2"/>
        <charset val="134"/>
        <scheme val="minor"/>
      </rPr>
      <t/>
    </r>
  </si>
  <si>
    <r>
      <t>-</t>
    </r>
    <r>
      <rPr>
        <sz val="11"/>
        <color theme="1"/>
        <rFont val="宋体"/>
        <family val="3"/>
        <charset val="134"/>
        <scheme val="minor"/>
      </rPr>
      <t>708</t>
    </r>
    <r>
      <rPr>
        <sz val="11"/>
        <color theme="1"/>
        <rFont val="宋体"/>
        <family val="2"/>
        <charset val="134"/>
        <scheme val="minor"/>
      </rPr>
      <t/>
    </r>
  </si>
  <si>
    <r>
      <t>-</t>
    </r>
    <r>
      <rPr>
        <sz val="11"/>
        <color theme="1"/>
        <rFont val="宋体"/>
        <family val="3"/>
        <charset val="134"/>
        <scheme val="minor"/>
      </rPr>
      <t>709</t>
    </r>
    <r>
      <rPr>
        <sz val="11"/>
        <color theme="1"/>
        <rFont val="宋体"/>
        <family val="2"/>
        <charset val="134"/>
        <scheme val="minor"/>
      </rPr>
      <t/>
    </r>
  </si>
  <si>
    <r>
      <t>-</t>
    </r>
    <r>
      <rPr>
        <sz val="11"/>
        <color theme="1"/>
        <rFont val="宋体"/>
        <family val="3"/>
        <charset val="134"/>
        <scheme val="minor"/>
      </rPr>
      <t>710</t>
    </r>
    <r>
      <rPr>
        <sz val="11"/>
        <color theme="1"/>
        <rFont val="宋体"/>
        <family val="2"/>
        <charset val="134"/>
        <scheme val="minor"/>
      </rPr>
      <t/>
    </r>
  </si>
  <si>
    <r>
      <t>-</t>
    </r>
    <r>
      <rPr>
        <sz val="11"/>
        <color theme="1"/>
        <rFont val="宋体"/>
        <family val="3"/>
        <charset val="134"/>
        <scheme val="minor"/>
      </rPr>
      <t>711</t>
    </r>
    <r>
      <rPr>
        <sz val="11"/>
        <color theme="1"/>
        <rFont val="宋体"/>
        <family val="2"/>
        <charset val="134"/>
        <scheme val="minor"/>
      </rPr>
      <t/>
    </r>
  </si>
  <si>
    <r>
      <t>-</t>
    </r>
    <r>
      <rPr>
        <sz val="11"/>
        <color theme="1"/>
        <rFont val="宋体"/>
        <family val="3"/>
        <charset val="134"/>
        <scheme val="minor"/>
      </rPr>
      <t>712</t>
    </r>
    <r>
      <rPr>
        <sz val="11"/>
        <color theme="1"/>
        <rFont val="宋体"/>
        <family val="2"/>
        <charset val="134"/>
        <scheme val="minor"/>
      </rPr>
      <t/>
    </r>
  </si>
  <si>
    <r>
      <t>-</t>
    </r>
    <r>
      <rPr>
        <sz val="11"/>
        <color theme="1"/>
        <rFont val="宋体"/>
        <family val="3"/>
        <charset val="134"/>
        <scheme val="minor"/>
      </rPr>
      <t>713</t>
    </r>
    <r>
      <rPr>
        <sz val="11"/>
        <color theme="1"/>
        <rFont val="宋体"/>
        <family val="2"/>
        <charset val="134"/>
        <scheme val="minor"/>
      </rPr>
      <t/>
    </r>
  </si>
  <si>
    <r>
      <t>-</t>
    </r>
    <r>
      <rPr>
        <sz val="11"/>
        <color theme="1"/>
        <rFont val="宋体"/>
        <family val="3"/>
        <charset val="134"/>
        <scheme val="minor"/>
      </rPr>
      <t>714</t>
    </r>
    <r>
      <rPr>
        <sz val="11"/>
        <color theme="1"/>
        <rFont val="宋体"/>
        <family val="2"/>
        <charset val="134"/>
        <scheme val="minor"/>
      </rPr>
      <t/>
    </r>
  </si>
  <si>
    <r>
      <t>-</t>
    </r>
    <r>
      <rPr>
        <sz val="11"/>
        <color theme="1"/>
        <rFont val="宋体"/>
        <family val="3"/>
        <charset val="134"/>
        <scheme val="minor"/>
      </rPr>
      <t>715</t>
    </r>
    <r>
      <rPr>
        <sz val="11"/>
        <color theme="1"/>
        <rFont val="宋体"/>
        <family val="2"/>
        <charset val="134"/>
        <scheme val="minor"/>
      </rPr>
      <t/>
    </r>
  </si>
  <si>
    <r>
      <t>-</t>
    </r>
    <r>
      <rPr>
        <sz val="11"/>
        <color theme="1"/>
        <rFont val="宋体"/>
        <family val="3"/>
        <charset val="134"/>
        <scheme val="minor"/>
      </rPr>
      <t>716</t>
    </r>
    <r>
      <rPr>
        <sz val="11"/>
        <color theme="1"/>
        <rFont val="宋体"/>
        <family val="2"/>
        <charset val="134"/>
        <scheme val="minor"/>
      </rPr>
      <t/>
    </r>
  </si>
  <si>
    <r>
      <t>-</t>
    </r>
    <r>
      <rPr>
        <sz val="11"/>
        <color theme="1"/>
        <rFont val="宋体"/>
        <family val="3"/>
        <charset val="134"/>
        <scheme val="minor"/>
      </rPr>
      <t>717</t>
    </r>
    <r>
      <rPr>
        <sz val="11"/>
        <color theme="1"/>
        <rFont val="宋体"/>
        <family val="2"/>
        <charset val="134"/>
        <scheme val="minor"/>
      </rPr>
      <t/>
    </r>
  </si>
  <si>
    <r>
      <t>-</t>
    </r>
    <r>
      <rPr>
        <sz val="11"/>
        <color theme="1"/>
        <rFont val="宋体"/>
        <family val="3"/>
        <charset val="134"/>
        <scheme val="minor"/>
      </rPr>
      <t>718</t>
    </r>
    <r>
      <rPr>
        <sz val="11"/>
        <color theme="1"/>
        <rFont val="宋体"/>
        <family val="2"/>
        <charset val="134"/>
        <scheme val="minor"/>
      </rPr>
      <t/>
    </r>
  </si>
  <si>
    <r>
      <t>-</t>
    </r>
    <r>
      <rPr>
        <sz val="11"/>
        <color theme="1"/>
        <rFont val="宋体"/>
        <family val="3"/>
        <charset val="134"/>
        <scheme val="minor"/>
      </rPr>
      <t>719</t>
    </r>
    <r>
      <rPr>
        <sz val="11"/>
        <color theme="1"/>
        <rFont val="宋体"/>
        <family val="2"/>
        <charset val="134"/>
        <scheme val="minor"/>
      </rPr>
      <t/>
    </r>
  </si>
  <si>
    <r>
      <t>-</t>
    </r>
    <r>
      <rPr>
        <sz val="11"/>
        <color theme="1"/>
        <rFont val="宋体"/>
        <family val="3"/>
        <charset val="134"/>
        <scheme val="minor"/>
      </rPr>
      <t>720</t>
    </r>
    <r>
      <rPr>
        <sz val="11"/>
        <color theme="1"/>
        <rFont val="宋体"/>
        <family val="2"/>
        <charset val="134"/>
        <scheme val="minor"/>
      </rPr>
      <t/>
    </r>
  </si>
  <si>
    <r>
      <t>-</t>
    </r>
    <r>
      <rPr>
        <sz val="11"/>
        <color theme="1"/>
        <rFont val="宋体"/>
        <family val="3"/>
        <charset val="134"/>
        <scheme val="minor"/>
      </rPr>
      <t>721</t>
    </r>
    <r>
      <rPr>
        <sz val="11"/>
        <color theme="1"/>
        <rFont val="宋体"/>
        <family val="2"/>
        <charset val="134"/>
        <scheme val="minor"/>
      </rPr>
      <t/>
    </r>
  </si>
  <si>
    <r>
      <t>-</t>
    </r>
    <r>
      <rPr>
        <sz val="11"/>
        <color theme="1"/>
        <rFont val="宋体"/>
        <family val="3"/>
        <charset val="134"/>
        <scheme val="minor"/>
      </rPr>
      <t>722</t>
    </r>
    <r>
      <rPr>
        <sz val="11"/>
        <color theme="1"/>
        <rFont val="宋体"/>
        <family val="2"/>
        <charset val="134"/>
        <scheme val="minor"/>
      </rPr>
      <t/>
    </r>
  </si>
  <si>
    <r>
      <t>-</t>
    </r>
    <r>
      <rPr>
        <sz val="11"/>
        <color theme="1"/>
        <rFont val="宋体"/>
        <family val="3"/>
        <charset val="134"/>
        <scheme val="minor"/>
      </rPr>
      <t>723</t>
    </r>
    <r>
      <rPr>
        <sz val="11"/>
        <color theme="1"/>
        <rFont val="宋体"/>
        <family val="2"/>
        <charset val="134"/>
        <scheme val="minor"/>
      </rPr>
      <t/>
    </r>
  </si>
  <si>
    <r>
      <t>-</t>
    </r>
    <r>
      <rPr>
        <sz val="11"/>
        <color theme="1"/>
        <rFont val="宋体"/>
        <family val="3"/>
        <charset val="134"/>
        <scheme val="minor"/>
      </rPr>
      <t>724</t>
    </r>
    <r>
      <rPr>
        <sz val="11"/>
        <color theme="1"/>
        <rFont val="宋体"/>
        <family val="2"/>
        <charset val="134"/>
        <scheme val="minor"/>
      </rPr>
      <t/>
    </r>
  </si>
  <si>
    <r>
      <t>-</t>
    </r>
    <r>
      <rPr>
        <sz val="11"/>
        <color theme="1"/>
        <rFont val="宋体"/>
        <family val="3"/>
        <charset val="134"/>
        <scheme val="minor"/>
      </rPr>
      <t>725</t>
    </r>
    <r>
      <rPr>
        <sz val="11"/>
        <color theme="1"/>
        <rFont val="宋体"/>
        <family val="2"/>
        <charset val="134"/>
        <scheme val="minor"/>
      </rPr>
      <t/>
    </r>
  </si>
  <si>
    <r>
      <t>-</t>
    </r>
    <r>
      <rPr>
        <sz val="11"/>
        <color theme="1"/>
        <rFont val="宋体"/>
        <family val="3"/>
        <charset val="134"/>
        <scheme val="minor"/>
      </rPr>
      <t>726</t>
    </r>
    <r>
      <rPr>
        <sz val="11"/>
        <color theme="1"/>
        <rFont val="宋体"/>
        <family val="2"/>
        <charset val="134"/>
        <scheme val="minor"/>
      </rPr>
      <t/>
    </r>
  </si>
  <si>
    <r>
      <t>-</t>
    </r>
    <r>
      <rPr>
        <sz val="11"/>
        <color theme="1"/>
        <rFont val="宋体"/>
        <family val="3"/>
        <charset val="134"/>
        <scheme val="minor"/>
      </rPr>
      <t>727</t>
    </r>
    <r>
      <rPr>
        <sz val="11"/>
        <color theme="1"/>
        <rFont val="宋体"/>
        <family val="2"/>
        <charset val="134"/>
        <scheme val="minor"/>
      </rPr>
      <t/>
    </r>
  </si>
  <si>
    <r>
      <t>-</t>
    </r>
    <r>
      <rPr>
        <sz val="11"/>
        <color theme="1"/>
        <rFont val="宋体"/>
        <family val="3"/>
        <charset val="134"/>
        <scheme val="minor"/>
      </rPr>
      <t>728</t>
    </r>
    <r>
      <rPr>
        <sz val="11"/>
        <color theme="1"/>
        <rFont val="宋体"/>
        <family val="2"/>
        <charset val="134"/>
        <scheme val="minor"/>
      </rPr>
      <t/>
    </r>
  </si>
  <si>
    <r>
      <t>-</t>
    </r>
    <r>
      <rPr>
        <sz val="11"/>
        <color theme="1"/>
        <rFont val="宋体"/>
        <family val="3"/>
        <charset val="134"/>
        <scheme val="minor"/>
      </rPr>
      <t>729</t>
    </r>
    <r>
      <rPr>
        <sz val="11"/>
        <color theme="1"/>
        <rFont val="宋体"/>
        <family val="2"/>
        <charset val="134"/>
        <scheme val="minor"/>
      </rPr>
      <t/>
    </r>
  </si>
  <si>
    <r>
      <t>-</t>
    </r>
    <r>
      <rPr>
        <sz val="11"/>
        <color theme="1"/>
        <rFont val="宋体"/>
        <family val="3"/>
        <charset val="134"/>
        <scheme val="minor"/>
      </rPr>
      <t>730</t>
    </r>
    <r>
      <rPr>
        <sz val="11"/>
        <color theme="1"/>
        <rFont val="宋体"/>
        <family val="2"/>
        <charset val="134"/>
        <scheme val="minor"/>
      </rPr>
      <t/>
    </r>
  </si>
  <si>
    <r>
      <t>-</t>
    </r>
    <r>
      <rPr>
        <sz val="11"/>
        <color theme="1"/>
        <rFont val="宋体"/>
        <family val="3"/>
        <charset val="134"/>
        <scheme val="minor"/>
      </rPr>
      <t>731</t>
    </r>
    <r>
      <rPr>
        <sz val="11"/>
        <color theme="1"/>
        <rFont val="宋体"/>
        <family val="2"/>
        <charset val="134"/>
        <scheme val="minor"/>
      </rPr>
      <t/>
    </r>
  </si>
  <si>
    <r>
      <t>-</t>
    </r>
    <r>
      <rPr>
        <sz val="11"/>
        <color theme="1"/>
        <rFont val="宋体"/>
        <family val="3"/>
        <charset val="134"/>
        <scheme val="minor"/>
      </rPr>
      <t>732</t>
    </r>
    <r>
      <rPr>
        <sz val="11"/>
        <color theme="1"/>
        <rFont val="宋体"/>
        <family val="2"/>
        <charset val="134"/>
        <scheme val="minor"/>
      </rPr>
      <t/>
    </r>
  </si>
  <si>
    <r>
      <t>-</t>
    </r>
    <r>
      <rPr>
        <sz val="11"/>
        <color theme="1"/>
        <rFont val="宋体"/>
        <family val="3"/>
        <charset val="134"/>
        <scheme val="minor"/>
      </rPr>
      <t>733</t>
    </r>
    <r>
      <rPr>
        <sz val="11"/>
        <color theme="1"/>
        <rFont val="宋体"/>
        <family val="2"/>
        <charset val="134"/>
        <scheme val="minor"/>
      </rPr>
      <t/>
    </r>
  </si>
  <si>
    <r>
      <t>-</t>
    </r>
    <r>
      <rPr>
        <sz val="11"/>
        <color theme="1"/>
        <rFont val="宋体"/>
        <family val="3"/>
        <charset val="134"/>
        <scheme val="minor"/>
      </rPr>
      <t>734</t>
    </r>
    <r>
      <rPr>
        <sz val="11"/>
        <color theme="1"/>
        <rFont val="宋体"/>
        <family val="2"/>
        <charset val="134"/>
        <scheme val="minor"/>
      </rPr>
      <t/>
    </r>
  </si>
  <si>
    <r>
      <t>-</t>
    </r>
    <r>
      <rPr>
        <sz val="11"/>
        <color theme="1"/>
        <rFont val="宋体"/>
        <family val="3"/>
        <charset val="134"/>
        <scheme val="minor"/>
      </rPr>
      <t>735</t>
    </r>
    <r>
      <rPr>
        <sz val="11"/>
        <color theme="1"/>
        <rFont val="宋体"/>
        <family val="2"/>
        <charset val="134"/>
        <scheme val="minor"/>
      </rPr>
      <t/>
    </r>
  </si>
  <si>
    <r>
      <t>-</t>
    </r>
    <r>
      <rPr>
        <sz val="11"/>
        <color theme="1"/>
        <rFont val="宋体"/>
        <family val="3"/>
        <charset val="134"/>
        <scheme val="minor"/>
      </rPr>
      <t>736</t>
    </r>
    <r>
      <rPr>
        <sz val="11"/>
        <color theme="1"/>
        <rFont val="宋体"/>
        <family val="2"/>
        <charset val="134"/>
        <scheme val="minor"/>
      </rPr>
      <t/>
    </r>
  </si>
  <si>
    <r>
      <t>-</t>
    </r>
    <r>
      <rPr>
        <sz val="11"/>
        <color theme="1"/>
        <rFont val="宋体"/>
        <family val="3"/>
        <charset val="134"/>
        <scheme val="minor"/>
      </rPr>
      <t>737</t>
    </r>
    <r>
      <rPr>
        <sz val="11"/>
        <color theme="1"/>
        <rFont val="宋体"/>
        <family val="2"/>
        <charset val="134"/>
        <scheme val="minor"/>
      </rPr>
      <t/>
    </r>
  </si>
  <si>
    <r>
      <t>-</t>
    </r>
    <r>
      <rPr>
        <sz val="11"/>
        <color theme="1"/>
        <rFont val="宋体"/>
        <family val="3"/>
        <charset val="134"/>
        <scheme val="minor"/>
      </rPr>
      <t>738</t>
    </r>
    <r>
      <rPr>
        <sz val="11"/>
        <color theme="1"/>
        <rFont val="宋体"/>
        <family val="2"/>
        <charset val="134"/>
        <scheme val="minor"/>
      </rPr>
      <t/>
    </r>
  </si>
  <si>
    <r>
      <t>-</t>
    </r>
    <r>
      <rPr>
        <sz val="11"/>
        <color theme="1"/>
        <rFont val="宋体"/>
        <family val="3"/>
        <charset val="134"/>
        <scheme val="minor"/>
      </rPr>
      <t>739</t>
    </r>
    <r>
      <rPr>
        <sz val="11"/>
        <color theme="1"/>
        <rFont val="宋体"/>
        <family val="2"/>
        <charset val="134"/>
        <scheme val="minor"/>
      </rPr>
      <t/>
    </r>
  </si>
  <si>
    <r>
      <t>-</t>
    </r>
    <r>
      <rPr>
        <sz val="11"/>
        <color theme="1"/>
        <rFont val="宋体"/>
        <family val="3"/>
        <charset val="134"/>
        <scheme val="minor"/>
      </rPr>
      <t>740</t>
    </r>
    <r>
      <rPr>
        <sz val="11"/>
        <color theme="1"/>
        <rFont val="宋体"/>
        <family val="2"/>
        <charset val="134"/>
        <scheme val="minor"/>
      </rPr>
      <t/>
    </r>
  </si>
  <si>
    <r>
      <t>-</t>
    </r>
    <r>
      <rPr>
        <sz val="11"/>
        <color theme="1"/>
        <rFont val="宋体"/>
        <family val="3"/>
        <charset val="134"/>
        <scheme val="minor"/>
      </rPr>
      <t>741</t>
    </r>
    <r>
      <rPr>
        <sz val="11"/>
        <color theme="1"/>
        <rFont val="宋体"/>
        <family val="2"/>
        <charset val="134"/>
        <scheme val="minor"/>
      </rPr>
      <t/>
    </r>
  </si>
  <si>
    <r>
      <t>-</t>
    </r>
    <r>
      <rPr>
        <sz val="11"/>
        <color theme="1"/>
        <rFont val="宋体"/>
        <family val="3"/>
        <charset val="134"/>
        <scheme val="minor"/>
      </rPr>
      <t>742</t>
    </r>
    <r>
      <rPr>
        <sz val="11"/>
        <color theme="1"/>
        <rFont val="宋体"/>
        <family val="2"/>
        <charset val="134"/>
        <scheme val="minor"/>
      </rPr>
      <t/>
    </r>
  </si>
  <si>
    <r>
      <t>-</t>
    </r>
    <r>
      <rPr>
        <sz val="11"/>
        <color theme="1"/>
        <rFont val="宋体"/>
        <family val="3"/>
        <charset val="134"/>
        <scheme val="minor"/>
      </rPr>
      <t>743</t>
    </r>
    <r>
      <rPr>
        <sz val="11"/>
        <color theme="1"/>
        <rFont val="宋体"/>
        <family val="2"/>
        <charset val="134"/>
        <scheme val="minor"/>
      </rPr>
      <t/>
    </r>
  </si>
  <si>
    <r>
      <t>-</t>
    </r>
    <r>
      <rPr>
        <sz val="11"/>
        <color theme="1"/>
        <rFont val="宋体"/>
        <family val="3"/>
        <charset val="134"/>
        <scheme val="minor"/>
      </rPr>
      <t>744</t>
    </r>
    <r>
      <rPr>
        <sz val="11"/>
        <color theme="1"/>
        <rFont val="宋体"/>
        <family val="2"/>
        <charset val="134"/>
        <scheme val="minor"/>
      </rPr>
      <t/>
    </r>
  </si>
  <si>
    <r>
      <t>-</t>
    </r>
    <r>
      <rPr>
        <sz val="11"/>
        <color theme="1"/>
        <rFont val="宋体"/>
        <family val="3"/>
        <charset val="134"/>
        <scheme val="minor"/>
      </rPr>
      <t>745</t>
    </r>
    <r>
      <rPr>
        <sz val="11"/>
        <color theme="1"/>
        <rFont val="宋体"/>
        <family val="2"/>
        <charset val="134"/>
        <scheme val="minor"/>
      </rPr>
      <t/>
    </r>
  </si>
  <si>
    <r>
      <t>-</t>
    </r>
    <r>
      <rPr>
        <sz val="11"/>
        <color theme="1"/>
        <rFont val="宋体"/>
        <family val="3"/>
        <charset val="134"/>
        <scheme val="minor"/>
      </rPr>
      <t>746</t>
    </r>
    <r>
      <rPr>
        <sz val="11"/>
        <color theme="1"/>
        <rFont val="宋体"/>
        <family val="2"/>
        <charset val="134"/>
        <scheme val="minor"/>
      </rPr>
      <t/>
    </r>
  </si>
  <si>
    <r>
      <t>-</t>
    </r>
    <r>
      <rPr>
        <sz val="11"/>
        <color theme="1"/>
        <rFont val="宋体"/>
        <family val="3"/>
        <charset val="134"/>
        <scheme val="minor"/>
      </rPr>
      <t>747</t>
    </r>
    <r>
      <rPr>
        <sz val="11"/>
        <color theme="1"/>
        <rFont val="宋体"/>
        <family val="2"/>
        <charset val="134"/>
        <scheme val="minor"/>
      </rPr>
      <t/>
    </r>
  </si>
  <si>
    <r>
      <t>-</t>
    </r>
    <r>
      <rPr>
        <sz val="11"/>
        <color theme="1"/>
        <rFont val="宋体"/>
        <family val="3"/>
        <charset val="134"/>
        <scheme val="minor"/>
      </rPr>
      <t>748</t>
    </r>
    <r>
      <rPr>
        <sz val="11"/>
        <color theme="1"/>
        <rFont val="宋体"/>
        <family val="2"/>
        <charset val="134"/>
        <scheme val="minor"/>
      </rPr>
      <t/>
    </r>
  </si>
  <si>
    <r>
      <t>-</t>
    </r>
    <r>
      <rPr>
        <sz val="11"/>
        <color theme="1"/>
        <rFont val="宋体"/>
        <family val="3"/>
        <charset val="134"/>
        <scheme val="minor"/>
      </rPr>
      <t>749</t>
    </r>
    <r>
      <rPr>
        <sz val="11"/>
        <color theme="1"/>
        <rFont val="宋体"/>
        <family val="2"/>
        <charset val="134"/>
        <scheme val="minor"/>
      </rPr>
      <t/>
    </r>
  </si>
  <si>
    <r>
      <t>-</t>
    </r>
    <r>
      <rPr>
        <sz val="11"/>
        <color theme="1"/>
        <rFont val="宋体"/>
        <family val="3"/>
        <charset val="134"/>
        <scheme val="minor"/>
      </rPr>
      <t>750</t>
    </r>
    <r>
      <rPr>
        <sz val="11"/>
        <color theme="1"/>
        <rFont val="宋体"/>
        <family val="2"/>
        <charset val="134"/>
        <scheme val="minor"/>
      </rPr>
      <t/>
    </r>
  </si>
  <si>
    <r>
      <t>-</t>
    </r>
    <r>
      <rPr>
        <sz val="11"/>
        <color theme="1"/>
        <rFont val="宋体"/>
        <family val="3"/>
        <charset val="134"/>
        <scheme val="minor"/>
      </rPr>
      <t>751</t>
    </r>
    <r>
      <rPr>
        <sz val="11"/>
        <color theme="1"/>
        <rFont val="宋体"/>
        <family val="2"/>
        <charset val="134"/>
        <scheme val="minor"/>
      </rPr>
      <t/>
    </r>
  </si>
  <si>
    <r>
      <t>-</t>
    </r>
    <r>
      <rPr>
        <sz val="11"/>
        <color theme="1"/>
        <rFont val="宋体"/>
        <family val="3"/>
        <charset val="134"/>
        <scheme val="minor"/>
      </rPr>
      <t>752</t>
    </r>
    <r>
      <rPr>
        <sz val="11"/>
        <color theme="1"/>
        <rFont val="宋体"/>
        <family val="2"/>
        <charset val="134"/>
        <scheme val="minor"/>
      </rPr>
      <t/>
    </r>
  </si>
  <si>
    <r>
      <t>-</t>
    </r>
    <r>
      <rPr>
        <sz val="11"/>
        <color theme="1"/>
        <rFont val="宋体"/>
        <family val="3"/>
        <charset val="134"/>
        <scheme val="minor"/>
      </rPr>
      <t>753</t>
    </r>
    <r>
      <rPr>
        <sz val="11"/>
        <color theme="1"/>
        <rFont val="宋体"/>
        <family val="2"/>
        <charset val="134"/>
        <scheme val="minor"/>
      </rPr>
      <t/>
    </r>
  </si>
  <si>
    <r>
      <t>-</t>
    </r>
    <r>
      <rPr>
        <sz val="11"/>
        <color theme="1"/>
        <rFont val="宋体"/>
        <family val="3"/>
        <charset val="134"/>
        <scheme val="minor"/>
      </rPr>
      <t>754</t>
    </r>
    <r>
      <rPr>
        <sz val="11"/>
        <color theme="1"/>
        <rFont val="宋体"/>
        <family val="2"/>
        <charset val="134"/>
        <scheme val="minor"/>
      </rPr>
      <t/>
    </r>
  </si>
  <si>
    <r>
      <t>-</t>
    </r>
    <r>
      <rPr>
        <sz val="11"/>
        <color theme="1"/>
        <rFont val="宋体"/>
        <family val="3"/>
        <charset val="134"/>
        <scheme val="minor"/>
      </rPr>
      <t>755</t>
    </r>
    <r>
      <rPr>
        <sz val="11"/>
        <color theme="1"/>
        <rFont val="宋体"/>
        <family val="2"/>
        <charset val="134"/>
        <scheme val="minor"/>
      </rPr>
      <t/>
    </r>
  </si>
  <si>
    <r>
      <t>-</t>
    </r>
    <r>
      <rPr>
        <sz val="11"/>
        <color theme="1"/>
        <rFont val="宋体"/>
        <family val="3"/>
        <charset val="134"/>
        <scheme val="minor"/>
      </rPr>
      <t>756</t>
    </r>
    <r>
      <rPr>
        <sz val="11"/>
        <color theme="1"/>
        <rFont val="宋体"/>
        <family val="2"/>
        <charset val="134"/>
        <scheme val="minor"/>
      </rPr>
      <t/>
    </r>
  </si>
  <si>
    <r>
      <t>-</t>
    </r>
    <r>
      <rPr>
        <sz val="11"/>
        <color theme="1"/>
        <rFont val="宋体"/>
        <family val="3"/>
        <charset val="134"/>
        <scheme val="minor"/>
      </rPr>
      <t>757</t>
    </r>
    <r>
      <rPr>
        <sz val="11"/>
        <color theme="1"/>
        <rFont val="宋体"/>
        <family val="2"/>
        <charset val="134"/>
        <scheme val="minor"/>
      </rPr>
      <t/>
    </r>
  </si>
  <si>
    <r>
      <t>-</t>
    </r>
    <r>
      <rPr>
        <sz val="11"/>
        <color theme="1"/>
        <rFont val="宋体"/>
        <family val="3"/>
        <charset val="134"/>
        <scheme val="minor"/>
      </rPr>
      <t>758</t>
    </r>
    <r>
      <rPr>
        <sz val="11"/>
        <color theme="1"/>
        <rFont val="宋体"/>
        <family val="2"/>
        <charset val="134"/>
        <scheme val="minor"/>
      </rPr>
      <t/>
    </r>
  </si>
  <si>
    <r>
      <t>-</t>
    </r>
    <r>
      <rPr>
        <sz val="11"/>
        <color theme="1"/>
        <rFont val="宋体"/>
        <family val="3"/>
        <charset val="134"/>
        <scheme val="minor"/>
      </rPr>
      <t>759</t>
    </r>
    <r>
      <rPr>
        <sz val="11"/>
        <color theme="1"/>
        <rFont val="宋体"/>
        <family val="2"/>
        <charset val="134"/>
        <scheme val="minor"/>
      </rPr>
      <t/>
    </r>
  </si>
  <si>
    <r>
      <t>-</t>
    </r>
    <r>
      <rPr>
        <sz val="11"/>
        <color theme="1"/>
        <rFont val="宋体"/>
        <family val="3"/>
        <charset val="134"/>
        <scheme val="minor"/>
      </rPr>
      <t>760</t>
    </r>
    <r>
      <rPr>
        <sz val="11"/>
        <color theme="1"/>
        <rFont val="宋体"/>
        <family val="2"/>
        <charset val="134"/>
        <scheme val="minor"/>
      </rPr>
      <t/>
    </r>
  </si>
  <si>
    <r>
      <t>-</t>
    </r>
    <r>
      <rPr>
        <sz val="11"/>
        <color theme="1"/>
        <rFont val="宋体"/>
        <family val="3"/>
        <charset val="134"/>
        <scheme val="minor"/>
      </rPr>
      <t>761</t>
    </r>
    <r>
      <rPr>
        <sz val="11"/>
        <color theme="1"/>
        <rFont val="宋体"/>
        <family val="2"/>
        <charset val="134"/>
        <scheme val="minor"/>
      </rPr>
      <t/>
    </r>
  </si>
  <si>
    <r>
      <t>-</t>
    </r>
    <r>
      <rPr>
        <sz val="11"/>
        <color theme="1"/>
        <rFont val="宋体"/>
        <family val="3"/>
        <charset val="134"/>
        <scheme val="minor"/>
      </rPr>
      <t>762</t>
    </r>
    <r>
      <rPr>
        <sz val="11"/>
        <color theme="1"/>
        <rFont val="宋体"/>
        <family val="2"/>
        <charset val="134"/>
        <scheme val="minor"/>
      </rPr>
      <t/>
    </r>
  </si>
  <si>
    <r>
      <t>-</t>
    </r>
    <r>
      <rPr>
        <sz val="11"/>
        <color theme="1"/>
        <rFont val="宋体"/>
        <family val="3"/>
        <charset val="134"/>
        <scheme val="minor"/>
      </rPr>
      <t>763</t>
    </r>
    <r>
      <rPr>
        <sz val="11"/>
        <color theme="1"/>
        <rFont val="宋体"/>
        <family val="2"/>
        <charset val="134"/>
        <scheme val="minor"/>
      </rPr>
      <t/>
    </r>
  </si>
  <si>
    <r>
      <t>-</t>
    </r>
    <r>
      <rPr>
        <sz val="11"/>
        <color theme="1"/>
        <rFont val="宋体"/>
        <family val="3"/>
        <charset val="134"/>
        <scheme val="minor"/>
      </rPr>
      <t>764</t>
    </r>
    <r>
      <rPr>
        <sz val="11"/>
        <color theme="1"/>
        <rFont val="宋体"/>
        <family val="2"/>
        <charset val="134"/>
        <scheme val="minor"/>
      </rPr>
      <t/>
    </r>
  </si>
  <si>
    <r>
      <t>-</t>
    </r>
    <r>
      <rPr>
        <sz val="11"/>
        <color theme="1"/>
        <rFont val="宋体"/>
        <family val="3"/>
        <charset val="134"/>
        <scheme val="minor"/>
      </rPr>
      <t>765</t>
    </r>
    <r>
      <rPr>
        <sz val="11"/>
        <color theme="1"/>
        <rFont val="宋体"/>
        <family val="2"/>
        <charset val="134"/>
        <scheme val="minor"/>
      </rPr>
      <t/>
    </r>
  </si>
  <si>
    <r>
      <t>-</t>
    </r>
    <r>
      <rPr>
        <sz val="11"/>
        <color theme="1"/>
        <rFont val="宋体"/>
        <family val="3"/>
        <charset val="134"/>
        <scheme val="minor"/>
      </rPr>
      <t>766</t>
    </r>
    <r>
      <rPr>
        <sz val="11"/>
        <color theme="1"/>
        <rFont val="宋体"/>
        <family val="2"/>
        <charset val="134"/>
        <scheme val="minor"/>
      </rPr>
      <t/>
    </r>
  </si>
  <si>
    <r>
      <t>-</t>
    </r>
    <r>
      <rPr>
        <sz val="11"/>
        <color theme="1"/>
        <rFont val="宋体"/>
        <family val="3"/>
        <charset val="134"/>
        <scheme val="minor"/>
      </rPr>
      <t>767</t>
    </r>
    <r>
      <rPr>
        <sz val="11"/>
        <color theme="1"/>
        <rFont val="宋体"/>
        <family val="2"/>
        <charset val="134"/>
        <scheme val="minor"/>
      </rPr>
      <t/>
    </r>
  </si>
  <si>
    <r>
      <t>-</t>
    </r>
    <r>
      <rPr>
        <sz val="11"/>
        <color theme="1"/>
        <rFont val="宋体"/>
        <family val="3"/>
        <charset val="134"/>
        <scheme val="minor"/>
      </rPr>
      <t>768</t>
    </r>
    <r>
      <rPr>
        <sz val="11"/>
        <color theme="1"/>
        <rFont val="宋体"/>
        <family val="2"/>
        <charset val="134"/>
        <scheme val="minor"/>
      </rPr>
      <t/>
    </r>
  </si>
  <si>
    <r>
      <t>-</t>
    </r>
    <r>
      <rPr>
        <sz val="11"/>
        <color theme="1"/>
        <rFont val="宋体"/>
        <family val="3"/>
        <charset val="134"/>
        <scheme val="minor"/>
      </rPr>
      <t>769</t>
    </r>
    <r>
      <rPr>
        <sz val="11"/>
        <color theme="1"/>
        <rFont val="宋体"/>
        <family val="2"/>
        <charset val="134"/>
        <scheme val="minor"/>
      </rPr>
      <t/>
    </r>
  </si>
  <si>
    <r>
      <t>-</t>
    </r>
    <r>
      <rPr>
        <sz val="11"/>
        <color theme="1"/>
        <rFont val="宋体"/>
        <family val="3"/>
        <charset val="134"/>
        <scheme val="minor"/>
      </rPr>
      <t>770</t>
    </r>
    <r>
      <rPr>
        <sz val="11"/>
        <color theme="1"/>
        <rFont val="宋体"/>
        <family val="2"/>
        <charset val="134"/>
        <scheme val="minor"/>
      </rPr>
      <t/>
    </r>
  </si>
  <si>
    <r>
      <t>-</t>
    </r>
    <r>
      <rPr>
        <sz val="11"/>
        <color theme="1"/>
        <rFont val="宋体"/>
        <family val="3"/>
        <charset val="134"/>
        <scheme val="minor"/>
      </rPr>
      <t>771</t>
    </r>
    <r>
      <rPr>
        <sz val="11"/>
        <color theme="1"/>
        <rFont val="宋体"/>
        <family val="2"/>
        <charset val="134"/>
        <scheme val="minor"/>
      </rPr>
      <t/>
    </r>
  </si>
  <si>
    <r>
      <t>-</t>
    </r>
    <r>
      <rPr>
        <sz val="11"/>
        <color theme="1"/>
        <rFont val="宋体"/>
        <family val="3"/>
        <charset val="134"/>
        <scheme val="minor"/>
      </rPr>
      <t>772</t>
    </r>
    <r>
      <rPr>
        <sz val="11"/>
        <color theme="1"/>
        <rFont val="宋体"/>
        <family val="2"/>
        <charset val="134"/>
        <scheme val="minor"/>
      </rPr>
      <t/>
    </r>
  </si>
  <si>
    <r>
      <t>-</t>
    </r>
    <r>
      <rPr>
        <sz val="11"/>
        <color theme="1"/>
        <rFont val="宋体"/>
        <family val="3"/>
        <charset val="134"/>
        <scheme val="minor"/>
      </rPr>
      <t>773</t>
    </r>
    <r>
      <rPr>
        <sz val="11"/>
        <color theme="1"/>
        <rFont val="宋体"/>
        <family val="2"/>
        <charset val="134"/>
        <scheme val="minor"/>
      </rPr>
      <t/>
    </r>
  </si>
  <si>
    <r>
      <t>-</t>
    </r>
    <r>
      <rPr>
        <sz val="11"/>
        <color theme="1"/>
        <rFont val="宋体"/>
        <family val="3"/>
        <charset val="134"/>
        <scheme val="minor"/>
      </rPr>
      <t>774</t>
    </r>
    <r>
      <rPr>
        <sz val="11"/>
        <color theme="1"/>
        <rFont val="宋体"/>
        <family val="2"/>
        <charset val="134"/>
        <scheme val="minor"/>
      </rPr>
      <t/>
    </r>
  </si>
  <si>
    <r>
      <t>-</t>
    </r>
    <r>
      <rPr>
        <sz val="11"/>
        <color theme="1"/>
        <rFont val="宋体"/>
        <family val="3"/>
        <charset val="134"/>
        <scheme val="minor"/>
      </rPr>
      <t>775</t>
    </r>
    <r>
      <rPr>
        <sz val="11"/>
        <color theme="1"/>
        <rFont val="宋体"/>
        <family val="2"/>
        <charset val="134"/>
        <scheme val="minor"/>
      </rPr>
      <t/>
    </r>
  </si>
  <si>
    <r>
      <t>-</t>
    </r>
    <r>
      <rPr>
        <sz val="11"/>
        <color theme="1"/>
        <rFont val="宋体"/>
        <family val="3"/>
        <charset val="134"/>
        <scheme val="minor"/>
      </rPr>
      <t>776</t>
    </r>
    <r>
      <rPr>
        <sz val="11"/>
        <color theme="1"/>
        <rFont val="宋体"/>
        <family val="2"/>
        <charset val="134"/>
        <scheme val="minor"/>
      </rPr>
      <t/>
    </r>
  </si>
  <si>
    <r>
      <t>-</t>
    </r>
    <r>
      <rPr>
        <sz val="11"/>
        <color theme="1"/>
        <rFont val="宋体"/>
        <family val="3"/>
        <charset val="134"/>
        <scheme val="minor"/>
      </rPr>
      <t>777</t>
    </r>
    <r>
      <rPr>
        <sz val="11"/>
        <color theme="1"/>
        <rFont val="宋体"/>
        <family val="2"/>
        <charset val="134"/>
        <scheme val="minor"/>
      </rPr>
      <t/>
    </r>
  </si>
  <si>
    <r>
      <t>-</t>
    </r>
    <r>
      <rPr>
        <sz val="11"/>
        <color theme="1"/>
        <rFont val="宋体"/>
        <family val="3"/>
        <charset val="134"/>
        <scheme val="minor"/>
      </rPr>
      <t>778</t>
    </r>
    <r>
      <rPr>
        <sz val="11"/>
        <color theme="1"/>
        <rFont val="宋体"/>
        <family val="2"/>
        <charset val="134"/>
        <scheme val="minor"/>
      </rPr>
      <t/>
    </r>
  </si>
  <si>
    <r>
      <t>-</t>
    </r>
    <r>
      <rPr>
        <sz val="11"/>
        <color theme="1"/>
        <rFont val="宋体"/>
        <family val="3"/>
        <charset val="134"/>
        <scheme val="minor"/>
      </rPr>
      <t>779</t>
    </r>
    <r>
      <rPr>
        <sz val="11"/>
        <color theme="1"/>
        <rFont val="宋体"/>
        <family val="2"/>
        <charset val="134"/>
        <scheme val="minor"/>
      </rPr>
      <t/>
    </r>
  </si>
  <si>
    <r>
      <t>-</t>
    </r>
    <r>
      <rPr>
        <sz val="11"/>
        <color theme="1"/>
        <rFont val="宋体"/>
        <family val="3"/>
        <charset val="134"/>
        <scheme val="minor"/>
      </rPr>
      <t>780</t>
    </r>
    <r>
      <rPr>
        <sz val="11"/>
        <color theme="1"/>
        <rFont val="宋体"/>
        <family val="2"/>
        <charset val="134"/>
        <scheme val="minor"/>
      </rPr>
      <t/>
    </r>
  </si>
  <si>
    <r>
      <t>-</t>
    </r>
    <r>
      <rPr>
        <sz val="11"/>
        <color theme="1"/>
        <rFont val="宋体"/>
        <family val="3"/>
        <charset val="134"/>
        <scheme val="minor"/>
      </rPr>
      <t>781、-782</t>
    </r>
    <phoneticPr fontId="141" type="noConversion"/>
  </si>
  <si>
    <r>
      <t>-</t>
    </r>
    <r>
      <rPr>
        <sz val="11"/>
        <color theme="1"/>
        <rFont val="宋体"/>
        <family val="3"/>
        <charset val="134"/>
        <scheme val="minor"/>
      </rPr>
      <t>783、-784</t>
    </r>
    <phoneticPr fontId="141" type="noConversion"/>
  </si>
  <si>
    <r>
      <t>-</t>
    </r>
    <r>
      <rPr>
        <sz val="11"/>
        <color theme="1"/>
        <rFont val="宋体"/>
        <family val="3"/>
        <charset val="134"/>
        <scheme val="minor"/>
      </rPr>
      <t>785、-786</t>
    </r>
    <phoneticPr fontId="141" type="noConversion"/>
  </si>
  <si>
    <r>
      <t>-</t>
    </r>
    <r>
      <rPr>
        <sz val="11"/>
        <color theme="1"/>
        <rFont val="宋体"/>
        <family val="3"/>
        <charset val="134"/>
        <scheme val="minor"/>
      </rPr>
      <t>787</t>
    </r>
    <phoneticPr fontId="141" type="noConversion"/>
  </si>
  <si>
    <r>
      <t>-</t>
    </r>
    <r>
      <rPr>
        <sz val="11"/>
        <color theme="1"/>
        <rFont val="宋体"/>
        <family val="3"/>
        <charset val="134"/>
        <scheme val="minor"/>
      </rPr>
      <t>788</t>
    </r>
    <r>
      <rPr>
        <sz val="11"/>
        <color theme="1"/>
        <rFont val="宋体"/>
        <family val="2"/>
        <charset val="134"/>
        <scheme val="minor"/>
      </rPr>
      <t/>
    </r>
  </si>
  <si>
    <r>
      <t>-</t>
    </r>
    <r>
      <rPr>
        <sz val="11"/>
        <color theme="1"/>
        <rFont val="宋体"/>
        <family val="3"/>
        <charset val="134"/>
        <scheme val="minor"/>
      </rPr>
      <t>789</t>
    </r>
    <r>
      <rPr>
        <sz val="11"/>
        <color theme="1"/>
        <rFont val="宋体"/>
        <family val="2"/>
        <charset val="134"/>
        <scheme val="minor"/>
      </rPr>
      <t/>
    </r>
  </si>
  <si>
    <r>
      <t>-</t>
    </r>
    <r>
      <rPr>
        <sz val="11"/>
        <color theme="1"/>
        <rFont val="宋体"/>
        <family val="3"/>
        <charset val="134"/>
        <scheme val="minor"/>
      </rPr>
      <t>790</t>
    </r>
    <r>
      <rPr>
        <sz val="11"/>
        <color theme="1"/>
        <rFont val="宋体"/>
        <family val="2"/>
        <charset val="134"/>
        <scheme val="minor"/>
      </rPr>
      <t/>
    </r>
  </si>
  <si>
    <r>
      <t>-</t>
    </r>
    <r>
      <rPr>
        <sz val="11"/>
        <color theme="1"/>
        <rFont val="宋体"/>
        <family val="3"/>
        <charset val="134"/>
        <scheme val="minor"/>
      </rPr>
      <t>791</t>
    </r>
    <r>
      <rPr>
        <sz val="11"/>
        <color theme="1"/>
        <rFont val="宋体"/>
        <family val="2"/>
        <charset val="134"/>
        <scheme val="minor"/>
      </rPr>
      <t/>
    </r>
  </si>
  <si>
    <r>
      <t>-</t>
    </r>
    <r>
      <rPr>
        <sz val="11"/>
        <color theme="1"/>
        <rFont val="宋体"/>
        <family val="3"/>
        <charset val="134"/>
        <scheme val="minor"/>
      </rPr>
      <t>792</t>
    </r>
    <r>
      <rPr>
        <sz val="11"/>
        <color theme="1"/>
        <rFont val="宋体"/>
        <family val="2"/>
        <charset val="134"/>
        <scheme val="minor"/>
      </rPr>
      <t/>
    </r>
  </si>
  <si>
    <r>
      <t>-</t>
    </r>
    <r>
      <rPr>
        <sz val="11"/>
        <color theme="1"/>
        <rFont val="宋体"/>
        <family val="3"/>
        <charset val="134"/>
        <scheme val="minor"/>
      </rPr>
      <t>793</t>
    </r>
    <r>
      <rPr>
        <sz val="11"/>
        <color theme="1"/>
        <rFont val="宋体"/>
        <family val="2"/>
        <charset val="134"/>
        <scheme val="minor"/>
      </rPr>
      <t/>
    </r>
  </si>
  <si>
    <r>
      <t>-</t>
    </r>
    <r>
      <rPr>
        <sz val="11"/>
        <color theme="1"/>
        <rFont val="宋体"/>
        <family val="3"/>
        <charset val="134"/>
        <scheme val="minor"/>
      </rPr>
      <t>794</t>
    </r>
    <r>
      <rPr>
        <sz val="11"/>
        <color theme="1"/>
        <rFont val="宋体"/>
        <family val="2"/>
        <charset val="134"/>
        <scheme val="minor"/>
      </rPr>
      <t/>
    </r>
  </si>
  <si>
    <r>
      <t>-</t>
    </r>
    <r>
      <rPr>
        <sz val="11"/>
        <color theme="1"/>
        <rFont val="宋体"/>
        <family val="3"/>
        <charset val="134"/>
        <scheme val="minor"/>
      </rPr>
      <t>795</t>
    </r>
    <r>
      <rPr>
        <sz val="11"/>
        <color theme="1"/>
        <rFont val="宋体"/>
        <family val="2"/>
        <charset val="134"/>
        <scheme val="minor"/>
      </rPr>
      <t/>
    </r>
  </si>
  <si>
    <r>
      <t>-</t>
    </r>
    <r>
      <rPr>
        <sz val="11"/>
        <color theme="1"/>
        <rFont val="宋体"/>
        <family val="3"/>
        <charset val="134"/>
        <scheme val="minor"/>
      </rPr>
      <t>796</t>
    </r>
    <r>
      <rPr>
        <sz val="11"/>
        <color theme="1"/>
        <rFont val="宋体"/>
        <family val="2"/>
        <charset val="134"/>
        <scheme val="minor"/>
      </rPr>
      <t/>
    </r>
  </si>
  <si>
    <r>
      <t>-</t>
    </r>
    <r>
      <rPr>
        <sz val="11"/>
        <color theme="1"/>
        <rFont val="宋体"/>
        <family val="3"/>
        <charset val="134"/>
        <scheme val="minor"/>
      </rPr>
      <t>797</t>
    </r>
    <r>
      <rPr>
        <sz val="11"/>
        <color theme="1"/>
        <rFont val="宋体"/>
        <family val="2"/>
        <charset val="134"/>
        <scheme val="minor"/>
      </rPr>
      <t/>
    </r>
  </si>
  <si>
    <r>
      <t>-</t>
    </r>
    <r>
      <rPr>
        <sz val="11"/>
        <color theme="1"/>
        <rFont val="宋体"/>
        <family val="3"/>
        <charset val="134"/>
        <scheme val="minor"/>
      </rPr>
      <t>798</t>
    </r>
    <r>
      <rPr>
        <sz val="11"/>
        <color theme="1"/>
        <rFont val="宋体"/>
        <family val="2"/>
        <charset val="134"/>
        <scheme val="minor"/>
      </rPr>
      <t/>
    </r>
  </si>
  <si>
    <r>
      <t>-</t>
    </r>
    <r>
      <rPr>
        <sz val="11"/>
        <color theme="1"/>
        <rFont val="宋体"/>
        <family val="3"/>
        <charset val="134"/>
        <scheme val="minor"/>
      </rPr>
      <t>799</t>
    </r>
    <r>
      <rPr>
        <sz val="11"/>
        <color theme="1"/>
        <rFont val="宋体"/>
        <family val="2"/>
        <charset val="134"/>
        <scheme val="minor"/>
      </rPr>
      <t/>
    </r>
  </si>
  <si>
    <r>
      <t>-</t>
    </r>
    <r>
      <rPr>
        <sz val="11"/>
        <color theme="1"/>
        <rFont val="宋体"/>
        <family val="3"/>
        <charset val="134"/>
        <scheme val="minor"/>
      </rPr>
      <t>800</t>
    </r>
    <r>
      <rPr>
        <sz val="11"/>
        <color theme="1"/>
        <rFont val="宋体"/>
        <family val="2"/>
        <charset val="134"/>
        <scheme val="minor"/>
      </rPr>
      <t/>
    </r>
  </si>
  <si>
    <r>
      <t>-</t>
    </r>
    <r>
      <rPr>
        <sz val="11"/>
        <color theme="1"/>
        <rFont val="宋体"/>
        <family val="3"/>
        <charset val="134"/>
        <scheme val="minor"/>
      </rPr>
      <t>801</t>
    </r>
    <r>
      <rPr>
        <sz val="11"/>
        <color theme="1"/>
        <rFont val="宋体"/>
        <family val="2"/>
        <charset val="134"/>
        <scheme val="minor"/>
      </rPr>
      <t/>
    </r>
  </si>
  <si>
    <r>
      <t>-</t>
    </r>
    <r>
      <rPr>
        <sz val="11"/>
        <color theme="1"/>
        <rFont val="宋体"/>
        <family val="3"/>
        <charset val="134"/>
        <scheme val="minor"/>
      </rPr>
      <t>802</t>
    </r>
    <r>
      <rPr>
        <sz val="11"/>
        <color theme="1"/>
        <rFont val="宋体"/>
        <family val="2"/>
        <charset val="134"/>
        <scheme val="minor"/>
      </rPr>
      <t/>
    </r>
  </si>
  <si>
    <r>
      <t>-</t>
    </r>
    <r>
      <rPr>
        <sz val="11"/>
        <color theme="1"/>
        <rFont val="宋体"/>
        <family val="3"/>
        <charset val="134"/>
        <scheme val="minor"/>
      </rPr>
      <t>803</t>
    </r>
    <r>
      <rPr>
        <sz val="11"/>
        <color theme="1"/>
        <rFont val="宋体"/>
        <family val="2"/>
        <charset val="134"/>
        <scheme val="minor"/>
      </rPr>
      <t/>
    </r>
  </si>
  <si>
    <r>
      <t>-</t>
    </r>
    <r>
      <rPr>
        <sz val="11"/>
        <color theme="1"/>
        <rFont val="宋体"/>
        <family val="3"/>
        <charset val="134"/>
        <scheme val="minor"/>
      </rPr>
      <t>804</t>
    </r>
    <r>
      <rPr>
        <sz val="11"/>
        <color theme="1"/>
        <rFont val="宋体"/>
        <family val="2"/>
        <charset val="134"/>
        <scheme val="minor"/>
      </rPr>
      <t/>
    </r>
  </si>
  <si>
    <t>-2层合计</t>
    <phoneticPr fontId="141" type="noConversion"/>
  </si>
  <si>
    <r>
      <t>1</t>
    </r>
    <r>
      <rPr>
        <sz val="11"/>
        <color theme="1"/>
        <rFont val="宋体"/>
        <family val="3"/>
        <charset val="134"/>
        <scheme val="minor"/>
      </rPr>
      <t>01</t>
    </r>
    <phoneticPr fontId="141" type="noConversion"/>
  </si>
  <si>
    <t>是</t>
  </si>
  <si>
    <t>地上</t>
  </si>
  <si>
    <t>地下</t>
  </si>
  <si>
    <t>车库—商业</t>
  </si>
  <si>
    <t>龙湖</t>
  </si>
  <si>
    <t>龙湖</t>
    <phoneticPr fontId="8" type="noConversion"/>
  </si>
  <si>
    <t>成新度</t>
  </si>
  <si>
    <t>收益法</t>
  </si>
  <si>
    <t>利息：取LPR加浮动点数</t>
  </si>
  <si>
    <t>押一</t>
  </si>
  <si>
    <t>按租金收入计税</t>
  </si>
  <si>
    <t>钢混</t>
  </si>
  <si>
    <t>非生产用房</t>
  </si>
  <si>
    <t>否</t>
  </si>
  <si>
    <t>未包含在土地购买价格中</t>
  </si>
  <si>
    <t>全部缴纳</t>
  </si>
  <si>
    <t>已包含在土地取得成本中</t>
  </si>
  <si>
    <t>成本法</t>
  </si>
  <si>
    <t>总价</t>
  </si>
  <si>
    <t>成本比率</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</si>
  <si>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</si>
  <si>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</si>
  <si>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</si>
  <si>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</si>
  <si>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</si>
  <si>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</si>
  <si>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</si>
  <si>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</si>
  <si>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</si>
  <si>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</si>
  <si>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</si>
  <si>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</si>
  <si>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</si>
  <si>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</si>
  <si>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</si>
  <si>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</si>
  <si>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</si>
  <si>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</si>
  <si>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</si>
  <si>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</si>
  <si>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北京经济技术开发区亦庄新城0303街区C14C-3地块F3其他类多功能用地</t>
  </si>
  <si>
    <t>京土储挂(开)[2022]039号</t>
  </si>
  <si>
    <t xml:space="preserve"> 商业/办公用地</t>
  </si>
  <si>
    <t xml:space="preserve"> 挂牌</t>
  </si>
  <si>
    <t xml:space="preserve"> F3其他类多功能用地</t>
  </si>
  <si>
    <t xml:space="preserve">-- </t>
  </si>
  <si>
    <t xml:space="preserve"> 已成交</t>
  </si>
  <si>
    <t xml:space="preserve"> 北京京东昆岳科技产业创新发展有限公司  </t>
  </si>
  <si>
    <t>2022-06-23 15:00</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</si>
  <si>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</si>
  <si>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</si>
  <si>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</si>
  <si>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</si>
  <si>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</si>
  <si>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</si>
  <si>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</si>
  <si>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</si>
  <si>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</si>
  <si>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</si>
  <si>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五通</t>
    <phoneticPr fontId="141" type="noConversion"/>
  </si>
  <si>
    <t>五级</t>
    <phoneticPr fontId="141" type="noConversion"/>
  </si>
  <si>
    <t>无自持限制</t>
    <phoneticPr fontId="141" type="noConversion"/>
  </si>
  <si>
    <t>北京市大兴区黄村镇DX00-0201-6001地块B14旅馆用地</t>
  </si>
  <si>
    <t>京土整储挂(兴)[2021]089号</t>
  </si>
  <si>
    <t xml:space="preserve"> B14旅馆用地</t>
  </si>
  <si>
    <t xml:space="preserve">2021年第3批次 </t>
  </si>
  <si>
    <t xml:space="preserve"> 北京大兴宾馆有限责任公司  </t>
  </si>
  <si>
    <t>2021-12-23 15:00</t>
  </si>
  <si>
    <t>三通</t>
    <phoneticPr fontId="141" type="noConversion"/>
  </si>
  <si>
    <t>六级</t>
    <phoneticPr fontId="141" type="noConversion"/>
  </si>
  <si>
    <t>北京市房山区长阳镇06、07街区棚户区改造土地开发七片区项目FS10-0107-0005地块F3其他类多功能用地</t>
  </si>
  <si>
    <t>京土整储挂(房)[2020]046号</t>
  </si>
  <si>
    <t xml:space="preserve"> 北京北投新城开发建设有限公司 、北京城市副中心投资基金合伙企业(有限合伙)  </t>
  </si>
  <si>
    <t>2020-12-25 15:00</t>
  </si>
  <si>
    <t>北京经济技术开发区路东区G4F-4、G6F-1、G6F-5、G7F-1、G7F-2、G7F-3地块F3其他类多功能用地国有建设用地</t>
  </si>
  <si>
    <t>京土整储挂(开)[2020]029号</t>
  </si>
  <si>
    <t xml:space="preserve"> 北京通明湖信息城发展有限公司  </t>
  </si>
  <si>
    <t>2020-07-31 15:00</t>
  </si>
  <si>
    <t>北京经济技术开发区河西区X78C2地块B4综合性商业金融服务业用地</t>
  </si>
  <si>
    <t>京土整储挂(开)[2019]019号</t>
  </si>
  <si>
    <t xml:space="preserve"> 北京尚恒锦瑞商业运营管理有限公司  </t>
  </si>
  <si>
    <t>2019-08-29 15:00</t>
  </si>
  <si>
    <t>六通</t>
    <phoneticPr fontId="141" type="noConversion"/>
  </si>
  <si>
    <t>七级</t>
    <phoneticPr fontId="141" type="noConversion"/>
  </si>
  <si>
    <t>全年限全面积自持</t>
    <phoneticPr fontId="141" type="noConversion"/>
  </si>
  <si>
    <t>北京经济技术开发区南海子郊野公园B片区B-04/ B-06/B-11地块F3其他类多功能用地</t>
  </si>
  <si>
    <t>京土整储挂(开)[2019]006号</t>
  </si>
  <si>
    <t xml:space="preserve"> 北京国苑体育文化投资有限责任公司  </t>
  </si>
  <si>
    <t>成本法</t>
    <phoneticPr fontId="141" type="noConversion"/>
  </si>
  <si>
    <t>收益法</t>
    <phoneticPr fontId="141" type="noConversion"/>
  </si>
  <si>
    <t>总价</t>
    <phoneticPr fontId="141" type="noConversion"/>
  </si>
  <si>
    <t>2022年</t>
    <phoneticPr fontId="141" type="noConversion"/>
  </si>
  <si>
    <t>2018年</t>
    <phoneticPr fontId="141" type="noConversion"/>
  </si>
  <si>
    <t>正常</t>
    <phoneticPr fontId="32" type="noConversion"/>
  </si>
  <si>
    <t>正常</t>
    <phoneticPr fontId="32" type="noConversion"/>
  </si>
  <si>
    <t>正常</t>
    <phoneticPr fontId="32" type="noConversion"/>
  </si>
  <si>
    <t>B4</t>
  </si>
  <si>
    <t>B4</t>
    <phoneticPr fontId="32" type="noConversion"/>
  </si>
  <si>
    <t xml:space="preserve">F3 </t>
  </si>
  <si>
    <t xml:space="preserve">F3 </t>
    <phoneticPr fontId="32" type="noConversion"/>
  </si>
  <si>
    <t xml:space="preserve">B14 </t>
  </si>
  <si>
    <t xml:space="preserve">B14 </t>
    <phoneticPr fontId="32" type="noConversion"/>
  </si>
  <si>
    <t>自持限制</t>
    <phoneticPr fontId="32" type="noConversion"/>
  </si>
  <si>
    <r>
      <t>40%</t>
    </r>
    <r>
      <rPr>
        <sz val="11"/>
        <color indexed="8"/>
        <rFont val="宋体"/>
        <family val="3"/>
        <charset val="134"/>
      </rPr>
      <t>商业永久自持</t>
    </r>
    <phoneticPr fontId="32" type="noConversion"/>
  </si>
  <si>
    <t>无自持</t>
    <phoneticPr fontId="32" type="noConversion"/>
  </si>
  <si>
    <t>全面积全自持</t>
    <phoneticPr fontId="32" type="noConversion"/>
  </si>
  <si>
    <t>全面积全自持</t>
    <phoneticPr fontId="32" type="noConversion"/>
  </si>
  <si>
    <t>较好</t>
    <phoneticPr fontId="32" type="noConversion"/>
  </si>
  <si>
    <t>一般</t>
    <phoneticPr fontId="32" type="noConversion"/>
  </si>
  <si>
    <t>七通</t>
    <phoneticPr fontId="32" type="noConversion"/>
  </si>
  <si>
    <t>七级</t>
    <phoneticPr fontId="32" type="noConversion"/>
  </si>
  <si>
    <t>五级</t>
    <phoneticPr fontId="32" type="noConversion"/>
  </si>
  <si>
    <t>六级</t>
    <phoneticPr fontId="32" type="noConversion"/>
  </si>
  <si>
    <t>七级</t>
    <phoneticPr fontId="32" type="noConversion"/>
  </si>
  <si>
    <t>较规则</t>
    <phoneticPr fontId="32" type="noConversion"/>
  </si>
  <si>
    <t>六通</t>
    <phoneticPr fontId="32" type="noConversion"/>
  </si>
  <si>
    <t>五通</t>
    <phoneticPr fontId="32" type="noConversion"/>
  </si>
  <si>
    <t>三通</t>
    <phoneticPr fontId="32" type="noConversion"/>
  </si>
  <si>
    <t>四通</t>
    <phoneticPr fontId="32" type="noConversion"/>
  </si>
  <si>
    <t>Ⅶ-房1</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</si>
</sst>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1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NumberFormat="1" applyFont="1">
      <alignment vertical="center"/>
    </xf>
    <xf numFmtId="0" fontId="0" fillId="0" borderId="0" xfId="0" applyNumberFormat="1">
      <alignment vertical="center"/>
    </xf>
    <xf numFmtId="0" fontId="99" fillId="0" borderId="1" xfId="0" applyNumberFormat="1" applyFont="1" applyBorder="1">
      <alignment vertical="center"/>
    </xf>
    <xf numFmtId="0" fontId="0" fillId="0" borderId="1" xfId="0" applyNumberFormat="1" applyBorder="1">
      <alignment vertical="center"/>
    </xf>
    <xf numFmtId="49" fontId="99" fillId="0" borderId="1" xfId="0" applyNumberFormat="1" applyFont="1" applyBorder="1">
      <alignment vertical="center"/>
    </xf>
    <xf numFmtId="49" fontId="99" fillId="0" borderId="1" xfId="0" applyNumberFormat="1" applyFont="1" applyFill="1" applyBorder="1">
      <alignment vertical="center"/>
    </xf>
    <xf numFmtId="0" fontId="99" fillId="0" borderId="1" xfId="0" applyNumberFormat="1" applyFont="1" applyFill="1" applyBorder="1">
      <alignment vertical="center"/>
    </xf>
    <xf numFmtId="0" fontId="99" fillId="5" borderId="1" xfId="0" applyNumberFormat="1" applyFont="1" applyFill="1" applyBorder="1">
      <alignment vertical="center"/>
    </xf>
    <xf numFmtId="0" fontId="0" fillId="5" borderId="1" xfId="0" applyNumberFormat="1" applyFill="1" applyBorder="1">
      <alignment vertical="center"/>
    </xf>
    <xf numFmtId="177" fontId="80" fillId="0" borderId="1" xfId="1" applyNumberFormat="1" applyFont="1" applyFill="1" applyBorder="1" applyAlignment="1" applyProtection="1">
      <alignment vertical="center"/>
      <protection locked="0" hidden="1"/>
    </xf>
    <xf numFmtId="14" fontId="0" fillId="0" borderId="0" xfId="0" applyNumberFormat="1" applyAlignment="1"/>
    <xf numFmtId="0" fontId="0" fillId="20" borderId="0" xfId="0" applyFill="1" applyAlignment="1"/>
    <xf numFmtId="14" fontId="0" fillId="20" borderId="0" xfId="0" applyNumberFormat="1" applyFill="1" applyAlignment="1"/>
    <xf numFmtId="0" fontId="99" fillId="20" borderId="0" xfId="0" applyFont="1" applyFill="1" applyAlignment="1"/>
    <xf numFmtId="0" fontId="112" fillId="0" borderId="1" xfId="0" applyFont="1" applyBorder="1">
      <alignment vertical="center"/>
    </xf>
    <xf numFmtId="49" fontId="135" fillId="2" borderId="26" xfId="0" applyNumberFormat="1" applyFont="1" applyFill="1" applyBorder="1" applyAlignment="1" applyProtection="1">
      <alignment horizontal="center" vertical="center" wrapText="1"/>
      <protection locked="0"/>
    </xf>
    <xf numFmtId="0" fontId="135" fillId="0" borderId="46" xfId="0" applyFont="1" applyFill="1" applyBorder="1" applyAlignment="1" applyProtection="1">
      <alignment horizontal="center" vertical="center" wrapText="1"/>
      <protection locked="0"/>
    </xf>
    <xf numFmtId="49" fontId="135" fillId="0" borderId="41" xfId="0" applyNumberFormat="1" applyFont="1" applyFill="1" applyBorder="1" applyAlignment="1" applyProtection="1">
      <alignment horizontal="center" vertical="center" wrapText="1"/>
      <protection locked="0"/>
    </xf>
    <xf numFmtId="49" fontId="135" fillId="0" borderId="7"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5" fillId="2" borderId="69" xfId="0" applyNumberFormat="1" applyFont="1" applyFill="1" applyBorder="1" applyAlignment="1" applyProtection="1">
      <alignment horizontal="center" vertical="center" wrapText="1"/>
      <protection locked="0"/>
    </xf>
    <xf numFmtId="0" fontId="135"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5" fillId="2" borderId="37" xfId="0" applyNumberFormat="1" applyFont="1" applyFill="1" applyBorder="1" applyAlignment="1" applyProtection="1">
      <alignment horizontal="center" vertical="center" wrapText="1"/>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17"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10" Type="http://schemas.openxmlformats.org/officeDocument/2006/relationships/image" Target="../media/image12.jpg"/><Relationship Id="rId4" Type="http://schemas.openxmlformats.org/officeDocument/2006/relationships/image" Target="../media/image6.jpg"/><Relationship Id="rId9" Type="http://schemas.openxmlformats.org/officeDocument/2006/relationships/image" Target="../media/image1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11</xdr:row>
      <xdr:rowOff>95250</xdr:rowOff>
    </xdr:from>
    <xdr:to>
      <xdr:col>4</xdr:col>
      <xdr:colOff>1200150</xdr:colOff>
      <xdr:row>39</xdr:row>
      <xdr:rowOff>24366</xdr:rowOff>
    </xdr:to>
    <xdr:pic>
      <xdr:nvPicPr>
        <xdr:cNvPr id="2" name="图片 1">
          <a:extLst>
            <a:ext uri="{FF2B5EF4-FFF2-40B4-BE49-F238E27FC236}">
              <a16:creationId xmlns="" xmlns:a16="http://schemas.microsoft.com/office/drawing/2014/main" id="{FB10591A-5532-6455-4259-35CAAE2731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1981200"/>
          <a:ext cx="8153400" cy="4729716"/>
        </a:xfrm>
        <a:prstGeom prst="rect">
          <a:avLst/>
        </a:prstGeom>
      </xdr:spPr>
    </xdr:pic>
    <xdr:clientData/>
  </xdr:twoCellAnchor>
  <xdr:twoCellAnchor editAs="oneCell">
    <xdr:from>
      <xdr:col>0</xdr:col>
      <xdr:colOff>0</xdr:colOff>
      <xdr:row>41</xdr:row>
      <xdr:rowOff>0</xdr:rowOff>
    </xdr:from>
    <xdr:to>
      <xdr:col>3</xdr:col>
      <xdr:colOff>542925</xdr:colOff>
      <xdr:row>74</xdr:row>
      <xdr:rowOff>39565</xdr:rowOff>
    </xdr:to>
    <xdr:pic>
      <xdr:nvPicPr>
        <xdr:cNvPr id="3" name="图片 2">
          <a:extLst>
            <a:ext uri="{FF2B5EF4-FFF2-40B4-BE49-F238E27FC236}">
              <a16:creationId xmlns="" xmlns:a16="http://schemas.microsoft.com/office/drawing/2014/main" id="{A67F3CA8-798D-60BE-DADD-EB3A38B4E7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029450"/>
          <a:ext cx="6515100" cy="5697415"/>
        </a:xfrm>
        <a:prstGeom prst="rect">
          <a:avLst/>
        </a:prstGeom>
      </xdr:spPr>
    </xdr:pic>
    <xdr:clientData/>
  </xdr:twoCellAnchor>
  <xdr:twoCellAnchor editAs="oneCell">
    <xdr:from>
      <xdr:col>0</xdr:col>
      <xdr:colOff>0</xdr:colOff>
      <xdr:row>76</xdr:row>
      <xdr:rowOff>0</xdr:rowOff>
    </xdr:from>
    <xdr:to>
      <xdr:col>2</xdr:col>
      <xdr:colOff>2066924</xdr:colOff>
      <xdr:row>110</xdr:row>
      <xdr:rowOff>134670</xdr:rowOff>
    </xdr:to>
    <xdr:pic>
      <xdr:nvPicPr>
        <xdr:cNvPr id="4" name="图片 3">
          <a:extLst>
            <a:ext uri="{FF2B5EF4-FFF2-40B4-BE49-F238E27FC236}">
              <a16:creationId xmlns="" xmlns:a16="http://schemas.microsoft.com/office/drawing/2014/main" id="{47B23406-4FDC-384B-C829-6303FA35041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030200"/>
          <a:ext cx="5800724" cy="5963970"/>
        </a:xfrm>
        <a:prstGeom prst="rect">
          <a:avLst/>
        </a:prstGeom>
      </xdr:spPr>
    </xdr:pic>
    <xdr:clientData/>
  </xdr:twoCellAnchor>
  <xdr:twoCellAnchor editAs="oneCell">
    <xdr:from>
      <xdr:col>0</xdr:col>
      <xdr:colOff>0</xdr:colOff>
      <xdr:row>112</xdr:row>
      <xdr:rowOff>0</xdr:rowOff>
    </xdr:from>
    <xdr:to>
      <xdr:col>0</xdr:col>
      <xdr:colOff>1200150</xdr:colOff>
      <xdr:row>143</xdr:row>
      <xdr:rowOff>6273</xdr:rowOff>
    </xdr:to>
    <xdr:pic>
      <xdr:nvPicPr>
        <xdr:cNvPr id="5" name="图片 4">
          <a:extLst>
            <a:ext uri="{FF2B5EF4-FFF2-40B4-BE49-F238E27FC236}">
              <a16:creationId xmlns="" xmlns:a16="http://schemas.microsoft.com/office/drawing/2014/main" id="{CEC1CAEC-334B-361C-BA36-AE7DE6A7295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9202400"/>
          <a:ext cx="7772400" cy="5321223"/>
        </a:xfrm>
        <a:prstGeom prst="rect">
          <a:avLst/>
        </a:prstGeom>
      </xdr:spPr>
    </xdr:pic>
    <xdr:clientData/>
  </xdr:twoCellAnchor>
  <xdr:twoCellAnchor editAs="oneCell">
    <xdr:from>
      <xdr:col>2</xdr:col>
      <xdr:colOff>2238374</xdr:colOff>
      <xdr:row>40</xdr:row>
      <xdr:rowOff>0</xdr:rowOff>
    </xdr:from>
    <xdr:to>
      <xdr:col>8</xdr:col>
      <xdr:colOff>1885949</xdr:colOff>
      <xdr:row>73</xdr:row>
      <xdr:rowOff>48468</xdr:rowOff>
    </xdr:to>
    <xdr:pic>
      <xdr:nvPicPr>
        <xdr:cNvPr id="6" name="图片 5">
          <a:extLst>
            <a:ext uri="{FF2B5EF4-FFF2-40B4-BE49-F238E27FC236}">
              <a16:creationId xmlns="" xmlns:a16="http://schemas.microsoft.com/office/drawing/2014/main" id="{7665FBA6-A36E-EA8E-7C4E-58F5AA92064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72174" y="6858000"/>
          <a:ext cx="6924675" cy="5706318"/>
        </a:xfrm>
        <a:prstGeom prst="rect">
          <a:avLst/>
        </a:prstGeom>
      </xdr:spPr>
    </xdr:pic>
    <xdr:clientData/>
  </xdr:twoCellAnchor>
  <xdr:twoCellAnchor editAs="oneCell">
    <xdr:from>
      <xdr:col>3</xdr:col>
      <xdr:colOff>0</xdr:colOff>
      <xdr:row>75</xdr:row>
      <xdr:rowOff>0</xdr:rowOff>
    </xdr:from>
    <xdr:to>
      <xdr:col>8</xdr:col>
      <xdr:colOff>752475</xdr:colOff>
      <xdr:row>109</xdr:row>
      <xdr:rowOff>18505</xdr:rowOff>
    </xdr:to>
    <xdr:pic>
      <xdr:nvPicPr>
        <xdr:cNvPr id="7" name="图片 6">
          <a:extLst>
            <a:ext uri="{FF2B5EF4-FFF2-40B4-BE49-F238E27FC236}">
              <a16:creationId xmlns="" xmlns:a16="http://schemas.microsoft.com/office/drawing/2014/main" id="{6C326226-5408-C142-9C17-E6C8674F185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72175" y="12858750"/>
          <a:ext cx="5791200" cy="5847805"/>
        </a:xfrm>
        <a:prstGeom prst="rect">
          <a:avLst/>
        </a:prstGeom>
      </xdr:spPr>
    </xdr:pic>
    <xdr:clientData/>
  </xdr:twoCellAnchor>
  <xdr:twoCellAnchor editAs="oneCell">
    <xdr:from>
      <xdr:col>3</xdr:col>
      <xdr:colOff>0</xdr:colOff>
      <xdr:row>111</xdr:row>
      <xdr:rowOff>0</xdr:rowOff>
    </xdr:from>
    <xdr:to>
      <xdr:col>7</xdr:col>
      <xdr:colOff>295275</xdr:colOff>
      <xdr:row>144</xdr:row>
      <xdr:rowOff>108243</xdr:rowOff>
    </xdr:to>
    <xdr:pic>
      <xdr:nvPicPr>
        <xdr:cNvPr id="8" name="图片 7">
          <a:extLst>
            <a:ext uri="{FF2B5EF4-FFF2-40B4-BE49-F238E27FC236}">
              <a16:creationId xmlns="" xmlns:a16="http://schemas.microsoft.com/office/drawing/2014/main" id="{620B92B8-2723-3DAD-F4A8-454611B0A9C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039350" y="19030950"/>
          <a:ext cx="7772400" cy="5766093"/>
        </a:xfrm>
        <a:prstGeom prst="rect">
          <a:avLst/>
        </a:prstGeom>
      </xdr:spPr>
    </xdr:pic>
    <xdr:clientData/>
  </xdr:twoCellAnchor>
  <xdr:twoCellAnchor editAs="oneCell">
    <xdr:from>
      <xdr:col>8</xdr:col>
      <xdr:colOff>1857375</xdr:colOff>
      <xdr:row>40</xdr:row>
      <xdr:rowOff>0</xdr:rowOff>
    </xdr:from>
    <xdr:to>
      <xdr:col>13</xdr:col>
      <xdr:colOff>2619375</xdr:colOff>
      <xdr:row>73</xdr:row>
      <xdr:rowOff>155709</xdr:rowOff>
    </xdr:to>
    <xdr:pic>
      <xdr:nvPicPr>
        <xdr:cNvPr id="9" name="图片 8">
          <a:extLst>
            <a:ext uri="{FF2B5EF4-FFF2-40B4-BE49-F238E27FC236}">
              <a16:creationId xmlns="" xmlns:a16="http://schemas.microsoft.com/office/drawing/2014/main" id="{31B31281-85D6-5B1C-9967-3E05661A1B4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868275" y="6858000"/>
          <a:ext cx="6600825" cy="5813559"/>
        </a:xfrm>
        <a:prstGeom prst="rect">
          <a:avLst/>
        </a:prstGeom>
      </xdr:spPr>
    </xdr:pic>
    <xdr:clientData/>
  </xdr:twoCellAnchor>
  <xdr:twoCellAnchor editAs="oneCell">
    <xdr:from>
      <xdr:col>11</xdr:col>
      <xdr:colOff>0</xdr:colOff>
      <xdr:row>76</xdr:row>
      <xdr:rowOff>0</xdr:rowOff>
    </xdr:from>
    <xdr:to>
      <xdr:col>13</xdr:col>
      <xdr:colOff>2619375</xdr:colOff>
      <xdr:row>106</xdr:row>
      <xdr:rowOff>77429</xdr:rowOff>
    </xdr:to>
    <xdr:pic>
      <xdr:nvPicPr>
        <xdr:cNvPr id="10" name="图片 9">
          <a:extLst>
            <a:ext uri="{FF2B5EF4-FFF2-40B4-BE49-F238E27FC236}">
              <a16:creationId xmlns="" xmlns:a16="http://schemas.microsoft.com/office/drawing/2014/main" id="{D1450CD5-3A83-64E5-7DAC-B61FCCA141E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9345275" y="13030200"/>
          <a:ext cx="7772400" cy="5220929"/>
        </a:xfrm>
        <a:prstGeom prst="rect">
          <a:avLst/>
        </a:prstGeom>
      </xdr:spPr>
    </xdr:pic>
    <xdr:clientData/>
  </xdr:twoCellAnchor>
  <xdr:twoCellAnchor editAs="oneCell">
    <xdr:from>
      <xdr:col>11</xdr:col>
      <xdr:colOff>0</xdr:colOff>
      <xdr:row>110</xdr:row>
      <xdr:rowOff>0</xdr:rowOff>
    </xdr:from>
    <xdr:to>
      <xdr:col>13</xdr:col>
      <xdr:colOff>2619375</xdr:colOff>
      <xdr:row>144</xdr:row>
      <xdr:rowOff>94325</xdr:rowOff>
    </xdr:to>
    <xdr:pic>
      <xdr:nvPicPr>
        <xdr:cNvPr id="11" name="图片 10">
          <a:extLst>
            <a:ext uri="{FF2B5EF4-FFF2-40B4-BE49-F238E27FC236}">
              <a16:creationId xmlns="" xmlns:a16="http://schemas.microsoft.com/office/drawing/2014/main" id="{85B44D1C-65C5-60F0-17BF-5D553F9E8EA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345275" y="18859500"/>
          <a:ext cx="7772400" cy="5923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2021&#25151;&#23665;&#40857;&#28246;/&#25151;&#23665;&#40857;&#28246;&#22825;&#34903;-&#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详情"/>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租金"/>
      <sheetName val="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C19">
            <v>357444</v>
          </cell>
          <cell r="D19">
            <v>182398</v>
          </cell>
          <cell r="G19">
            <v>252416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估价对象为北京市房地产，为所有。根据《国有土地使用证》[]，估价对象（分摊）出让国有建设用地使用权面积为24498.84平方米，建筑面积为119963.53平方米。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估价对象为北京市房地产,属开发建设的，该项目尚在开发建设中。根据《国有土地使用证》[]，估价对象（分摊）出让国有建设用地使用权面积为24498.84平方米，规划建筑面积为119963.53平方米。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2022年9月23日</v>
      </c>
    </row>
    <row r="13" spans="1:2" s="1317" customFormat="1">
      <c r="A13" s="1315" t="s">
        <v>954</v>
      </c>
      <c r="B13" s="1316" t="str">
        <f>'预评函-1'!A18</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272419</v>
      </c>
    </row>
    <row r="21" spans="1:2" s="1317" customFormat="1">
      <c r="A21" s="1315" t="s">
        <v>962</v>
      </c>
      <c r="B21" s="1316">
        <f ca="1">'预评函-2'!D7</f>
        <v>22708</v>
      </c>
    </row>
    <row r="22" spans="1:2" s="1317" customFormat="1">
      <c r="A22" s="1315" t="s">
        <v>963</v>
      </c>
      <c r="B22" s="1316" t="str">
        <f ca="1">'预评函-2'!D6</f>
        <v>贰拾柒亿贰仟肆佰壹拾玖万元整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272419</v>
      </c>
    </row>
    <row r="31" spans="1:2" s="1317" customFormat="1">
      <c r="A31" s="1315" t="s">
        <v>1001</v>
      </c>
      <c r="B31" s="1316">
        <f ca="1">'预评函-2'!D15</f>
        <v>22708</v>
      </c>
    </row>
    <row r="32" spans="1:2" s="1317" customFormat="1">
      <c r="A32" s="1315" t="s">
        <v>968</v>
      </c>
      <c r="B32" s="1316" t="str">
        <f ca="1">'预评函-2'!D14</f>
        <v>贰拾柒亿贰仟肆佰壹拾玖万元整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119963.53</v>
      </c>
    </row>
    <row r="44" spans="1:2" s="1317" customFormat="1">
      <c r="A44" s="1315" t="s">
        <v>1000</v>
      </c>
      <c r="B44" s="1316" t="str">
        <f>'预评函-3'!C2</f>
        <v>(分摊)土地面积</v>
      </c>
    </row>
    <row r="45" spans="1:2" s="1317" customFormat="1">
      <c r="A45" s="1315" t="s">
        <v>972</v>
      </c>
      <c r="B45" s="1316">
        <f>'预评函-3'!C4</f>
        <v>24498.84</v>
      </c>
    </row>
    <row r="46" spans="1:2" s="1317" customFormat="1">
      <c r="A46" s="1315" t="s">
        <v>998</v>
      </c>
      <c r="B46" s="1316" t="str">
        <f>'预评函-3'!D2</f>
        <v>出让国有建设用地使用权价值</v>
      </c>
    </row>
    <row r="47" spans="1:2" s="1317" customFormat="1">
      <c r="A47" s="1315" t="s">
        <v>973</v>
      </c>
      <c r="B47" s="1316">
        <f ca="1">'预评函-3'!D4</f>
        <v>175165</v>
      </c>
    </row>
    <row r="48" spans="1:2" s="1317" customFormat="1">
      <c r="A48" s="1315" t="s">
        <v>974</v>
      </c>
      <c r="B48" s="1316">
        <f ca="1">'预评函-3'!E4</f>
        <v>14601</v>
      </c>
    </row>
    <row r="49" spans="1:2" s="1317" customFormat="1">
      <c r="A49" s="1315" t="s">
        <v>975</v>
      </c>
      <c r="B49" s="1316" t="str">
        <f ca="1">'预评函-3'!D5</f>
        <v>壹拾柒亿伍仟壹佰陆拾伍万元整</v>
      </c>
    </row>
    <row r="50" spans="1:2" s="1317" customFormat="1">
      <c r="A50" s="1315" t="s">
        <v>999</v>
      </c>
      <c r="B50" s="1316" t="str">
        <f>'预评函-3'!F2</f>
        <v>在建建筑物价值</v>
      </c>
    </row>
    <row r="51" spans="1:2" s="1317" customFormat="1">
      <c r="A51" s="1315" t="s">
        <v>976</v>
      </c>
      <c r="B51" s="1316">
        <f ca="1">'预评函-3'!F4</f>
        <v>97254</v>
      </c>
    </row>
    <row r="52" spans="1:2" s="1317" customFormat="1">
      <c r="A52" s="1315" t="s">
        <v>977</v>
      </c>
      <c r="B52" s="1316">
        <f ca="1">'预评函-3'!G4</f>
        <v>8107</v>
      </c>
    </row>
    <row r="53" spans="1:2" s="1317" customFormat="1">
      <c r="A53" s="1315" t="s">
        <v>1005</v>
      </c>
      <c r="B53" s="1316" t="str">
        <f ca="1">'预评函-3'!F5</f>
        <v>玖亿柒仟贰佰伍拾肆万元整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06"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6"/>
      <c r="B54" s="1689" t="s">
        <v>651</v>
      </c>
      <c r="C54" s="1686" t="s">
        <v>1008</v>
      </c>
    </row>
    <row r="55" spans="1:4">
      <c r="A55" s="3306"/>
      <c r="B55" s="1689" t="s">
        <v>652</v>
      </c>
      <c r="C55" s="1686" t="s">
        <v>1009</v>
      </c>
    </row>
    <row r="56" spans="1:4">
      <c r="A56" s="3306"/>
      <c r="B56" s="1689" t="s">
        <v>653</v>
      </c>
      <c r="C56" s="1686" t="s">
        <v>1013</v>
      </c>
    </row>
    <row r="57" spans="1:4">
      <c r="A57" s="3306"/>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5" sqref="F25"/>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315" t="str">
        <f>IF(B10="北京市","北京市",C10)&amp;F10&amp;IF(结果表!G1="在建","出让国有建设用地使用权及在建建筑物",IF(结果表!G1="土地","出让国有建设用地使用权",))&amp;B9&amp;"预评估"</f>
        <v>北京市房地产抵押价值预评估</v>
      </c>
      <c r="C1" s="3316"/>
      <c r="D1" s="3316"/>
      <c r="E1" s="3316"/>
      <c r="F1" s="3316"/>
      <c r="G1" s="3316"/>
      <c r="H1" s="3316"/>
      <c r="I1" s="3317"/>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2669</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8" t="s">
        <v>2670</v>
      </c>
      <c r="B3" s="2546"/>
      <c r="C3" s="2547" t="s">
        <v>2671</v>
      </c>
      <c r="D3" s="2546">
        <v>44827</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3" t="s">
        <v>2672</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5"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2675</v>
      </c>
      <c r="B7" s="2560"/>
      <c r="C7" s="2558"/>
      <c r="D7" s="2559"/>
      <c r="E7" s="2838"/>
      <c r="F7" s="2840"/>
      <c r="G7" s="2840"/>
      <c r="H7" s="2840"/>
      <c r="I7" s="2840"/>
      <c r="J7" s="2614"/>
      <c r="K7" s="2791"/>
      <c r="L7" s="2788"/>
      <c r="M7" s="2788"/>
      <c r="N7" s="2614"/>
      <c r="O7" s="2625"/>
      <c r="P7" s="2614"/>
      <c r="Q7" s="2614"/>
      <c r="R7" s="2614"/>
    </row>
    <row r="8" spans="1:28">
      <c r="A8" s="2561" t="s">
        <v>2676</v>
      </c>
      <c r="B8" s="2562" t="s">
        <v>3174</v>
      </c>
      <c r="C8" s="2563"/>
      <c r="D8" s="3318" t="s">
        <v>2677</v>
      </c>
      <c r="E8" s="2564"/>
      <c r="F8" s="2565"/>
      <c r="G8" s="2839"/>
      <c r="H8" s="2839"/>
      <c r="I8" s="2839"/>
      <c r="J8" s="2614"/>
      <c r="K8" s="2789"/>
      <c r="L8" s="2788"/>
      <c r="M8" s="2788"/>
      <c r="N8" s="2614"/>
      <c r="O8" s="2625"/>
      <c r="P8" s="2614"/>
      <c r="Q8" s="2614"/>
      <c r="R8" s="2614"/>
    </row>
    <row r="9" spans="1:28" ht="13.5" thickBot="1">
      <c r="A9" s="2566" t="s">
        <v>2678</v>
      </c>
      <c r="B9" s="2567" t="s">
        <v>3175</v>
      </c>
      <c r="C9" s="2568"/>
      <c r="D9" s="3319"/>
      <c r="E9" s="2567"/>
      <c r="F9" s="2569"/>
      <c r="G9" s="2841"/>
      <c r="H9" s="2841"/>
      <c r="I9" s="2841"/>
      <c r="J9" s="2614"/>
      <c r="K9" s="2791"/>
      <c r="L9" s="2788"/>
      <c r="M9" s="2788"/>
      <c r="N9" s="2614"/>
      <c r="O9" s="2625"/>
      <c r="P9" s="2614"/>
      <c r="Q9" s="2614"/>
      <c r="R9" s="2614"/>
    </row>
    <row r="10" spans="1:28" ht="13.5" thickTop="1">
      <c r="A10" s="2570" t="s">
        <v>2679</v>
      </c>
      <c r="B10" s="2571" t="s">
        <v>3176</v>
      </c>
      <c r="C10" s="2572"/>
      <c r="D10" s="2555"/>
      <c r="E10" s="2573" t="s">
        <v>2680</v>
      </c>
      <c r="F10" s="2842"/>
      <c r="G10" s="2843"/>
      <c r="H10" s="2844"/>
      <c r="I10" s="2845"/>
      <c r="J10" s="2614"/>
      <c r="K10" s="2791"/>
      <c r="L10" s="2788"/>
      <c r="M10" s="2788"/>
      <c r="N10" s="2614"/>
      <c r="O10" s="2625"/>
      <c r="P10" s="2614"/>
      <c r="Q10" s="2614"/>
      <c r="R10" s="2614"/>
    </row>
    <row r="11" spans="1:28">
      <c r="A11" s="2574" t="s">
        <v>2681</v>
      </c>
      <c r="B11" s="2575" t="s">
        <v>3177</v>
      </c>
      <c r="C11" s="2576"/>
      <c r="D11" s="2577"/>
      <c r="E11" s="2543"/>
      <c r="F11" s="2543"/>
      <c r="G11" s="2543"/>
      <c r="H11" s="2543"/>
      <c r="I11" s="2543"/>
      <c r="J11" s="2614"/>
      <c r="K11" s="2791"/>
      <c r="L11" s="2788"/>
      <c r="M11" s="2788"/>
      <c r="N11" s="2614"/>
      <c r="O11" s="2625"/>
      <c r="P11" s="2614"/>
      <c r="Q11" s="2614"/>
      <c r="R11" s="2614"/>
    </row>
    <row r="12" spans="1:28">
      <c r="A12" s="2578" t="s">
        <v>2682</v>
      </c>
      <c r="B12" s="2575" t="s">
        <v>3178</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4"/>
      <c r="B13" s="2580"/>
      <c r="C13" s="2581" t="s">
        <v>2690</v>
      </c>
      <c r="D13" s="946"/>
      <c r="E13" s="946">
        <v>55485</v>
      </c>
      <c r="F13" s="946"/>
      <c r="G13" s="946">
        <v>59138</v>
      </c>
      <c r="H13" s="946"/>
      <c r="I13" s="946"/>
      <c r="J13" s="2614"/>
      <c r="K13" s="2791"/>
      <c r="L13" s="2788"/>
      <c r="M13" s="2788"/>
      <c r="N13" s="2614"/>
      <c r="O13" s="2625"/>
      <c r="P13" s="2614"/>
      <c r="Q13" s="2614"/>
      <c r="R13" s="2614"/>
    </row>
    <row r="14" spans="1:28">
      <c r="A14" s="1194"/>
      <c r="B14" s="2580"/>
      <c r="C14" s="2581" t="s">
        <v>2691</v>
      </c>
      <c r="D14" s="2582"/>
      <c r="E14" s="2582">
        <v>40</v>
      </c>
      <c r="F14" s="2582"/>
      <c r="G14" s="2582">
        <v>50</v>
      </c>
      <c r="H14" s="2582"/>
      <c r="I14" s="2582"/>
      <c r="J14" s="2614"/>
      <c r="K14" s="2792"/>
      <c r="L14" s="2788"/>
      <c r="M14" s="2788"/>
      <c r="N14" s="2614"/>
      <c r="O14" s="2625"/>
      <c r="P14" s="2614"/>
      <c r="Q14" s="2614"/>
      <c r="R14" s="2614"/>
    </row>
    <row r="15" spans="1:28">
      <c r="A15" s="326"/>
      <c r="B15" s="2583"/>
      <c r="C15" s="2584" t="s">
        <v>2692</v>
      </c>
      <c r="D15" s="2585" t="str">
        <f>IF(B12="出让",IF(D13="","",ROUNDDOWN(MIN((D13-$D$3)/365,D14),2)),D14)</f>
        <v/>
      </c>
      <c r="E15" s="2585">
        <f>IF(B12="出让",IF(E13="","",ROUNDDOWN(MIN((E13-$D$3)/365,E14),2)),E14)</f>
        <v>29.2</v>
      </c>
      <c r="F15" s="2585" t="str">
        <f>IF(B12="出让",IF(F13="","",ROUNDDOWN(MIN((F13-$D$3)/365,F14),2)),F14)</f>
        <v/>
      </c>
      <c r="G15" s="2585">
        <f>IF(B12="出让",IF(G13="","",ROUNDDOWN(MIN((G13-$D$3)/365,G14),2)),G14)</f>
        <v>39.200000000000003</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2693</v>
      </c>
      <c r="B16" s="3325"/>
      <c r="C16" s="3326"/>
      <c r="D16" s="3327"/>
      <c r="E16" s="2588" t="s">
        <v>2694</v>
      </c>
      <c r="F16" s="3328"/>
      <c r="G16" s="3329"/>
      <c r="H16" s="3329"/>
      <c r="I16" s="3330"/>
      <c r="J16" s="2614"/>
      <c r="K16" s="2793"/>
      <c r="L16" s="2626"/>
      <c r="M16" s="2626"/>
      <c r="N16" s="2684"/>
      <c r="O16" s="2626"/>
      <c r="P16" s="2684"/>
      <c r="Q16" s="2614"/>
      <c r="R16" s="2614"/>
    </row>
    <row r="17" spans="1:28">
      <c r="A17" s="319" t="s">
        <v>2695</v>
      </c>
      <c r="B17" s="308" t="s">
        <v>2696</v>
      </c>
      <c r="C17" s="11">
        <f>'数据-汇总表'!E3</f>
        <v>119963.53</v>
      </c>
      <c r="D17" s="2495" t="s">
        <v>2697</v>
      </c>
      <c r="E17" s="3331" t="s">
        <v>2698</v>
      </c>
      <c r="F17" s="3332"/>
      <c r="G17" s="3332"/>
      <c r="H17" s="3332"/>
      <c r="I17" s="3333"/>
      <c r="J17" s="2614"/>
      <c r="K17" s="2794"/>
      <c r="L17" s="2626"/>
      <c r="M17" s="2626"/>
      <c r="N17" s="2684"/>
      <c r="O17" s="2626"/>
      <c r="P17" s="2684"/>
      <c r="Q17" s="2614"/>
      <c r="R17" s="2614"/>
      <c r="S17" s="2614"/>
      <c r="T17" s="2614"/>
      <c r="U17" s="2614"/>
      <c r="V17" s="2614"/>
    </row>
    <row r="18" spans="1:28" ht="24.75" thickBot="1">
      <c r="A18" s="2589" t="s">
        <v>2699</v>
      </c>
      <c r="B18" s="1203" t="s">
        <v>2700</v>
      </c>
      <c r="C18" s="2590">
        <f>'数据-汇总表'!D3</f>
        <v>24498.84</v>
      </c>
      <c r="D18" s="1205" t="s">
        <v>2701</v>
      </c>
      <c r="E18" s="3334" t="s">
        <v>2702</v>
      </c>
      <c r="F18" s="3335"/>
      <c r="G18" s="3335"/>
      <c r="H18" s="3335"/>
      <c r="I18" s="3336"/>
      <c r="J18" s="2614"/>
      <c r="K18" s="2794"/>
      <c r="L18" s="2626"/>
      <c r="M18" s="2626"/>
      <c r="N18" s="2684"/>
      <c r="O18" s="2626"/>
      <c r="P18" s="2684"/>
      <c r="Q18" s="2614"/>
      <c r="R18" s="2614"/>
      <c r="S18" s="2614"/>
      <c r="T18" s="2614"/>
      <c r="U18" s="2614"/>
      <c r="V18" s="2614"/>
    </row>
    <row r="19" spans="1:28" ht="37.5" thickTop="1" thickBot="1">
      <c r="A19" s="333" t="s">
        <v>1500</v>
      </c>
      <c r="B19" s="313" t="s">
        <v>2703</v>
      </c>
      <c r="C19" s="1698"/>
      <c r="D19" s="1699" t="s">
        <v>2704</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2705</v>
      </c>
      <c r="B20" s="3321" t="s">
        <v>2706</v>
      </c>
      <c r="C20" s="3322"/>
      <c r="D20" s="3323" t="s">
        <v>2707</v>
      </c>
      <c r="E20" s="3324"/>
      <c r="F20" s="2823" t="s">
        <v>1501</v>
      </c>
      <c r="G20" s="2840"/>
      <c r="H20" s="2840"/>
      <c r="I20" s="2840"/>
      <c r="J20" s="2614"/>
      <c r="K20" s="3320"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2709</v>
      </c>
      <c r="C21" s="2810" t="s">
        <v>1502</v>
      </c>
      <c r="D21" s="1703" t="s">
        <v>2710</v>
      </c>
      <c r="E21" s="2811" t="s">
        <v>1502</v>
      </c>
      <c r="F21" s="2824"/>
      <c r="G21" s="2840"/>
      <c r="H21" s="2840"/>
      <c r="I21" s="2840"/>
      <c r="J21" s="2614"/>
      <c r="K21" s="332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2711</v>
      </c>
      <c r="C22" s="2810" t="s">
        <v>1503</v>
      </c>
      <c r="D22" s="2839"/>
      <c r="E22" s="2839"/>
      <c r="F22" s="2839"/>
      <c r="G22" s="2840"/>
      <c r="H22" s="2840"/>
      <c r="I22" s="2840"/>
      <c r="J22" s="2614"/>
      <c r="K22" s="332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08"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08"/>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08"/>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09"/>
      <c r="B30" s="308" t="s">
        <v>2718</v>
      </c>
      <c r="C30" s="3310"/>
      <c r="D30" s="3311"/>
      <c r="E30" s="2840"/>
      <c r="F30" s="2840"/>
      <c r="G30" s="2840"/>
      <c r="H30" s="2840"/>
      <c r="I30" s="2840"/>
      <c r="J30" s="2614"/>
      <c r="K30" s="2791"/>
      <c r="L30" s="2788"/>
      <c r="M30" s="2788"/>
      <c r="N30" s="2614"/>
      <c r="O30" s="2625"/>
      <c r="P30" s="2614"/>
      <c r="Q30" s="2614"/>
      <c r="R30" s="2614"/>
      <c r="S30" s="2614"/>
      <c r="T30" s="2614"/>
      <c r="U30" s="2614"/>
      <c r="V30" s="2614"/>
    </row>
    <row r="31" spans="1:28">
      <c r="A31" s="3312" t="s">
        <v>2719</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13"/>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13"/>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307" t="s">
        <v>2728</v>
      </c>
      <c r="T34" s="2603" t="str">
        <f>NUMBERSTRING(7-K34,1)&amp;"通"</f>
        <v>七通</v>
      </c>
      <c r="U34" s="2614"/>
      <c r="V34" s="2614"/>
    </row>
    <row r="35" spans="1:30">
      <c r="A35" s="2604"/>
      <c r="B35" s="3314" t="s">
        <v>2729</v>
      </c>
      <c r="C35" s="3314"/>
      <c r="D35" s="3314"/>
      <c r="E35" s="3314"/>
      <c r="F35" s="673">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7"/>
      <c r="T35" s="335" t="str">
        <f>IF(T34="一通",L35,IF(T34="二通",M35,IF(T34="三通",N35,IF(T34="四通",O35,IF(T34="五通",P35,IF(T34="六通",Q35,R35))))))</f>
        <v>、、、、、、</v>
      </c>
      <c r="U35" s="2614"/>
      <c r="V35" s="2614"/>
    </row>
    <row r="36" spans="1:30">
      <c r="A36" s="2605"/>
      <c r="B36" s="673" t="s">
        <v>2685</v>
      </c>
      <c r="C36" s="673" t="s">
        <v>2686</v>
      </c>
      <c r="D36" s="673" t="s">
        <v>2684</v>
      </c>
      <c r="E36" s="673"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t="s">
        <v>525</v>
      </c>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t="s">
        <v>3674</v>
      </c>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2733</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5"/>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79" customFormat="1">
      <c r="A44" s="1705"/>
      <c r="B44" s="1705"/>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79" customFormat="1">
      <c r="A45" s="1705"/>
      <c r="B45" s="1705"/>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79" customFormat="1">
      <c r="A46" s="1705"/>
      <c r="B46" s="1705"/>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79" customFormat="1">
      <c r="A47" s="1705"/>
      <c r="B47" s="1705"/>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79" customFormat="1">
      <c r="A48" s="1705"/>
      <c r="B48" s="1705"/>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79" customFormat="1">
      <c r="A49" s="1705"/>
      <c r="B49" s="1705"/>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79" customFormat="1">
      <c r="A50" s="1705"/>
      <c r="B50" s="1705"/>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79" customFormat="1">
      <c r="A51" s="1705"/>
      <c r="B51" s="1705"/>
      <c r="C51" s="1163"/>
      <c r="D51" s="1163"/>
      <c r="E51" s="1163"/>
      <c r="F51" s="1163"/>
      <c r="G51" s="1163"/>
      <c r="H51" s="1163"/>
      <c r="I51" s="1163"/>
      <c r="J51" s="2612"/>
      <c r="K51" s="2613"/>
      <c r="L51" s="2613"/>
      <c r="M51" s="1163"/>
      <c r="N51" s="1163"/>
      <c r="O51" s="1163"/>
      <c r="P51" s="1163"/>
      <c r="Q51" s="1163"/>
      <c r="R51" s="1163"/>
    </row>
    <row r="52" spans="1:22" s="1879" customFormat="1">
      <c r="A52" s="1705"/>
      <c r="B52" s="1705"/>
      <c r="C52" s="1705"/>
      <c r="D52" s="1705"/>
      <c r="E52" s="1705"/>
      <c r="F52" s="1163"/>
      <c r="G52" s="1705"/>
      <c r="H52" s="1705"/>
      <c r="I52" s="1705"/>
      <c r="J52" s="2615"/>
      <c r="K52" s="2613"/>
      <c r="L52" s="2613"/>
      <c r="M52" s="2613"/>
      <c r="N52" s="1705"/>
      <c r="O52" s="1705"/>
      <c r="P52" s="1705"/>
      <c r="Q52" s="1705"/>
      <c r="R52" s="1705"/>
    </row>
    <row r="53" spans="1:22" s="1879" customFormat="1">
      <c r="A53" s="1705"/>
      <c r="B53" s="1705"/>
      <c r="C53" s="1705"/>
      <c r="D53" s="1705"/>
      <c r="E53" s="1705"/>
      <c r="F53" s="1163"/>
      <c r="G53" s="1705"/>
      <c r="H53" s="1705"/>
      <c r="I53" s="1705"/>
      <c r="J53" s="2615"/>
      <c r="K53" s="2613"/>
      <c r="L53" s="2613"/>
      <c r="M53" s="2613"/>
      <c r="N53" s="1705"/>
      <c r="O53" s="1705"/>
      <c r="P53" s="1705"/>
      <c r="Q53" s="1705"/>
      <c r="R53" s="1705"/>
    </row>
    <row r="54" spans="1:22" s="1879" customFormat="1">
      <c r="A54" s="1705"/>
      <c r="B54" s="1705"/>
      <c r="C54" s="1705"/>
      <c r="D54" s="1705"/>
      <c r="E54" s="1705"/>
      <c r="F54" s="1163"/>
      <c r="G54" s="1705"/>
      <c r="H54" s="1705"/>
      <c r="I54" s="1705"/>
      <c r="J54" s="2615"/>
      <c r="K54" s="2613"/>
      <c r="L54" s="2613"/>
      <c r="M54" s="2613"/>
      <c r="N54" s="1705"/>
      <c r="O54" s="1705"/>
      <c r="P54" s="1705"/>
      <c r="Q54" s="1705"/>
      <c r="R54" s="1705"/>
    </row>
    <row r="55" spans="1:22" s="1879" customFormat="1">
      <c r="A55" s="1705"/>
      <c r="B55" s="1705"/>
      <c r="C55" s="1705"/>
      <c r="D55" s="1705"/>
      <c r="E55" s="1705"/>
      <c r="F55" s="1163"/>
      <c r="G55" s="1705"/>
      <c r="H55" s="1705"/>
      <c r="I55" s="1705"/>
      <c r="J55" s="2615"/>
      <c r="K55" s="2613"/>
      <c r="L55" s="2613"/>
      <c r="M55" s="2613"/>
      <c r="N55" s="1705"/>
      <c r="O55" s="1705"/>
      <c r="P55" s="1705"/>
      <c r="Q55" s="1705"/>
      <c r="R55" s="1705"/>
    </row>
    <row r="56" spans="1:22" s="1879" customFormat="1">
      <c r="A56" s="1705"/>
      <c r="B56" s="1705"/>
      <c r="C56" s="1705"/>
      <c r="D56" s="1705"/>
      <c r="E56" s="1705"/>
      <c r="F56" s="1163"/>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J13" activePane="bottomRight" state="frozen"/>
      <selection activeCell="C50" sqref="C50"/>
      <selection pane="topRight" activeCell="C50" sqref="C50"/>
      <selection pane="bottomLeft" activeCell="C50" sqref="C50"/>
      <selection pane="bottomRight" activeCell="I13" sqref="I13:K1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1512</v>
      </c>
      <c r="AZ2" s="1161"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24498.84</v>
      </c>
      <c r="B3" s="14">
        <f>IF(C3="否",G5-AT5,G5)</f>
        <v>119963.53</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119963.53</v>
      </c>
      <c r="H5" s="16">
        <f t="shared" ref="H5:AT5" si="0">SUM(H13:H656)</f>
        <v>119963.53</v>
      </c>
      <c r="I5" s="16">
        <f t="shared" si="0"/>
        <v>85551.93</v>
      </c>
      <c r="J5" s="16">
        <f t="shared" si="0"/>
        <v>0</v>
      </c>
      <c r="K5" s="16">
        <f t="shared" si="0"/>
        <v>18136.540000000008</v>
      </c>
      <c r="L5" s="16">
        <f t="shared" si="0"/>
        <v>0</v>
      </c>
      <c r="M5" s="16">
        <f t="shared" si="0"/>
        <v>16275.06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119963.53</v>
      </c>
      <c r="BA5" s="18">
        <f t="shared" si="1"/>
        <v>119963.53</v>
      </c>
      <c r="BB5" s="18">
        <f t="shared" si="1"/>
        <v>85551.93</v>
      </c>
      <c r="BC5" s="18">
        <f t="shared" si="1"/>
        <v>18136.540000000008</v>
      </c>
      <c r="BD5" s="18">
        <f t="shared" si="1"/>
        <v>16275.06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24498.85</v>
      </c>
      <c r="F6" s="16" t="s">
        <v>1</v>
      </c>
      <c r="G6" s="16" t="s">
        <v>2</v>
      </c>
      <c r="H6" s="20">
        <f>SUMIF(I$12:AB$12,"总值",I6:AB6)</f>
        <v>24498.85</v>
      </c>
      <c r="I6" s="16">
        <f t="shared" ref="I6:AB6" si="2">ROUND($A$3*I5/$B$3,2)</f>
        <v>17471.34</v>
      </c>
      <c r="J6" s="16">
        <f t="shared" si="2"/>
        <v>0</v>
      </c>
      <c r="K6" s="16">
        <f t="shared" si="2"/>
        <v>3703.83</v>
      </c>
      <c r="L6" s="16">
        <f t="shared" si="2"/>
        <v>0</v>
      </c>
      <c r="M6" s="16">
        <f t="shared" si="2"/>
        <v>3323.68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24498.84</v>
      </c>
      <c r="AZ6" s="16" t="s">
        <v>3</v>
      </c>
      <c r="BA6" s="16">
        <f>ROUND($AY$6*BA5/$AZ$5,2)</f>
        <v>24498.84</v>
      </c>
      <c r="BB6" s="16">
        <f>ROUND($AY$6*BB5/$AZ$5,2)</f>
        <v>17471.34</v>
      </c>
      <c r="BC6" s="16">
        <f t="shared" ref="BC6:BH6" si="4">ROUND($AY$6*BC5/$AZ$5,2)</f>
        <v>3703.83</v>
      </c>
      <c r="BD6" s="16">
        <f t="shared" si="4"/>
        <v>3323.68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9" t="s">
        <v>1531</v>
      </c>
      <c r="AD8" s="1735"/>
      <c r="AE8" s="1727"/>
      <c r="AF8" s="1494"/>
      <c r="AG8" s="1494"/>
      <c r="AH8" s="1494"/>
      <c r="AI8" s="1494"/>
      <c r="AJ8" s="1494"/>
      <c r="AK8" s="1494"/>
      <c r="AL8" s="1494"/>
      <c r="AM8" s="1494"/>
      <c r="AN8" s="1494"/>
      <c r="AO8" s="1494"/>
      <c r="AP8" s="1494"/>
      <c r="AQ8" s="1494"/>
      <c r="AR8" s="1494"/>
      <c r="AS8" s="1494"/>
      <c r="AT8" s="1183" t="s">
        <v>1532</v>
      </c>
      <c r="AU8" s="1729" t="s">
        <v>1533</v>
      </c>
      <c r="AV8" s="1183"/>
      <c r="AW8" s="1712"/>
      <c r="AX8" s="1183"/>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1536</v>
      </c>
      <c r="I9" s="1738" t="s">
        <v>3556</v>
      </c>
      <c r="J9" s="899"/>
      <c r="K9" s="1738" t="s">
        <v>3557</v>
      </c>
      <c r="L9" s="899"/>
      <c r="M9" s="1738" t="s">
        <v>3557</v>
      </c>
      <c r="N9" s="899"/>
      <c r="O9" s="1738"/>
      <c r="P9" s="899"/>
      <c r="Q9" s="1738"/>
      <c r="R9" s="899"/>
      <c r="S9" s="1738"/>
      <c r="T9" s="899"/>
      <c r="U9" s="1738"/>
      <c r="V9" s="899"/>
      <c r="W9" s="1738"/>
      <c r="X9" s="1739"/>
      <c r="Y9" s="1738"/>
      <c r="Z9" s="899"/>
      <c r="AA9" s="1738"/>
      <c r="AB9" s="899"/>
      <c r="AC9" s="1730"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0"/>
      <c r="AT9" s="1729"/>
      <c r="AU9" s="1729" t="s">
        <v>1539</v>
      </c>
      <c r="AV9" s="1183"/>
      <c r="AW9" s="1712"/>
      <c r="AX9" s="1183"/>
      <c r="AY9" s="28"/>
      <c r="AZ9" s="28" t="s">
        <v>1529</v>
      </c>
      <c r="BA9" s="1741" t="s">
        <v>1540</v>
      </c>
      <c r="BB9" s="1742"/>
      <c r="BC9" s="1201"/>
      <c r="BD9" s="1201"/>
      <c r="BE9" s="1201"/>
      <c r="BF9" s="1201"/>
      <c r="BG9" s="1201"/>
      <c r="BH9" s="1201"/>
      <c r="BI9" s="1201"/>
      <c r="BJ9" s="1201"/>
      <c r="BK9" s="1743"/>
      <c r="BL9" s="15" t="s">
        <v>1541</v>
      </c>
      <c r="BM9" s="1494"/>
      <c r="BN9" s="1732"/>
      <c r="BO9" s="1494"/>
      <c r="BP9" s="1494"/>
      <c r="BQ9" s="1494"/>
      <c r="BR9" s="1494"/>
      <c r="BS9" s="1494"/>
      <c r="BT9" s="26"/>
    </row>
    <row r="10" spans="1:72" s="1736" customFormat="1" ht="12.75">
      <c r="A10" s="1729"/>
      <c r="B10" s="1729"/>
      <c r="C10" s="1729"/>
      <c r="D10" s="1729"/>
      <c r="E10" s="1729"/>
      <c r="F10" s="1729"/>
      <c r="G10" s="1183"/>
      <c r="H10" s="28"/>
      <c r="I10" s="1738" t="s">
        <v>1102</v>
      </c>
      <c r="J10" s="899"/>
      <c r="K10" s="1744" t="s">
        <v>1102</v>
      </c>
      <c r="L10" s="899"/>
      <c r="M10" s="1744" t="s">
        <v>3558</v>
      </c>
      <c r="N10" s="899"/>
      <c r="O10" s="1744"/>
      <c r="P10" s="899"/>
      <c r="Q10" s="1744"/>
      <c r="R10" s="899"/>
      <c r="S10" s="1744"/>
      <c r="T10" s="899"/>
      <c r="U10" s="1744"/>
      <c r="V10" s="899"/>
      <c r="W10" s="1744"/>
      <c r="X10" s="899"/>
      <c r="Y10" s="1744"/>
      <c r="Z10" s="899"/>
      <c r="AA10" s="1744"/>
      <c r="AB10" s="899"/>
      <c r="AC10" s="1183"/>
      <c r="AD10" s="15" t="s">
        <v>1542</v>
      </c>
      <c r="AE10" s="1745"/>
      <c r="AF10" s="15" t="s">
        <v>1542</v>
      </c>
      <c r="AG10" s="1745"/>
      <c r="AH10" s="15" t="s">
        <v>1543</v>
      </c>
      <c r="AI10" s="1745"/>
      <c r="AJ10" s="15" t="s">
        <v>1543</v>
      </c>
      <c r="AK10" s="1745"/>
      <c r="AL10" s="15" t="s">
        <v>1544</v>
      </c>
      <c r="AM10" s="1189"/>
      <c r="AN10" s="15" t="s">
        <v>1544</v>
      </c>
      <c r="AO10" s="1189"/>
      <c r="AP10" s="15" t="s">
        <v>1545</v>
      </c>
      <c r="AQ10" s="1189"/>
      <c r="AR10" s="15" t="s">
        <v>1545</v>
      </c>
      <c r="AS10" s="1189"/>
      <c r="AT10" s="1729"/>
      <c r="AU10" s="1729"/>
      <c r="AV10" s="1183"/>
      <c r="AW10" s="1712"/>
      <c r="AX10" s="1183"/>
      <c r="AY10" s="28"/>
      <c r="AZ10" s="28"/>
      <c r="BA10" s="1746" t="s">
        <v>1536</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3"/>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3"/>
      <c r="AW11" s="1712"/>
      <c r="AX11" s="1183"/>
      <c r="AY11" s="28"/>
      <c r="AZ11" s="28"/>
      <c r="BA11" s="28"/>
      <c r="BB11" s="1734" t="str">
        <f>I10</f>
        <v>商业</v>
      </c>
      <c r="BC11" s="1734" t="str">
        <f>K10</f>
        <v>商业</v>
      </c>
      <c r="BD11" s="1734" t="str">
        <f>M10</f>
        <v>车库—商业</v>
      </c>
      <c r="BE11" s="1734">
        <f>O10</f>
        <v>0</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1163"/>
      <c r="D13" s="1760" t="s">
        <v>3555</v>
      </c>
      <c r="E13" s="16">
        <f>IF($C$3="是",ROUND($A$3*G13/$B$3,2),ROUND($A$3*(G13-AT13)/$B$3,2))</f>
        <v>24498.84</v>
      </c>
      <c r="F13" s="32"/>
      <c r="G13" s="33">
        <f>H13+AC13+AT13</f>
        <v>119963.53</v>
      </c>
      <c r="H13" s="20">
        <f>SUMIF(I$12:AB$12,"总值",I13:AB13)</f>
        <v>119963.53</v>
      </c>
      <c r="I13" s="1761">
        <f>SUM(面积详情!I7:I12)</f>
        <v>85551.93</v>
      </c>
      <c r="J13" s="1761"/>
      <c r="K13" s="1761">
        <f>面积详情!G26-I13</f>
        <v>18136.540000000008</v>
      </c>
      <c r="L13" s="1761"/>
      <c r="M13" s="1761">
        <f>面积详情!G25</f>
        <v>16275.06</v>
      </c>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24498.84</v>
      </c>
      <c r="AZ13" s="16">
        <f>BA13+BL13</f>
        <v>119963.53</v>
      </c>
      <c r="BA13" s="16">
        <f>SUM(BB13:BK13)</f>
        <v>119963.53</v>
      </c>
      <c r="BB13" s="16">
        <f>IF($D13="是",I13-J13,0)</f>
        <v>85551.93</v>
      </c>
      <c r="BC13" s="16">
        <f>IF($D13="是",K13-L13,0)</f>
        <v>18136.540000000008</v>
      </c>
      <c r="BD13" s="16">
        <f>IF($D13="是",M13-N13,0)</f>
        <v>16275.06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3"/>
      <c r="B14" s="1163"/>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7" t="s">
        <v>0</v>
      </c>
      <c r="B1" s="3337" t="s">
        <v>4</v>
      </c>
      <c r="C1" s="3337" t="s">
        <v>5</v>
      </c>
      <c r="D1" s="3338" t="s">
        <v>53</v>
      </c>
      <c r="E1" s="3338" t="s">
        <v>54</v>
      </c>
      <c r="F1" s="3338"/>
      <c r="G1" s="3338"/>
      <c r="H1" s="3338"/>
      <c r="I1" s="3338"/>
      <c r="J1" s="3338"/>
      <c r="K1" s="3338"/>
      <c r="L1" s="3338"/>
      <c r="M1" s="3338"/>
    </row>
    <row r="2" spans="1:13" ht="27" customHeight="1">
      <c r="A2" s="3337"/>
      <c r="B2" s="3337"/>
      <c r="C2" s="3337"/>
      <c r="D2" s="3338"/>
      <c r="E2" s="3338" t="s">
        <v>37</v>
      </c>
      <c r="F2" s="3338" t="s">
        <v>38</v>
      </c>
      <c r="G2" s="3338"/>
      <c r="H2" s="3338"/>
      <c r="I2" s="3338"/>
      <c r="J2" s="3338" t="s">
        <v>39</v>
      </c>
      <c r="K2" s="3338"/>
      <c r="L2" s="3338"/>
      <c r="M2" s="3338"/>
    </row>
    <row r="3" spans="1:13" ht="28.5">
      <c r="A3" s="3337"/>
      <c r="B3" s="3337"/>
      <c r="C3" s="3337"/>
      <c r="D3" s="3338"/>
      <c r="E3" s="33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8" t="s">
        <v>55</v>
      </c>
      <c r="B9" s="3338"/>
      <c r="C9" s="33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9"/>
  <sheetViews>
    <sheetView workbookViewId="0">
      <selection activeCell="H27" sqref="H27"/>
    </sheetView>
  </sheetViews>
  <sheetFormatPr defaultRowHeight="13.5"/>
  <cols>
    <col min="1" max="1" width="11.625" style="3231" customWidth="1"/>
    <col min="2" max="2" width="10.875" style="3231" customWidth="1"/>
    <col min="3" max="3" width="13.375" style="3231" customWidth="1"/>
    <col min="4" max="5" width="9" style="3231"/>
    <col min="6" max="6" width="12.125" style="3231" customWidth="1"/>
    <col min="7" max="7" width="18.25" style="3231" customWidth="1"/>
    <col min="8" max="8" width="15.75" style="3231" customWidth="1"/>
    <col min="9" max="9" width="16.875" style="3231" customWidth="1"/>
    <col min="10" max="16384" width="9" style="3231"/>
  </cols>
  <sheetData>
    <row r="1" spans="1:9">
      <c r="A1" s="3230" t="s">
        <v>3179</v>
      </c>
      <c r="B1" s="3231">
        <v>24498.84</v>
      </c>
    </row>
    <row r="2" spans="1:9">
      <c r="F2" s="3232" t="s">
        <v>3180</v>
      </c>
      <c r="G2" s="3233"/>
      <c r="H2" s="3233"/>
      <c r="I2" s="3232"/>
    </row>
    <row r="3" spans="1:9">
      <c r="F3" s="3233"/>
      <c r="G3" s="3232" t="s">
        <v>3181</v>
      </c>
      <c r="H3" s="3232" t="s">
        <v>3182</v>
      </c>
      <c r="I3" s="3232" t="s">
        <v>3183</v>
      </c>
    </row>
    <row r="4" spans="1:9">
      <c r="A4" s="3232" t="s">
        <v>3184</v>
      </c>
      <c r="B4" s="3232" t="s">
        <v>3185</v>
      </c>
      <c r="C4" s="3233">
        <v>47.62</v>
      </c>
      <c r="F4" s="3232" t="s">
        <v>3184</v>
      </c>
      <c r="G4" s="3232">
        <v>17244.13</v>
      </c>
      <c r="H4" s="3232">
        <v>12518.16</v>
      </c>
      <c r="I4" s="3232">
        <f>G4-H4</f>
        <v>4725.9700000000012</v>
      </c>
    </row>
    <row r="5" spans="1:9">
      <c r="A5" s="3233"/>
      <c r="B5" s="3232" t="s">
        <v>3186</v>
      </c>
      <c r="C5" s="3233">
        <v>47.62</v>
      </c>
      <c r="F5" s="3232" t="s">
        <v>3187</v>
      </c>
      <c r="G5" s="3232">
        <v>17106.86</v>
      </c>
      <c r="H5" s="3232">
        <v>118.42</v>
      </c>
      <c r="I5" s="3232">
        <f t="shared" ref="I5:I13" si="0">G5-H5</f>
        <v>16988.440000000002</v>
      </c>
    </row>
    <row r="6" spans="1:9">
      <c r="A6" s="3233"/>
      <c r="B6" s="3232" t="s">
        <v>3188</v>
      </c>
      <c r="C6" s="3233">
        <v>46.06</v>
      </c>
      <c r="F6" s="3232" t="s">
        <v>3189</v>
      </c>
      <c r="G6" s="3232">
        <v>15606.7</v>
      </c>
      <c r="H6" s="3232">
        <v>139.65</v>
      </c>
      <c r="I6" s="3232">
        <f t="shared" si="0"/>
        <v>15467.050000000001</v>
      </c>
    </row>
    <row r="7" spans="1:9">
      <c r="A7" s="3233"/>
      <c r="B7" s="3232" t="s">
        <v>3190</v>
      </c>
      <c r="C7" s="3233">
        <v>46.06</v>
      </c>
      <c r="F7" s="3232" t="s">
        <v>3191</v>
      </c>
      <c r="G7" s="3232">
        <v>14406.6</v>
      </c>
      <c r="H7" s="3232">
        <v>86.49</v>
      </c>
      <c r="I7" s="3232">
        <f>G7-H7</f>
        <v>14320.11</v>
      </c>
    </row>
    <row r="8" spans="1:9">
      <c r="A8" s="3233"/>
      <c r="B8" s="3232" t="s">
        <v>3192</v>
      </c>
      <c r="C8" s="3233">
        <v>46.06</v>
      </c>
      <c r="F8" s="3232" t="s">
        <v>3193</v>
      </c>
      <c r="G8" s="3232">
        <v>14588.99</v>
      </c>
      <c r="H8" s="3232"/>
      <c r="I8" s="3232">
        <f t="shared" si="0"/>
        <v>14588.99</v>
      </c>
    </row>
    <row r="9" spans="1:9">
      <c r="A9" s="3233"/>
      <c r="B9" s="3232" t="s">
        <v>3194</v>
      </c>
      <c r="C9" s="3233">
        <v>49.56</v>
      </c>
      <c r="F9" s="3232" t="s">
        <v>3195</v>
      </c>
      <c r="G9" s="3232">
        <v>14713.93</v>
      </c>
      <c r="H9" s="3232"/>
      <c r="I9" s="3232">
        <f t="shared" si="0"/>
        <v>14713.93</v>
      </c>
    </row>
    <row r="10" spans="1:9">
      <c r="A10" s="3233"/>
      <c r="B10" s="3232" t="s">
        <v>3196</v>
      </c>
      <c r="C10" s="3233">
        <v>47.62</v>
      </c>
      <c r="F10" s="3232" t="s">
        <v>3197</v>
      </c>
      <c r="G10" s="3232">
        <v>14715.7</v>
      </c>
      <c r="H10" s="3232"/>
      <c r="I10" s="3232">
        <f t="shared" si="0"/>
        <v>14715.7</v>
      </c>
    </row>
    <row r="11" spans="1:9">
      <c r="A11" s="3233"/>
      <c r="B11" s="3232" t="s">
        <v>3198</v>
      </c>
      <c r="C11" s="3233">
        <v>48.57</v>
      </c>
      <c r="F11" s="3232" t="s">
        <v>3199</v>
      </c>
      <c r="G11" s="3232">
        <v>14978.2</v>
      </c>
      <c r="H11" s="3232"/>
      <c r="I11" s="3232">
        <f t="shared" si="0"/>
        <v>14978.2</v>
      </c>
    </row>
    <row r="12" spans="1:9">
      <c r="A12" s="3233"/>
      <c r="B12" s="3232" t="s">
        <v>3200</v>
      </c>
      <c r="C12" s="3233">
        <v>48.57</v>
      </c>
      <c r="F12" s="3232" t="s">
        <v>3201</v>
      </c>
      <c r="G12" s="3232">
        <v>12235</v>
      </c>
      <c r="H12" s="3232"/>
      <c r="I12" s="3232">
        <f t="shared" si="0"/>
        <v>12235</v>
      </c>
    </row>
    <row r="13" spans="1:9">
      <c r="A13" s="3233"/>
      <c r="B13" s="3232" t="s">
        <v>3202</v>
      </c>
      <c r="C13" s="3233">
        <v>48.57</v>
      </c>
      <c r="F13" s="3232" t="s">
        <v>3203</v>
      </c>
      <c r="G13" s="3232">
        <v>378.24</v>
      </c>
      <c r="H13" s="3233"/>
      <c r="I13" s="3232">
        <f t="shared" si="0"/>
        <v>378.24</v>
      </c>
    </row>
    <row r="14" spans="1:9">
      <c r="A14" s="3233"/>
      <c r="B14" s="3232" t="s">
        <v>3204</v>
      </c>
      <c r="C14" s="3233">
        <v>48.57</v>
      </c>
      <c r="F14" s="3233"/>
      <c r="G14" s="3232">
        <f>SUM(G4:G13)</f>
        <v>135974.34999999998</v>
      </c>
      <c r="H14" s="3233">
        <f>SUM(H4:H12)</f>
        <v>12862.72</v>
      </c>
      <c r="I14" s="3233">
        <f>SUM(I4:I13)</f>
        <v>123111.63000000002</v>
      </c>
    </row>
    <row r="15" spans="1:9">
      <c r="A15" s="3233"/>
      <c r="B15" s="3232" t="s">
        <v>3205</v>
      </c>
      <c r="C15" s="3233">
        <v>48.57</v>
      </c>
    </row>
    <row r="16" spans="1:9">
      <c r="A16" s="3233"/>
      <c r="B16" s="3232" t="s">
        <v>3206</v>
      </c>
      <c r="C16" s="3233">
        <v>45.68</v>
      </c>
      <c r="F16" s="3233"/>
      <c r="G16" s="3232" t="s">
        <v>3207</v>
      </c>
      <c r="H16" s="3232" t="s">
        <v>3208</v>
      </c>
      <c r="I16" s="3232" t="s">
        <v>3209</v>
      </c>
    </row>
    <row r="17" spans="1:12">
      <c r="A17" s="3233"/>
      <c r="B17" s="3232" t="s">
        <v>3210</v>
      </c>
      <c r="C17" s="3233">
        <v>45.68</v>
      </c>
      <c r="F17" s="3234" t="s">
        <v>3211</v>
      </c>
      <c r="G17" s="3233">
        <f>C37</f>
        <v>1587.42</v>
      </c>
      <c r="H17" s="3233">
        <f>I4</f>
        <v>4725.9700000000012</v>
      </c>
      <c r="I17" s="3233">
        <f>G17-H17</f>
        <v>-3138.5500000000011</v>
      </c>
      <c r="K17" s="3230" t="s">
        <v>3212</v>
      </c>
      <c r="L17" s="3230" t="s">
        <v>3213</v>
      </c>
    </row>
    <row r="18" spans="1:12">
      <c r="A18" s="3233"/>
      <c r="B18" s="3232" t="s">
        <v>3214</v>
      </c>
      <c r="C18" s="3233">
        <v>44.69</v>
      </c>
      <c r="F18" s="3234" t="s">
        <v>3215</v>
      </c>
      <c r="G18" s="3233">
        <f>C338</f>
        <v>14687.639999999994</v>
      </c>
      <c r="H18" s="3233">
        <f>I5</f>
        <v>16988.440000000002</v>
      </c>
      <c r="I18" s="3233">
        <f t="shared" ref="I18:I21" si="1">G18-H18</f>
        <v>-2300.8000000000084</v>
      </c>
      <c r="K18" s="3231">
        <v>2434.54</v>
      </c>
      <c r="L18" s="3231">
        <v>378.24</v>
      </c>
    </row>
    <row r="19" spans="1:12">
      <c r="A19" s="3233"/>
      <c r="B19" s="3232" t="s">
        <v>3216</v>
      </c>
      <c r="C19" s="3233">
        <v>52.99</v>
      </c>
      <c r="F19" s="3234" t="s">
        <v>3217</v>
      </c>
      <c r="G19" s="3233">
        <f>C339</f>
        <v>103688.47</v>
      </c>
      <c r="H19" s="3233">
        <f>SUM(I6:I12)</f>
        <v>101018.98</v>
      </c>
      <c r="I19" s="3233">
        <f t="shared" si="1"/>
        <v>2669.4900000000052</v>
      </c>
    </row>
    <row r="20" spans="1:12">
      <c r="A20" s="3233"/>
      <c r="B20" s="3232" t="s">
        <v>3218</v>
      </c>
      <c r="C20" s="3233">
        <v>52.99</v>
      </c>
      <c r="F20" s="3235" t="s">
        <v>3219</v>
      </c>
      <c r="G20" s="3233"/>
      <c r="H20" s="3233">
        <v>378.24</v>
      </c>
      <c r="I20" s="3233">
        <f t="shared" si="1"/>
        <v>-378.24</v>
      </c>
    </row>
    <row r="21" spans="1:12">
      <c r="A21" s="3233"/>
      <c r="B21" s="3232" t="s">
        <v>3220</v>
      </c>
      <c r="C21" s="3233">
        <v>52.99</v>
      </c>
      <c r="F21" s="3234" t="s">
        <v>3221</v>
      </c>
      <c r="G21" s="3233">
        <f>SUM(G17:G19)</f>
        <v>119963.53</v>
      </c>
      <c r="H21" s="3233">
        <f>SUM(H17:H20)</f>
        <v>123111.63</v>
      </c>
      <c r="I21" s="3233">
        <f t="shared" si="1"/>
        <v>-3148.1000000000058</v>
      </c>
    </row>
    <row r="22" spans="1:12">
      <c r="A22" s="3233"/>
      <c r="B22" s="3232" t="s">
        <v>3222</v>
      </c>
      <c r="C22" s="3233">
        <v>49.07</v>
      </c>
    </row>
    <row r="23" spans="1:12">
      <c r="A23" s="3233"/>
      <c r="B23" s="3232" t="s">
        <v>3223</v>
      </c>
      <c r="C23" s="3233">
        <v>49.07</v>
      </c>
    </row>
    <row r="24" spans="1:12">
      <c r="A24" s="3233"/>
      <c r="B24" s="3232" t="s">
        <v>3224</v>
      </c>
      <c r="C24" s="3233">
        <v>49.07</v>
      </c>
      <c r="F24" s="3235" t="s">
        <v>3225</v>
      </c>
      <c r="G24" s="3233"/>
    </row>
    <row r="25" spans="1:12">
      <c r="A25" s="3233"/>
      <c r="B25" s="3232" t="s">
        <v>3226</v>
      </c>
      <c r="C25" s="3233">
        <v>49.07</v>
      </c>
      <c r="F25" s="3234" t="s">
        <v>3227</v>
      </c>
      <c r="G25" s="3233">
        <v>16275.06</v>
      </c>
    </row>
    <row r="26" spans="1:12">
      <c r="A26" s="3233"/>
      <c r="B26" s="3232" t="s">
        <v>3228</v>
      </c>
      <c r="C26" s="3233">
        <v>49.07</v>
      </c>
      <c r="F26" s="3234" t="s">
        <v>3229</v>
      </c>
      <c r="G26" s="3233">
        <v>103688.47</v>
      </c>
    </row>
    <row r="27" spans="1:12">
      <c r="A27" s="3233"/>
      <c r="B27" s="3232" t="s">
        <v>3230</v>
      </c>
      <c r="C27" s="3233">
        <v>49.07</v>
      </c>
      <c r="F27" s="3234" t="s">
        <v>3231</v>
      </c>
      <c r="G27" s="3233">
        <v>2434.54</v>
      </c>
    </row>
    <row r="28" spans="1:12">
      <c r="A28" s="3233"/>
      <c r="B28" s="3232" t="s">
        <v>3232</v>
      </c>
      <c r="C28" s="3233">
        <v>46.51</v>
      </c>
      <c r="F28" s="3234" t="s">
        <v>3221</v>
      </c>
      <c r="G28" s="3233">
        <f>SUM(G25:G27)</f>
        <v>122398.06999999999</v>
      </c>
    </row>
    <row r="29" spans="1:12">
      <c r="A29" s="3233"/>
      <c r="B29" s="3232" t="s">
        <v>3233</v>
      </c>
      <c r="C29" s="3233">
        <v>46.51</v>
      </c>
    </row>
    <row r="30" spans="1:12">
      <c r="A30" s="3233"/>
      <c r="B30" s="3232" t="s">
        <v>3234</v>
      </c>
      <c r="C30" s="3233">
        <v>46.51</v>
      </c>
      <c r="F30" s="3235" t="s">
        <v>3229</v>
      </c>
      <c r="G30" s="3232" t="s">
        <v>3235</v>
      </c>
      <c r="H30" s="3232" t="s">
        <v>3236</v>
      </c>
      <c r="I30" s="3236" t="s">
        <v>3237</v>
      </c>
    </row>
    <row r="31" spans="1:12">
      <c r="A31" s="3233"/>
      <c r="B31" s="3232" t="s">
        <v>3238</v>
      </c>
      <c r="C31" s="3233">
        <v>47.5</v>
      </c>
      <c r="F31" s="3235" t="s">
        <v>3239</v>
      </c>
      <c r="G31" s="3232">
        <f t="shared" ref="G31:G36" si="2">I7</f>
        <v>14320.11</v>
      </c>
      <c r="H31" s="3233"/>
      <c r="I31" s="3233"/>
    </row>
    <row r="32" spans="1:12">
      <c r="A32" s="3233"/>
      <c r="B32" s="3232" t="s">
        <v>3240</v>
      </c>
      <c r="C32" s="3233">
        <v>47.5</v>
      </c>
      <c r="F32" s="3235" t="s">
        <v>3241</v>
      </c>
      <c r="G32" s="3232">
        <f t="shared" si="2"/>
        <v>14588.99</v>
      </c>
      <c r="H32" s="3233"/>
      <c r="I32" s="3233"/>
    </row>
    <row r="33" spans="1:9">
      <c r="A33" s="3233"/>
      <c r="B33" s="3232" t="s">
        <v>3242</v>
      </c>
      <c r="C33" s="3233">
        <v>47.5</v>
      </c>
      <c r="F33" s="3235" t="s">
        <v>3243</v>
      </c>
      <c r="G33" s="3232">
        <f t="shared" si="2"/>
        <v>14713.93</v>
      </c>
      <c r="H33" s="3233"/>
      <c r="I33" s="3233"/>
    </row>
    <row r="34" spans="1:9">
      <c r="A34" s="3233"/>
      <c r="B34" s="3232" t="s">
        <v>3244</v>
      </c>
      <c r="C34" s="3233">
        <v>47.5</v>
      </c>
      <c r="F34" s="3235" t="s">
        <v>3245</v>
      </c>
      <c r="G34" s="3232">
        <f t="shared" si="2"/>
        <v>14715.7</v>
      </c>
      <c r="H34" s="3233"/>
      <c r="I34" s="3233"/>
    </row>
    <row r="35" spans="1:9">
      <c r="A35" s="3233"/>
      <c r="B35" s="3232" t="s">
        <v>3246</v>
      </c>
      <c r="C35" s="3233">
        <v>47.5</v>
      </c>
      <c r="F35" s="3235" t="s">
        <v>3247</v>
      </c>
      <c r="G35" s="3232">
        <f t="shared" si="2"/>
        <v>14978.2</v>
      </c>
      <c r="H35" s="3233"/>
      <c r="I35" s="3233"/>
    </row>
    <row r="36" spans="1:9">
      <c r="A36" s="3233"/>
      <c r="B36" s="3232" t="s">
        <v>3248</v>
      </c>
      <c r="C36" s="3233">
        <v>47.5</v>
      </c>
      <c r="F36" s="3235" t="s">
        <v>3249</v>
      </c>
      <c r="G36" s="3232">
        <f t="shared" si="2"/>
        <v>12235</v>
      </c>
      <c r="H36" s="3233"/>
      <c r="I36" s="3233"/>
    </row>
    <row r="37" spans="1:9">
      <c r="A37" s="3237" t="s">
        <v>3250</v>
      </c>
      <c r="B37" s="3238"/>
      <c r="C37" s="3238">
        <f>SUM(C4:C36)</f>
        <v>1587.42</v>
      </c>
      <c r="F37" s="3235" t="s">
        <v>3251</v>
      </c>
      <c r="G37" s="3236">
        <f>G26-SUM(G31:G36)</f>
        <v>18136.540000000008</v>
      </c>
      <c r="H37" s="3233">
        <f>I6</f>
        <v>15467.050000000001</v>
      </c>
      <c r="I37" s="3233">
        <f>G37-H37</f>
        <v>2669.4900000000071</v>
      </c>
    </row>
    <row r="38" spans="1:9">
      <c r="A38" s="3232" t="s">
        <v>3252</v>
      </c>
      <c r="B38" s="3232" t="s">
        <v>3253</v>
      </c>
      <c r="C38" s="3233">
        <v>48.57</v>
      </c>
    </row>
    <row r="39" spans="1:9">
      <c r="A39" s="3233"/>
      <c r="B39" s="3232" t="s">
        <v>3254</v>
      </c>
      <c r="C39" s="3233">
        <v>48.57</v>
      </c>
    </row>
    <row r="40" spans="1:9">
      <c r="A40" s="3233"/>
      <c r="B40" s="3232" t="s">
        <v>3255</v>
      </c>
      <c r="C40" s="3233">
        <v>48.57</v>
      </c>
    </row>
    <row r="41" spans="1:9">
      <c r="A41" s="3233"/>
      <c r="B41" s="3232" t="s">
        <v>3256</v>
      </c>
      <c r="C41" s="3233">
        <v>48.57</v>
      </c>
    </row>
    <row r="42" spans="1:9">
      <c r="A42" s="3233"/>
      <c r="B42" s="3232" t="s">
        <v>3257</v>
      </c>
      <c r="C42" s="3233">
        <v>48.57</v>
      </c>
    </row>
    <row r="43" spans="1:9">
      <c r="A43" s="3233"/>
      <c r="B43" s="3232" t="s">
        <v>3258</v>
      </c>
      <c r="C43" s="3233">
        <v>48.57</v>
      </c>
    </row>
    <row r="44" spans="1:9">
      <c r="A44" s="3233"/>
      <c r="B44" s="3232" t="s">
        <v>3259</v>
      </c>
      <c r="C44" s="3233">
        <v>48.57</v>
      </c>
    </row>
    <row r="45" spans="1:9">
      <c r="A45" s="3233"/>
      <c r="B45" s="3232" t="s">
        <v>3260</v>
      </c>
      <c r="C45" s="3233">
        <v>48.57</v>
      </c>
    </row>
    <row r="46" spans="1:9">
      <c r="A46" s="3233"/>
      <c r="B46" s="3232" t="s">
        <v>3261</v>
      </c>
      <c r="C46" s="3233">
        <v>48.57</v>
      </c>
    </row>
    <row r="47" spans="1:9">
      <c r="A47" s="3233"/>
      <c r="B47" s="3232" t="s">
        <v>3262</v>
      </c>
      <c r="C47" s="3233">
        <v>48.57</v>
      </c>
    </row>
    <row r="48" spans="1:9">
      <c r="A48" s="3233"/>
      <c r="B48" s="3232" t="s">
        <v>3263</v>
      </c>
      <c r="C48" s="3233">
        <v>48.57</v>
      </c>
    </row>
    <row r="49" spans="1:3">
      <c r="A49" s="3233"/>
      <c r="B49" s="3232" t="s">
        <v>3264</v>
      </c>
      <c r="C49" s="3233">
        <v>48.57</v>
      </c>
    </row>
    <row r="50" spans="1:3">
      <c r="A50" s="3233"/>
      <c r="B50" s="3232" t="s">
        <v>3265</v>
      </c>
      <c r="C50" s="3233">
        <v>48.57</v>
      </c>
    </row>
    <row r="51" spans="1:3">
      <c r="A51" s="3233"/>
      <c r="B51" s="3232" t="s">
        <v>3266</v>
      </c>
      <c r="C51" s="3233">
        <v>48.57</v>
      </c>
    </row>
    <row r="52" spans="1:3">
      <c r="A52" s="3233"/>
      <c r="B52" s="3232" t="s">
        <v>3267</v>
      </c>
      <c r="C52" s="3233">
        <v>48.57</v>
      </c>
    </row>
    <row r="53" spans="1:3">
      <c r="A53" s="3233"/>
      <c r="B53" s="3232" t="s">
        <v>3268</v>
      </c>
      <c r="C53" s="3233">
        <v>48.57</v>
      </c>
    </row>
    <row r="54" spans="1:3">
      <c r="A54" s="3233"/>
      <c r="B54" s="3232" t="s">
        <v>3269</v>
      </c>
      <c r="C54" s="3233">
        <v>48.57</v>
      </c>
    </row>
    <row r="55" spans="1:3">
      <c r="A55" s="3233"/>
      <c r="B55" s="3232" t="s">
        <v>3270</v>
      </c>
      <c r="C55" s="3233">
        <v>48.57</v>
      </c>
    </row>
    <row r="56" spans="1:3">
      <c r="A56" s="3233"/>
      <c r="B56" s="3232" t="s">
        <v>3271</v>
      </c>
      <c r="C56" s="3233">
        <v>48.57</v>
      </c>
    </row>
    <row r="57" spans="1:3">
      <c r="A57" s="3233"/>
      <c r="B57" s="3232" t="s">
        <v>3272</v>
      </c>
      <c r="C57" s="3233">
        <v>48.57</v>
      </c>
    </row>
    <row r="58" spans="1:3">
      <c r="A58" s="3233"/>
      <c r="B58" s="3232" t="s">
        <v>3273</v>
      </c>
      <c r="C58" s="3233">
        <v>49.56</v>
      </c>
    </row>
    <row r="59" spans="1:3">
      <c r="A59" s="3233"/>
      <c r="B59" s="3232" t="s">
        <v>3274</v>
      </c>
      <c r="C59" s="3233">
        <v>49.56</v>
      </c>
    </row>
    <row r="60" spans="1:3">
      <c r="A60" s="3233"/>
      <c r="B60" s="3232" t="s">
        <v>3275</v>
      </c>
      <c r="C60" s="3233">
        <v>48.57</v>
      </c>
    </row>
    <row r="61" spans="1:3">
      <c r="A61" s="3233"/>
      <c r="B61" s="3232" t="s">
        <v>3276</v>
      </c>
      <c r="C61" s="3233">
        <v>48.57</v>
      </c>
    </row>
    <row r="62" spans="1:3">
      <c r="A62" s="3233"/>
      <c r="B62" s="3232" t="s">
        <v>3277</v>
      </c>
      <c r="C62" s="3233">
        <v>48.57</v>
      </c>
    </row>
    <row r="63" spans="1:3">
      <c r="A63" s="3233"/>
      <c r="B63" s="3232" t="s">
        <v>3278</v>
      </c>
      <c r="C63" s="3233">
        <v>48.57</v>
      </c>
    </row>
    <row r="64" spans="1:3">
      <c r="A64" s="3233"/>
      <c r="B64" s="3232" t="s">
        <v>3279</v>
      </c>
      <c r="C64" s="3233">
        <v>48.57</v>
      </c>
    </row>
    <row r="65" spans="1:3">
      <c r="A65" s="3233"/>
      <c r="B65" s="3232" t="s">
        <v>3280</v>
      </c>
      <c r="C65" s="3233">
        <v>48.57</v>
      </c>
    </row>
    <row r="66" spans="1:3">
      <c r="A66" s="3233"/>
      <c r="B66" s="3232" t="s">
        <v>3281</v>
      </c>
      <c r="C66" s="3233">
        <v>48.57</v>
      </c>
    </row>
    <row r="67" spans="1:3">
      <c r="A67" s="3233"/>
      <c r="B67" s="3232" t="s">
        <v>3282</v>
      </c>
      <c r="C67" s="3233">
        <v>48.57</v>
      </c>
    </row>
    <row r="68" spans="1:3">
      <c r="A68" s="3233"/>
      <c r="B68" s="3232" t="s">
        <v>3283</v>
      </c>
      <c r="C68" s="3233">
        <v>48.57</v>
      </c>
    </row>
    <row r="69" spans="1:3">
      <c r="A69" s="3233"/>
      <c r="B69" s="3232" t="s">
        <v>3284</v>
      </c>
      <c r="C69" s="3233">
        <v>48.57</v>
      </c>
    </row>
    <row r="70" spans="1:3">
      <c r="A70" s="3233"/>
      <c r="B70" s="3232" t="s">
        <v>3285</v>
      </c>
      <c r="C70" s="3233">
        <v>48.57</v>
      </c>
    </row>
    <row r="71" spans="1:3">
      <c r="A71" s="3233"/>
      <c r="B71" s="3232" t="s">
        <v>3286</v>
      </c>
      <c r="C71" s="3233">
        <v>54.97</v>
      </c>
    </row>
    <row r="72" spans="1:3">
      <c r="A72" s="3233"/>
      <c r="B72" s="3232" t="s">
        <v>3287</v>
      </c>
      <c r="C72" s="3233">
        <v>54.97</v>
      </c>
    </row>
    <row r="73" spans="1:3">
      <c r="A73" s="3233"/>
      <c r="B73" s="3232" t="s">
        <v>3288</v>
      </c>
      <c r="C73" s="3233">
        <v>54.97</v>
      </c>
    </row>
    <row r="74" spans="1:3">
      <c r="A74" s="3233"/>
      <c r="B74" s="3232" t="s">
        <v>3289</v>
      </c>
      <c r="C74" s="3233">
        <v>48.57</v>
      </c>
    </row>
    <row r="75" spans="1:3">
      <c r="A75" s="3233"/>
      <c r="B75" s="3232" t="s">
        <v>3290</v>
      </c>
      <c r="C75" s="3233">
        <v>48.57</v>
      </c>
    </row>
    <row r="76" spans="1:3">
      <c r="A76" s="3233"/>
      <c r="B76" s="3232" t="s">
        <v>3291</v>
      </c>
      <c r="C76" s="3233">
        <v>48.57</v>
      </c>
    </row>
    <row r="77" spans="1:3">
      <c r="A77" s="3233"/>
      <c r="B77" s="3232" t="s">
        <v>3292</v>
      </c>
      <c r="C77" s="3233">
        <v>68.989999999999995</v>
      </c>
    </row>
    <row r="78" spans="1:3">
      <c r="A78" s="3233"/>
      <c r="B78" s="3232" t="s">
        <v>3293</v>
      </c>
      <c r="C78" s="3233">
        <v>52.46</v>
      </c>
    </row>
    <row r="79" spans="1:3">
      <c r="A79" s="3233"/>
      <c r="B79" s="3232" t="s">
        <v>3294</v>
      </c>
      <c r="C79" s="3233">
        <v>48.57</v>
      </c>
    </row>
    <row r="80" spans="1:3">
      <c r="A80" s="3233"/>
      <c r="B80" s="3232" t="s">
        <v>3295</v>
      </c>
      <c r="C80" s="3233">
        <v>48.57</v>
      </c>
    </row>
    <row r="81" spans="1:3">
      <c r="A81" s="3233"/>
      <c r="B81" s="3232" t="s">
        <v>3296</v>
      </c>
      <c r="C81" s="3233">
        <v>48.57</v>
      </c>
    </row>
    <row r="82" spans="1:3">
      <c r="A82" s="3233"/>
      <c r="B82" s="3232" t="s">
        <v>3297</v>
      </c>
      <c r="C82" s="3233">
        <v>94.29</v>
      </c>
    </row>
    <row r="83" spans="1:3">
      <c r="A83" s="3233"/>
      <c r="B83" s="3232" t="s">
        <v>3298</v>
      </c>
      <c r="C83" s="3233">
        <v>46.63</v>
      </c>
    </row>
    <row r="84" spans="1:3">
      <c r="A84" s="3233"/>
      <c r="B84" s="3232" t="s">
        <v>3299</v>
      </c>
      <c r="C84" s="3233">
        <v>46.63</v>
      </c>
    </row>
    <row r="85" spans="1:3">
      <c r="A85" s="3233"/>
      <c r="B85" s="3232" t="s">
        <v>3300</v>
      </c>
      <c r="C85" s="3233">
        <v>46.63</v>
      </c>
    </row>
    <row r="86" spans="1:3">
      <c r="A86" s="3233"/>
      <c r="B86" s="3232" t="s">
        <v>3301</v>
      </c>
      <c r="C86" s="3233">
        <v>46.63</v>
      </c>
    </row>
    <row r="87" spans="1:3">
      <c r="A87" s="3233"/>
      <c r="B87" s="3232" t="s">
        <v>3302</v>
      </c>
      <c r="C87" s="3233">
        <v>46.63</v>
      </c>
    </row>
    <row r="88" spans="1:3">
      <c r="A88" s="3233"/>
      <c r="B88" s="3232" t="s">
        <v>3303</v>
      </c>
      <c r="C88" s="3233">
        <v>46.63</v>
      </c>
    </row>
    <row r="89" spans="1:3">
      <c r="A89" s="3233"/>
      <c r="B89" s="3232" t="s">
        <v>3304</v>
      </c>
      <c r="C89" s="3233">
        <v>48.57</v>
      </c>
    </row>
    <row r="90" spans="1:3">
      <c r="A90" s="3233"/>
      <c r="B90" s="3232" t="s">
        <v>3305</v>
      </c>
      <c r="C90" s="3233">
        <v>48.57</v>
      </c>
    </row>
    <row r="91" spans="1:3">
      <c r="A91" s="3233"/>
      <c r="B91" s="3232" t="s">
        <v>3306</v>
      </c>
      <c r="C91" s="3233">
        <v>48.57</v>
      </c>
    </row>
    <row r="92" spans="1:3">
      <c r="A92" s="3233"/>
      <c r="B92" s="3232" t="s">
        <v>3307</v>
      </c>
      <c r="C92" s="3233">
        <v>48.57</v>
      </c>
    </row>
    <row r="93" spans="1:3">
      <c r="A93" s="3233"/>
      <c r="B93" s="3232" t="s">
        <v>3308</v>
      </c>
      <c r="C93" s="3233">
        <v>48.57</v>
      </c>
    </row>
    <row r="94" spans="1:3">
      <c r="A94" s="3233"/>
      <c r="B94" s="3232" t="s">
        <v>3309</v>
      </c>
      <c r="C94" s="3233">
        <v>48.57</v>
      </c>
    </row>
    <row r="95" spans="1:3">
      <c r="A95" s="3233"/>
      <c r="B95" s="3232" t="s">
        <v>3310</v>
      </c>
      <c r="C95" s="3233">
        <v>48.57</v>
      </c>
    </row>
    <row r="96" spans="1:3">
      <c r="A96" s="3233"/>
      <c r="B96" s="3232" t="s">
        <v>3311</v>
      </c>
      <c r="C96" s="3233">
        <v>48.57</v>
      </c>
    </row>
    <row r="97" spans="1:3">
      <c r="A97" s="3233"/>
      <c r="B97" s="3232" t="s">
        <v>3312</v>
      </c>
      <c r="C97" s="3233">
        <v>48.57</v>
      </c>
    </row>
    <row r="98" spans="1:3">
      <c r="A98" s="3233"/>
      <c r="B98" s="3232" t="s">
        <v>3313</v>
      </c>
      <c r="C98" s="3233">
        <v>47.62</v>
      </c>
    </row>
    <row r="99" spans="1:3">
      <c r="A99" s="3233"/>
      <c r="B99" s="3232" t="s">
        <v>3314</v>
      </c>
      <c r="C99" s="3233">
        <v>47.62</v>
      </c>
    </row>
    <row r="100" spans="1:3">
      <c r="A100" s="3233"/>
      <c r="B100" s="3232" t="s">
        <v>3315</v>
      </c>
      <c r="C100" s="3233">
        <v>47.62</v>
      </c>
    </row>
    <row r="101" spans="1:3">
      <c r="A101" s="3233"/>
      <c r="B101" s="3232" t="s">
        <v>3316</v>
      </c>
      <c r="C101" s="3233">
        <v>48.57</v>
      </c>
    </row>
    <row r="102" spans="1:3">
      <c r="A102" s="3233"/>
      <c r="B102" s="3232" t="s">
        <v>3317</v>
      </c>
      <c r="C102" s="3233">
        <v>48.57</v>
      </c>
    </row>
    <row r="103" spans="1:3">
      <c r="A103" s="3233"/>
      <c r="B103" s="3232" t="s">
        <v>3318</v>
      </c>
      <c r="C103" s="3233">
        <v>48.57</v>
      </c>
    </row>
    <row r="104" spans="1:3">
      <c r="A104" s="3233"/>
      <c r="B104" s="3232" t="s">
        <v>3319</v>
      </c>
      <c r="C104" s="3233">
        <v>49.56</v>
      </c>
    </row>
    <row r="105" spans="1:3">
      <c r="A105" s="3233"/>
      <c r="B105" s="3232" t="s">
        <v>3320</v>
      </c>
      <c r="C105" s="3233">
        <v>47.62</v>
      </c>
    </row>
    <row r="106" spans="1:3">
      <c r="A106" s="3233"/>
      <c r="B106" s="3232" t="s">
        <v>3321</v>
      </c>
      <c r="C106" s="3233">
        <v>47.62</v>
      </c>
    </row>
    <row r="107" spans="1:3">
      <c r="A107" s="3233"/>
      <c r="B107" s="3232" t="s">
        <v>3322</v>
      </c>
      <c r="C107" s="3233">
        <v>47.62</v>
      </c>
    </row>
    <row r="108" spans="1:3">
      <c r="A108" s="3233"/>
      <c r="B108" s="3232" t="s">
        <v>3323</v>
      </c>
      <c r="C108" s="3233">
        <v>47.62</v>
      </c>
    </row>
    <row r="109" spans="1:3">
      <c r="A109" s="3233"/>
      <c r="B109" s="3232" t="s">
        <v>3324</v>
      </c>
      <c r="C109" s="3233">
        <v>48</v>
      </c>
    </row>
    <row r="110" spans="1:3">
      <c r="A110" s="3233"/>
      <c r="B110" s="3232" t="s">
        <v>3325</v>
      </c>
      <c r="C110" s="3233">
        <v>48</v>
      </c>
    </row>
    <row r="111" spans="1:3">
      <c r="A111" s="3233"/>
      <c r="B111" s="3232" t="s">
        <v>3326</v>
      </c>
      <c r="C111" s="3233">
        <v>48</v>
      </c>
    </row>
    <row r="112" spans="1:3">
      <c r="A112" s="3233"/>
      <c r="B112" s="3232" t="s">
        <v>3327</v>
      </c>
      <c r="C112" s="3233">
        <v>49.07</v>
      </c>
    </row>
    <row r="113" spans="1:3">
      <c r="A113" s="3233"/>
      <c r="B113" s="3232" t="s">
        <v>3328</v>
      </c>
      <c r="C113" s="3233">
        <v>47.5</v>
      </c>
    </row>
    <row r="114" spans="1:3">
      <c r="A114" s="3233"/>
      <c r="B114" s="3232" t="s">
        <v>3329</v>
      </c>
      <c r="C114" s="3233">
        <v>47.5</v>
      </c>
    </row>
    <row r="115" spans="1:3">
      <c r="A115" s="3233"/>
      <c r="B115" s="3232" t="s">
        <v>3330</v>
      </c>
      <c r="C115" s="3233">
        <v>47.5</v>
      </c>
    </row>
    <row r="116" spans="1:3">
      <c r="A116" s="3233"/>
      <c r="B116" s="3232" t="s">
        <v>3331</v>
      </c>
      <c r="C116" s="3233">
        <v>49.07</v>
      </c>
    </row>
    <row r="117" spans="1:3">
      <c r="A117" s="3233"/>
      <c r="B117" s="3232" t="s">
        <v>3332</v>
      </c>
      <c r="C117" s="3233">
        <v>43.31</v>
      </c>
    </row>
    <row r="118" spans="1:3">
      <c r="A118" s="3233"/>
      <c r="B118" s="3232" t="s">
        <v>3333</v>
      </c>
      <c r="C118" s="3233">
        <v>43.31</v>
      </c>
    </row>
    <row r="119" spans="1:3">
      <c r="A119" s="3233"/>
      <c r="B119" s="3232" t="s">
        <v>3334</v>
      </c>
      <c r="C119" s="3233">
        <v>43.31</v>
      </c>
    </row>
    <row r="120" spans="1:3">
      <c r="A120" s="3233"/>
      <c r="B120" s="3232" t="s">
        <v>3335</v>
      </c>
      <c r="C120" s="3233">
        <v>46.63</v>
      </c>
    </row>
    <row r="121" spans="1:3">
      <c r="A121" s="3233"/>
      <c r="B121" s="3232" t="s">
        <v>3336</v>
      </c>
      <c r="C121" s="3233">
        <v>46.63</v>
      </c>
    </row>
    <row r="122" spans="1:3">
      <c r="A122" s="3233"/>
      <c r="B122" s="3232" t="s">
        <v>3337</v>
      </c>
      <c r="C122" s="3233">
        <v>48.57</v>
      </c>
    </row>
    <row r="123" spans="1:3">
      <c r="A123" s="3233"/>
      <c r="B123" s="3232" t="s">
        <v>3338</v>
      </c>
      <c r="C123" s="3233">
        <v>48</v>
      </c>
    </row>
    <row r="124" spans="1:3">
      <c r="A124" s="3233"/>
      <c r="B124" s="3232" t="s">
        <v>3339</v>
      </c>
      <c r="C124" s="3233">
        <v>48</v>
      </c>
    </row>
    <row r="125" spans="1:3">
      <c r="A125" s="3233"/>
      <c r="B125" s="3232" t="s">
        <v>3340</v>
      </c>
      <c r="C125" s="3233">
        <v>48</v>
      </c>
    </row>
    <row r="126" spans="1:3">
      <c r="A126" s="3233"/>
      <c r="B126" s="3232" t="s">
        <v>3341</v>
      </c>
      <c r="C126" s="3233">
        <v>48.57</v>
      </c>
    </row>
    <row r="127" spans="1:3">
      <c r="A127" s="3233"/>
      <c r="B127" s="3232" t="s">
        <v>3342</v>
      </c>
      <c r="C127" s="3233">
        <v>48.57</v>
      </c>
    </row>
    <row r="128" spans="1:3">
      <c r="A128" s="3233"/>
      <c r="B128" s="3232" t="s">
        <v>3343</v>
      </c>
      <c r="C128" s="3233">
        <v>48.57</v>
      </c>
    </row>
    <row r="129" spans="1:3">
      <c r="A129" s="3233"/>
      <c r="B129" s="3232" t="s">
        <v>3344</v>
      </c>
      <c r="C129" s="3233">
        <v>48.57</v>
      </c>
    </row>
    <row r="130" spans="1:3">
      <c r="A130" s="3233"/>
      <c r="B130" s="3232" t="s">
        <v>3345</v>
      </c>
      <c r="C130" s="3233">
        <v>48.57</v>
      </c>
    </row>
    <row r="131" spans="1:3">
      <c r="A131" s="3233"/>
      <c r="B131" s="3232" t="s">
        <v>3346</v>
      </c>
      <c r="C131" s="3233">
        <v>46.86</v>
      </c>
    </row>
    <row r="132" spans="1:3">
      <c r="A132" s="3233"/>
      <c r="B132" s="3232" t="s">
        <v>3347</v>
      </c>
      <c r="C132" s="3233">
        <v>46.86</v>
      </c>
    </row>
    <row r="133" spans="1:3">
      <c r="A133" s="3233"/>
      <c r="B133" s="3232" t="s">
        <v>3348</v>
      </c>
      <c r="C133" s="3233">
        <v>46.86</v>
      </c>
    </row>
    <row r="134" spans="1:3">
      <c r="A134" s="3233"/>
      <c r="B134" s="3232" t="s">
        <v>3349</v>
      </c>
      <c r="C134" s="3233">
        <v>46.86</v>
      </c>
    </row>
    <row r="135" spans="1:3">
      <c r="A135" s="3233"/>
      <c r="B135" s="3232" t="s">
        <v>3350</v>
      </c>
      <c r="C135" s="3233">
        <v>46.86</v>
      </c>
    </row>
    <row r="136" spans="1:3">
      <c r="A136" s="3233"/>
      <c r="B136" s="3232" t="s">
        <v>3351</v>
      </c>
      <c r="C136" s="3233">
        <v>46.86</v>
      </c>
    </row>
    <row r="137" spans="1:3">
      <c r="A137" s="3233"/>
      <c r="B137" s="3232" t="s">
        <v>3352</v>
      </c>
      <c r="C137" s="3233">
        <v>46.48</v>
      </c>
    </row>
    <row r="138" spans="1:3">
      <c r="A138" s="3233"/>
      <c r="B138" s="3232" t="s">
        <v>3353</v>
      </c>
      <c r="C138" s="3233">
        <v>46.48</v>
      </c>
    </row>
    <row r="139" spans="1:3">
      <c r="A139" s="3233"/>
      <c r="B139" s="3232" t="s">
        <v>3354</v>
      </c>
      <c r="C139" s="3233">
        <v>46.48</v>
      </c>
    </row>
    <row r="140" spans="1:3">
      <c r="A140" s="3233"/>
      <c r="B140" s="3232" t="s">
        <v>3355</v>
      </c>
      <c r="C140" s="3233">
        <v>46.48</v>
      </c>
    </row>
    <row r="141" spans="1:3">
      <c r="A141" s="3233"/>
      <c r="B141" s="3232" t="s">
        <v>3356</v>
      </c>
      <c r="C141" s="3233">
        <v>47.43</v>
      </c>
    </row>
    <row r="142" spans="1:3">
      <c r="A142" s="3233"/>
      <c r="B142" s="3232" t="s">
        <v>3357</v>
      </c>
      <c r="C142" s="3233">
        <v>47.43</v>
      </c>
    </row>
    <row r="143" spans="1:3">
      <c r="A143" s="3233"/>
      <c r="B143" s="3232" t="s">
        <v>3358</v>
      </c>
      <c r="C143" s="3233">
        <v>47.43</v>
      </c>
    </row>
    <row r="144" spans="1:3">
      <c r="A144" s="3233"/>
      <c r="B144" s="3232" t="s">
        <v>3359</v>
      </c>
      <c r="C144" s="3233">
        <v>47.43</v>
      </c>
    </row>
    <row r="145" spans="1:3">
      <c r="A145" s="3233"/>
      <c r="B145" s="3232" t="s">
        <v>3360</v>
      </c>
      <c r="C145" s="3233">
        <v>47.43</v>
      </c>
    </row>
    <row r="146" spans="1:3">
      <c r="A146" s="3233"/>
      <c r="B146" s="3232" t="s">
        <v>3361</v>
      </c>
      <c r="C146" s="3233">
        <v>47.43</v>
      </c>
    </row>
    <row r="147" spans="1:3">
      <c r="A147" s="3233"/>
      <c r="B147" s="3232" t="s">
        <v>3362</v>
      </c>
      <c r="C147" s="3233">
        <v>47.43</v>
      </c>
    </row>
    <row r="148" spans="1:3">
      <c r="A148" s="3233"/>
      <c r="B148" s="3232" t="s">
        <v>3363</v>
      </c>
      <c r="C148" s="3233">
        <v>47.43</v>
      </c>
    </row>
    <row r="149" spans="1:3">
      <c r="A149" s="3233"/>
      <c r="B149" s="3232" t="s">
        <v>3364</v>
      </c>
      <c r="C149" s="3233">
        <v>48.57</v>
      </c>
    </row>
    <row r="150" spans="1:3">
      <c r="A150" s="3233"/>
      <c r="B150" s="3232" t="s">
        <v>3365</v>
      </c>
      <c r="C150" s="3233">
        <v>48.57</v>
      </c>
    </row>
    <row r="151" spans="1:3">
      <c r="A151" s="3233"/>
      <c r="B151" s="3232" t="s">
        <v>3366</v>
      </c>
      <c r="C151" s="3233">
        <v>48.57</v>
      </c>
    </row>
    <row r="152" spans="1:3">
      <c r="A152" s="3233"/>
      <c r="B152" s="3232" t="s">
        <v>3367</v>
      </c>
      <c r="C152" s="3233">
        <v>48.11</v>
      </c>
    </row>
    <row r="153" spans="1:3">
      <c r="A153" s="3233"/>
      <c r="B153" s="3232" t="s">
        <v>3368</v>
      </c>
      <c r="C153" s="3233">
        <v>48.11</v>
      </c>
    </row>
    <row r="154" spans="1:3">
      <c r="A154" s="3233"/>
      <c r="B154" s="3232" t="s">
        <v>3369</v>
      </c>
      <c r="C154" s="3233">
        <v>48</v>
      </c>
    </row>
    <row r="155" spans="1:3">
      <c r="A155" s="3233"/>
      <c r="B155" s="3232" t="s">
        <v>3370</v>
      </c>
      <c r="C155" s="3233">
        <v>48</v>
      </c>
    </row>
    <row r="156" spans="1:3">
      <c r="A156" s="3233"/>
      <c r="B156" s="3232" t="s">
        <v>3371</v>
      </c>
      <c r="C156" s="3233">
        <v>48</v>
      </c>
    </row>
    <row r="157" spans="1:3">
      <c r="A157" s="3233"/>
      <c r="B157" s="3232" t="s">
        <v>3372</v>
      </c>
      <c r="C157" s="3233">
        <v>58.29</v>
      </c>
    </row>
    <row r="158" spans="1:3">
      <c r="A158" s="3233"/>
      <c r="B158" s="3232" t="s">
        <v>3373</v>
      </c>
      <c r="C158" s="3233">
        <v>58.29</v>
      </c>
    </row>
    <row r="159" spans="1:3">
      <c r="A159" s="3233"/>
      <c r="B159" s="3232" t="s">
        <v>3374</v>
      </c>
      <c r="C159" s="3233">
        <v>48.57</v>
      </c>
    </row>
    <row r="160" spans="1:3">
      <c r="A160" s="3233"/>
      <c r="B160" s="3232" t="s">
        <v>3375</v>
      </c>
      <c r="C160" s="3233">
        <v>48.57</v>
      </c>
    </row>
    <row r="161" spans="1:3">
      <c r="A161" s="3233"/>
      <c r="B161" s="3232" t="s">
        <v>3376</v>
      </c>
      <c r="C161" s="3233">
        <v>47.43</v>
      </c>
    </row>
    <row r="162" spans="1:3">
      <c r="A162" s="3233"/>
      <c r="B162" s="3232" t="s">
        <v>3377</v>
      </c>
      <c r="C162" s="3233">
        <v>47.43</v>
      </c>
    </row>
    <row r="163" spans="1:3">
      <c r="A163" s="3233"/>
      <c r="B163" s="3232" t="s">
        <v>3378</v>
      </c>
      <c r="C163" s="3233">
        <v>47.43</v>
      </c>
    </row>
    <row r="164" spans="1:3">
      <c r="A164" s="3233"/>
      <c r="B164" s="3232" t="s">
        <v>3379</v>
      </c>
      <c r="C164" s="3233">
        <v>47.43</v>
      </c>
    </row>
    <row r="165" spans="1:3">
      <c r="A165" s="3233"/>
      <c r="B165" s="3232" t="s">
        <v>3380</v>
      </c>
      <c r="C165" s="3233">
        <v>47.43</v>
      </c>
    </row>
    <row r="166" spans="1:3">
      <c r="A166" s="3233"/>
      <c r="B166" s="3232" t="s">
        <v>3381</v>
      </c>
      <c r="C166" s="3233">
        <v>53.68</v>
      </c>
    </row>
    <row r="167" spans="1:3">
      <c r="A167" s="3233"/>
      <c r="B167" s="3232" t="s">
        <v>3382</v>
      </c>
      <c r="C167" s="3233">
        <v>53.68</v>
      </c>
    </row>
    <row r="168" spans="1:3">
      <c r="A168" s="3233"/>
      <c r="B168" s="3232" t="s">
        <v>3383</v>
      </c>
      <c r="C168" s="3233">
        <v>53.68</v>
      </c>
    </row>
    <row r="169" spans="1:3">
      <c r="A169" s="3233"/>
      <c r="B169" s="3232" t="s">
        <v>3384</v>
      </c>
      <c r="C169" s="3233">
        <v>47.43</v>
      </c>
    </row>
    <row r="170" spans="1:3">
      <c r="A170" s="3233"/>
      <c r="B170" s="3232" t="s">
        <v>3385</v>
      </c>
      <c r="C170" s="3233">
        <v>47.43</v>
      </c>
    </row>
    <row r="171" spans="1:3">
      <c r="A171" s="3233"/>
      <c r="B171" s="3232" t="s">
        <v>3386</v>
      </c>
      <c r="C171" s="3233">
        <v>47.43</v>
      </c>
    </row>
    <row r="172" spans="1:3">
      <c r="A172" s="3233"/>
      <c r="B172" s="3232" t="s">
        <v>3387</v>
      </c>
      <c r="C172" s="3233">
        <v>48.57</v>
      </c>
    </row>
    <row r="173" spans="1:3">
      <c r="A173" s="3233"/>
      <c r="B173" s="3232" t="s">
        <v>3388</v>
      </c>
      <c r="C173" s="3233">
        <v>48.57</v>
      </c>
    </row>
    <row r="174" spans="1:3">
      <c r="A174" s="3233"/>
      <c r="B174" s="3232" t="s">
        <v>3389</v>
      </c>
      <c r="C174" s="3233">
        <v>48.57</v>
      </c>
    </row>
    <row r="175" spans="1:3">
      <c r="A175" s="3233"/>
      <c r="B175" s="3232" t="s">
        <v>3390</v>
      </c>
      <c r="C175" s="3233">
        <v>48.57</v>
      </c>
    </row>
    <row r="176" spans="1:3">
      <c r="A176" s="3233"/>
      <c r="B176" s="3232" t="s">
        <v>3391</v>
      </c>
      <c r="C176" s="3233">
        <v>48.57</v>
      </c>
    </row>
    <row r="177" spans="1:3">
      <c r="A177" s="3233"/>
      <c r="B177" s="3232" t="s">
        <v>3392</v>
      </c>
      <c r="C177" s="3233">
        <v>48.57</v>
      </c>
    </row>
    <row r="178" spans="1:3">
      <c r="A178" s="3233"/>
      <c r="B178" s="3232" t="s">
        <v>3393</v>
      </c>
      <c r="C178" s="3233">
        <v>48.3</v>
      </c>
    </row>
    <row r="179" spans="1:3">
      <c r="A179" s="3233"/>
      <c r="B179" s="3232" t="s">
        <v>3394</v>
      </c>
      <c r="C179" s="3233">
        <v>48.3</v>
      </c>
    </row>
    <row r="180" spans="1:3">
      <c r="A180" s="3233"/>
      <c r="B180" s="3232" t="s">
        <v>3395</v>
      </c>
      <c r="C180" s="3233">
        <v>48.3</v>
      </c>
    </row>
    <row r="181" spans="1:3">
      <c r="A181" s="3233"/>
      <c r="B181" s="3232" t="s">
        <v>3396</v>
      </c>
      <c r="C181" s="3233">
        <v>48.3</v>
      </c>
    </row>
    <row r="182" spans="1:3">
      <c r="A182" s="3233"/>
      <c r="B182" s="3232" t="s">
        <v>3397</v>
      </c>
      <c r="C182" s="3233">
        <v>48.3</v>
      </c>
    </row>
    <row r="183" spans="1:3">
      <c r="A183" s="3233"/>
      <c r="B183" s="3232" t="s">
        <v>3398</v>
      </c>
      <c r="C183" s="3233">
        <v>48.3</v>
      </c>
    </row>
    <row r="184" spans="1:3">
      <c r="A184" s="3233"/>
      <c r="B184" s="3232" t="s">
        <v>3399</v>
      </c>
      <c r="C184" s="3233">
        <v>48.3</v>
      </c>
    </row>
    <row r="185" spans="1:3">
      <c r="A185" s="3233"/>
      <c r="B185" s="3232" t="s">
        <v>3400</v>
      </c>
      <c r="C185" s="3233">
        <v>48.3</v>
      </c>
    </row>
    <row r="186" spans="1:3">
      <c r="A186" s="3233"/>
      <c r="B186" s="3232" t="s">
        <v>3401</v>
      </c>
      <c r="C186" s="3233">
        <v>48.3</v>
      </c>
    </row>
    <row r="187" spans="1:3">
      <c r="A187" s="3233"/>
      <c r="B187" s="3232" t="s">
        <v>3402</v>
      </c>
      <c r="C187" s="3233">
        <v>48.3</v>
      </c>
    </row>
    <row r="188" spans="1:3">
      <c r="A188" s="3233"/>
      <c r="B188" s="3232" t="s">
        <v>3403</v>
      </c>
      <c r="C188" s="3233">
        <v>48.3</v>
      </c>
    </row>
    <row r="189" spans="1:3">
      <c r="A189" s="3233"/>
      <c r="B189" s="3232" t="s">
        <v>3404</v>
      </c>
      <c r="C189" s="3233">
        <v>48.3</v>
      </c>
    </row>
    <row r="190" spans="1:3">
      <c r="A190" s="3233"/>
      <c r="B190" s="3232" t="s">
        <v>3405</v>
      </c>
      <c r="C190" s="3233">
        <v>48.3</v>
      </c>
    </row>
    <row r="191" spans="1:3">
      <c r="A191" s="3233"/>
      <c r="B191" s="3232" t="s">
        <v>3406</v>
      </c>
      <c r="C191" s="3233">
        <v>48.3</v>
      </c>
    </row>
    <row r="192" spans="1:3">
      <c r="A192" s="3233"/>
      <c r="B192" s="3232" t="s">
        <v>3407</v>
      </c>
      <c r="C192" s="3233">
        <v>48.3</v>
      </c>
    </row>
    <row r="193" spans="1:3">
      <c r="A193" s="3233"/>
      <c r="B193" s="3232" t="s">
        <v>3408</v>
      </c>
      <c r="C193" s="3233">
        <v>48.3</v>
      </c>
    </row>
    <row r="194" spans="1:3">
      <c r="A194" s="3233"/>
      <c r="B194" s="3232" t="s">
        <v>3409</v>
      </c>
      <c r="C194" s="3233">
        <v>48.3</v>
      </c>
    </row>
    <row r="195" spans="1:3">
      <c r="A195" s="3233"/>
      <c r="B195" s="3232" t="s">
        <v>3410</v>
      </c>
      <c r="C195" s="3233">
        <v>48.3</v>
      </c>
    </row>
    <row r="196" spans="1:3">
      <c r="A196" s="3233"/>
      <c r="B196" s="3232" t="s">
        <v>3411</v>
      </c>
      <c r="C196" s="3233">
        <v>48.3</v>
      </c>
    </row>
    <row r="197" spans="1:3">
      <c r="A197" s="3233"/>
      <c r="B197" s="3232" t="s">
        <v>3412</v>
      </c>
      <c r="C197" s="3233">
        <v>48.3</v>
      </c>
    </row>
    <row r="198" spans="1:3">
      <c r="A198" s="3233"/>
      <c r="B198" s="3232" t="s">
        <v>3413</v>
      </c>
      <c r="C198" s="3233">
        <v>48.3</v>
      </c>
    </row>
    <row r="199" spans="1:3">
      <c r="A199" s="3233"/>
      <c r="B199" s="3232" t="s">
        <v>3414</v>
      </c>
      <c r="C199" s="3233">
        <v>48.3</v>
      </c>
    </row>
    <row r="200" spans="1:3">
      <c r="A200" s="3233"/>
      <c r="B200" s="3232" t="s">
        <v>3415</v>
      </c>
      <c r="C200" s="3233">
        <v>48.3</v>
      </c>
    </row>
    <row r="201" spans="1:3">
      <c r="A201" s="3233"/>
      <c r="B201" s="3232" t="s">
        <v>3416</v>
      </c>
      <c r="C201" s="3233">
        <v>48.3</v>
      </c>
    </row>
    <row r="202" spans="1:3">
      <c r="A202" s="3233"/>
      <c r="B202" s="3232" t="s">
        <v>3417</v>
      </c>
      <c r="C202" s="3233">
        <v>48.11</v>
      </c>
    </row>
    <row r="203" spans="1:3">
      <c r="A203" s="3233"/>
      <c r="B203" s="3232" t="s">
        <v>3418</v>
      </c>
      <c r="C203" s="3233">
        <v>48.11</v>
      </c>
    </row>
    <row r="204" spans="1:3">
      <c r="A204" s="3233"/>
      <c r="B204" s="3232" t="s">
        <v>3419</v>
      </c>
      <c r="C204" s="3233">
        <v>48.11</v>
      </c>
    </row>
    <row r="205" spans="1:3">
      <c r="A205" s="3233"/>
      <c r="B205" s="3232" t="s">
        <v>3420</v>
      </c>
      <c r="C205" s="3233">
        <v>48.11</v>
      </c>
    </row>
    <row r="206" spans="1:3">
      <c r="A206" s="3233"/>
      <c r="B206" s="3232" t="s">
        <v>3421</v>
      </c>
      <c r="C206" s="3233">
        <v>48.11</v>
      </c>
    </row>
    <row r="207" spans="1:3">
      <c r="A207" s="3233"/>
      <c r="B207" s="3232" t="s">
        <v>3422</v>
      </c>
      <c r="C207" s="3233">
        <v>48.11</v>
      </c>
    </row>
    <row r="208" spans="1:3">
      <c r="A208" s="3233"/>
      <c r="B208" s="3232" t="s">
        <v>3423</v>
      </c>
      <c r="C208" s="3233">
        <v>47.43</v>
      </c>
    </row>
    <row r="209" spans="1:3">
      <c r="A209" s="3233"/>
      <c r="B209" s="3232" t="s">
        <v>3424</v>
      </c>
      <c r="C209" s="3233">
        <v>47.43</v>
      </c>
    </row>
    <row r="210" spans="1:3">
      <c r="A210" s="3233"/>
      <c r="B210" s="3232" t="s">
        <v>3425</v>
      </c>
      <c r="C210" s="3233">
        <v>47.43</v>
      </c>
    </row>
    <row r="211" spans="1:3">
      <c r="A211" s="3233"/>
      <c r="B211" s="3232" t="s">
        <v>3426</v>
      </c>
      <c r="C211" s="3233">
        <v>53.68</v>
      </c>
    </row>
    <row r="212" spans="1:3">
      <c r="A212" s="3233"/>
      <c r="B212" s="3232" t="s">
        <v>3427</v>
      </c>
      <c r="C212" s="3233">
        <v>53.68</v>
      </c>
    </row>
    <row r="213" spans="1:3">
      <c r="A213" s="3233"/>
      <c r="B213" s="3232" t="s">
        <v>3428</v>
      </c>
      <c r="C213" s="3233">
        <v>53.68</v>
      </c>
    </row>
    <row r="214" spans="1:3">
      <c r="A214" s="3233"/>
      <c r="B214" s="3232" t="s">
        <v>3429</v>
      </c>
      <c r="C214" s="3233">
        <v>47.43</v>
      </c>
    </row>
    <row r="215" spans="1:3">
      <c r="A215" s="3233"/>
      <c r="B215" s="3232" t="s">
        <v>3430</v>
      </c>
      <c r="C215" s="3233">
        <v>47.43</v>
      </c>
    </row>
    <row r="216" spans="1:3">
      <c r="A216" s="3233"/>
      <c r="B216" s="3232" t="s">
        <v>3431</v>
      </c>
      <c r="C216" s="3233">
        <v>47.43</v>
      </c>
    </row>
    <row r="217" spans="1:3">
      <c r="A217" s="3233"/>
      <c r="B217" s="3232" t="s">
        <v>3432</v>
      </c>
      <c r="C217" s="3233">
        <v>47.43</v>
      </c>
    </row>
    <row r="218" spans="1:3">
      <c r="A218" s="3233"/>
      <c r="B218" s="3232" t="s">
        <v>3433</v>
      </c>
      <c r="C218" s="3233">
        <v>47.43</v>
      </c>
    </row>
    <row r="219" spans="1:3">
      <c r="A219" s="3233"/>
      <c r="B219" s="3232" t="s">
        <v>3434</v>
      </c>
      <c r="C219" s="3233">
        <v>48.11</v>
      </c>
    </row>
    <row r="220" spans="1:3">
      <c r="A220" s="3233"/>
      <c r="B220" s="3232" t="s">
        <v>3435</v>
      </c>
      <c r="C220" s="3233">
        <v>48.11</v>
      </c>
    </row>
    <row r="221" spans="1:3">
      <c r="A221" s="3233"/>
      <c r="B221" s="3232" t="s">
        <v>3436</v>
      </c>
      <c r="C221" s="3233">
        <v>47.12</v>
      </c>
    </row>
    <row r="222" spans="1:3">
      <c r="A222" s="3233"/>
      <c r="B222" s="3232" t="s">
        <v>3437</v>
      </c>
      <c r="C222" s="3233">
        <v>47.12</v>
      </c>
    </row>
    <row r="223" spans="1:3">
      <c r="A223" s="3233"/>
      <c r="B223" s="3232" t="s">
        <v>3438</v>
      </c>
      <c r="C223" s="3233">
        <v>47.12</v>
      </c>
    </row>
    <row r="224" spans="1:3">
      <c r="A224" s="3233"/>
      <c r="B224" s="3232" t="s">
        <v>3439</v>
      </c>
      <c r="C224" s="3233">
        <v>47.43</v>
      </c>
    </row>
    <row r="225" spans="1:3">
      <c r="A225" s="3233"/>
      <c r="B225" s="3232" t="s">
        <v>3440</v>
      </c>
      <c r="C225" s="3233">
        <v>47.43</v>
      </c>
    </row>
    <row r="226" spans="1:3">
      <c r="A226" s="3233"/>
      <c r="B226" s="3232" t="s">
        <v>3441</v>
      </c>
      <c r="C226" s="3233">
        <v>47.43</v>
      </c>
    </row>
    <row r="227" spans="1:3">
      <c r="A227" s="3233"/>
      <c r="B227" s="3232" t="s">
        <v>3442</v>
      </c>
      <c r="C227" s="3233">
        <v>47.43</v>
      </c>
    </row>
    <row r="228" spans="1:3">
      <c r="A228" s="3233"/>
      <c r="B228" s="3232" t="s">
        <v>3443</v>
      </c>
      <c r="C228" s="3233">
        <v>47.43</v>
      </c>
    </row>
    <row r="229" spans="1:3">
      <c r="A229" s="3233"/>
      <c r="B229" s="3232" t="s">
        <v>3444</v>
      </c>
      <c r="C229" s="3233">
        <v>47.43</v>
      </c>
    </row>
    <row r="230" spans="1:3">
      <c r="A230" s="3233"/>
      <c r="B230" s="3232" t="s">
        <v>3445</v>
      </c>
      <c r="C230" s="3233">
        <v>47.43</v>
      </c>
    </row>
    <row r="231" spans="1:3">
      <c r="A231" s="3233"/>
      <c r="B231" s="3232" t="s">
        <v>3446</v>
      </c>
      <c r="C231" s="3233">
        <v>47.43</v>
      </c>
    </row>
    <row r="232" spans="1:3">
      <c r="A232" s="3233"/>
      <c r="B232" s="3232" t="s">
        <v>3447</v>
      </c>
      <c r="C232" s="3233">
        <v>46.48</v>
      </c>
    </row>
    <row r="233" spans="1:3">
      <c r="A233" s="3233"/>
      <c r="B233" s="3232" t="s">
        <v>3448</v>
      </c>
      <c r="C233" s="3233">
        <v>46.48</v>
      </c>
    </row>
    <row r="234" spans="1:3">
      <c r="A234" s="3233"/>
      <c r="B234" s="3232" t="s">
        <v>3449</v>
      </c>
      <c r="C234" s="3233">
        <v>46.48</v>
      </c>
    </row>
    <row r="235" spans="1:3">
      <c r="A235" s="3233"/>
      <c r="B235" s="3232" t="s">
        <v>3450</v>
      </c>
      <c r="C235" s="3233">
        <v>46.48</v>
      </c>
    </row>
    <row r="236" spans="1:3">
      <c r="A236" s="3233"/>
      <c r="B236" s="3232" t="s">
        <v>3451</v>
      </c>
      <c r="C236" s="3233">
        <v>46.86</v>
      </c>
    </row>
    <row r="237" spans="1:3">
      <c r="A237" s="3233"/>
      <c r="B237" s="3232" t="s">
        <v>3452</v>
      </c>
      <c r="C237" s="3233">
        <v>46.86</v>
      </c>
    </row>
    <row r="238" spans="1:3">
      <c r="A238" s="3233"/>
      <c r="B238" s="3232" t="s">
        <v>3453</v>
      </c>
      <c r="C238" s="3233">
        <v>46.86</v>
      </c>
    </row>
    <row r="239" spans="1:3">
      <c r="A239" s="3233"/>
      <c r="B239" s="3232" t="s">
        <v>3454</v>
      </c>
      <c r="C239" s="3233">
        <v>46.86</v>
      </c>
    </row>
    <row r="240" spans="1:3">
      <c r="A240" s="3233"/>
      <c r="B240" s="3232" t="s">
        <v>3455</v>
      </c>
      <c r="C240" s="3233">
        <v>46.86</v>
      </c>
    </row>
    <row r="241" spans="1:3">
      <c r="A241" s="3233"/>
      <c r="B241" s="3232" t="s">
        <v>3456</v>
      </c>
      <c r="C241" s="3233">
        <v>46.86</v>
      </c>
    </row>
    <row r="242" spans="1:3">
      <c r="A242" s="3233"/>
      <c r="B242" s="3232" t="s">
        <v>3457</v>
      </c>
      <c r="C242" s="3233">
        <v>46.63</v>
      </c>
    </row>
    <row r="243" spans="1:3">
      <c r="A243" s="3233"/>
      <c r="B243" s="3232" t="s">
        <v>3458</v>
      </c>
      <c r="C243" s="3233">
        <v>46.63</v>
      </c>
    </row>
    <row r="244" spans="1:3">
      <c r="A244" s="3233"/>
      <c r="B244" s="3232" t="s">
        <v>3459</v>
      </c>
      <c r="C244" s="3233">
        <v>46.63</v>
      </c>
    </row>
    <row r="245" spans="1:3">
      <c r="A245" s="3233"/>
      <c r="B245" s="3232" t="s">
        <v>3460</v>
      </c>
      <c r="C245" s="3233">
        <v>48.57</v>
      </c>
    </row>
    <row r="246" spans="1:3">
      <c r="A246" s="3233"/>
      <c r="B246" s="3232" t="s">
        <v>3461</v>
      </c>
      <c r="C246" s="3233">
        <v>48.57</v>
      </c>
    </row>
    <row r="247" spans="1:3">
      <c r="A247" s="3233"/>
      <c r="B247" s="3232" t="s">
        <v>3462</v>
      </c>
      <c r="C247" s="3233">
        <v>46.63</v>
      </c>
    </row>
    <row r="248" spans="1:3">
      <c r="A248" s="3233"/>
      <c r="B248" s="3232" t="s">
        <v>3463</v>
      </c>
      <c r="C248" s="3233">
        <v>48.11</v>
      </c>
    </row>
    <row r="249" spans="1:3">
      <c r="A249" s="3233"/>
      <c r="B249" s="3232" t="s">
        <v>3464</v>
      </c>
      <c r="C249" s="3233">
        <v>48.11</v>
      </c>
    </row>
    <row r="250" spans="1:3">
      <c r="A250" s="3233"/>
      <c r="B250" s="3232" t="s">
        <v>3465</v>
      </c>
      <c r="C250" s="3233">
        <v>48.11</v>
      </c>
    </row>
    <row r="251" spans="1:3">
      <c r="A251" s="3233"/>
      <c r="B251" s="3232" t="s">
        <v>3466</v>
      </c>
      <c r="C251" s="3233">
        <v>48.11</v>
      </c>
    </row>
    <row r="252" spans="1:3">
      <c r="A252" s="3233"/>
      <c r="B252" s="3232" t="s">
        <v>3467</v>
      </c>
      <c r="C252" s="3233">
        <v>48.11</v>
      </c>
    </row>
    <row r="253" spans="1:3">
      <c r="A253" s="3233"/>
      <c r="B253" s="3232" t="s">
        <v>3468</v>
      </c>
      <c r="C253" s="3233">
        <v>48.11</v>
      </c>
    </row>
    <row r="254" spans="1:3">
      <c r="A254" s="3233"/>
      <c r="B254" s="3232" t="s">
        <v>3469</v>
      </c>
      <c r="C254" s="3233">
        <v>46.17</v>
      </c>
    </row>
    <row r="255" spans="1:3">
      <c r="A255" s="3233"/>
      <c r="B255" s="3232" t="s">
        <v>3470</v>
      </c>
      <c r="C255" s="3233">
        <v>46.17</v>
      </c>
    </row>
    <row r="256" spans="1:3">
      <c r="A256" s="3233"/>
      <c r="B256" s="3232" t="s">
        <v>3471</v>
      </c>
      <c r="C256" s="3233">
        <v>46.17</v>
      </c>
    </row>
    <row r="257" spans="1:3">
      <c r="A257" s="3233"/>
      <c r="B257" s="3232" t="s">
        <v>3472</v>
      </c>
      <c r="C257" s="3233">
        <v>46.21</v>
      </c>
    </row>
    <row r="258" spans="1:3">
      <c r="A258" s="3233"/>
      <c r="B258" s="3232" t="s">
        <v>3473</v>
      </c>
      <c r="C258" s="3233">
        <v>48.57</v>
      </c>
    </row>
    <row r="259" spans="1:3">
      <c r="A259" s="3233"/>
      <c r="B259" s="3232" t="s">
        <v>3474</v>
      </c>
      <c r="C259" s="3233">
        <v>48.57</v>
      </c>
    </row>
    <row r="260" spans="1:3">
      <c r="A260" s="3233"/>
      <c r="B260" s="3232" t="s">
        <v>3475</v>
      </c>
      <c r="C260" s="3233">
        <v>48.57</v>
      </c>
    </row>
    <row r="261" spans="1:3">
      <c r="A261" s="3233"/>
      <c r="B261" s="3232" t="s">
        <v>3476</v>
      </c>
      <c r="C261" s="3233">
        <v>46.63</v>
      </c>
    </row>
    <row r="262" spans="1:3">
      <c r="A262" s="3233"/>
      <c r="B262" s="3232" t="s">
        <v>3477</v>
      </c>
      <c r="C262" s="3233">
        <v>46.63</v>
      </c>
    </row>
    <row r="263" spans="1:3">
      <c r="A263" s="3233"/>
      <c r="B263" s="3232" t="s">
        <v>3478</v>
      </c>
      <c r="C263" s="3233">
        <v>46.63</v>
      </c>
    </row>
    <row r="264" spans="1:3">
      <c r="A264" s="3233"/>
      <c r="B264" s="3232" t="s">
        <v>3479</v>
      </c>
      <c r="C264" s="3233">
        <v>47.62</v>
      </c>
    </row>
    <row r="265" spans="1:3">
      <c r="A265" s="3233"/>
      <c r="B265" s="3232" t="s">
        <v>3480</v>
      </c>
      <c r="C265" s="3233">
        <v>47.62</v>
      </c>
    </row>
    <row r="266" spans="1:3">
      <c r="A266" s="3233"/>
      <c r="B266" s="3232" t="s">
        <v>3481</v>
      </c>
      <c r="C266" s="3233">
        <v>47.62</v>
      </c>
    </row>
    <row r="267" spans="1:3">
      <c r="A267" s="3233"/>
      <c r="B267" s="3232" t="s">
        <v>3482</v>
      </c>
      <c r="C267" s="3233">
        <v>47.62</v>
      </c>
    </row>
    <row r="268" spans="1:3">
      <c r="A268" s="3233"/>
      <c r="B268" s="3232" t="s">
        <v>3483</v>
      </c>
      <c r="C268" s="3233">
        <v>46.63</v>
      </c>
    </row>
    <row r="269" spans="1:3">
      <c r="A269" s="3233"/>
      <c r="B269" s="3232" t="s">
        <v>3484</v>
      </c>
      <c r="C269" s="3233">
        <v>46.63</v>
      </c>
    </row>
    <row r="270" spans="1:3">
      <c r="A270" s="3233"/>
      <c r="B270" s="3232" t="s">
        <v>3485</v>
      </c>
      <c r="C270" s="3233">
        <v>46.63</v>
      </c>
    </row>
    <row r="271" spans="1:3">
      <c r="A271" s="3233"/>
      <c r="B271" s="3232" t="s">
        <v>3486</v>
      </c>
      <c r="C271" s="3233">
        <v>48.57</v>
      </c>
    </row>
    <row r="272" spans="1:3">
      <c r="A272" s="3233"/>
      <c r="B272" s="3232" t="s">
        <v>3487</v>
      </c>
      <c r="C272" s="3233">
        <v>48.57</v>
      </c>
    </row>
    <row r="273" spans="1:3">
      <c r="A273" s="3233"/>
      <c r="B273" s="3232" t="s">
        <v>3488</v>
      </c>
      <c r="C273" s="3233">
        <v>48.57</v>
      </c>
    </row>
    <row r="274" spans="1:3">
      <c r="A274" s="3233"/>
      <c r="B274" s="3232" t="s">
        <v>3489</v>
      </c>
      <c r="C274" s="3233">
        <v>46.17</v>
      </c>
    </row>
    <row r="275" spans="1:3">
      <c r="A275" s="3233"/>
      <c r="B275" s="3232" t="s">
        <v>3490</v>
      </c>
      <c r="C275" s="3233">
        <v>46.17</v>
      </c>
    </row>
    <row r="276" spans="1:3">
      <c r="A276" s="3233"/>
      <c r="B276" s="3232" t="s">
        <v>3491</v>
      </c>
      <c r="C276" s="3233">
        <v>46.17</v>
      </c>
    </row>
    <row r="277" spans="1:3">
      <c r="A277" s="3233"/>
      <c r="B277" s="3232" t="s">
        <v>3492</v>
      </c>
      <c r="C277" s="3233">
        <v>48.11</v>
      </c>
    </row>
    <row r="278" spans="1:3">
      <c r="A278" s="3233"/>
      <c r="B278" s="3232" t="s">
        <v>3493</v>
      </c>
      <c r="C278" s="3233">
        <v>48.11</v>
      </c>
    </row>
    <row r="279" spans="1:3">
      <c r="A279" s="3233"/>
      <c r="B279" s="3232" t="s">
        <v>3494</v>
      </c>
      <c r="C279" s="3233">
        <v>48.11</v>
      </c>
    </row>
    <row r="280" spans="1:3">
      <c r="A280" s="3233"/>
      <c r="B280" s="3232" t="s">
        <v>3495</v>
      </c>
      <c r="C280" s="3233">
        <v>48.11</v>
      </c>
    </row>
    <row r="281" spans="1:3">
      <c r="A281" s="3233"/>
      <c r="B281" s="3232" t="s">
        <v>3496</v>
      </c>
      <c r="C281" s="3233">
        <v>48.11</v>
      </c>
    </row>
    <row r="282" spans="1:3">
      <c r="A282" s="3233"/>
      <c r="B282" s="3232" t="s">
        <v>3497</v>
      </c>
      <c r="C282" s="3233">
        <v>48.11</v>
      </c>
    </row>
    <row r="283" spans="1:3">
      <c r="A283" s="3233"/>
      <c r="B283" s="3232" t="s">
        <v>3498</v>
      </c>
      <c r="C283" s="3233">
        <v>50.97</v>
      </c>
    </row>
    <row r="284" spans="1:3">
      <c r="A284" s="3233"/>
      <c r="B284" s="3232" t="s">
        <v>3499</v>
      </c>
      <c r="C284" s="3233">
        <v>50.97</v>
      </c>
    </row>
    <row r="285" spans="1:3">
      <c r="A285" s="3233"/>
      <c r="B285" s="3232" t="s">
        <v>3500</v>
      </c>
      <c r="C285" s="3233">
        <v>50.97</v>
      </c>
    </row>
    <row r="286" spans="1:3">
      <c r="A286" s="3233"/>
      <c r="B286" s="3232" t="s">
        <v>3501</v>
      </c>
      <c r="C286" s="3233">
        <v>52.46</v>
      </c>
    </row>
    <row r="287" spans="1:3">
      <c r="A287" s="3233"/>
      <c r="B287" s="3232" t="s">
        <v>3502</v>
      </c>
      <c r="C287" s="3233">
        <v>45.71</v>
      </c>
    </row>
    <row r="288" spans="1:3">
      <c r="A288" s="3233"/>
      <c r="B288" s="3232" t="s">
        <v>3503</v>
      </c>
      <c r="C288" s="3233">
        <v>48.57</v>
      </c>
    </row>
    <row r="289" spans="1:3">
      <c r="A289" s="3233"/>
      <c r="B289" s="3232" t="s">
        <v>3504</v>
      </c>
      <c r="C289" s="3233">
        <v>48.57</v>
      </c>
    </row>
    <row r="290" spans="1:3">
      <c r="A290" s="3233"/>
      <c r="B290" s="3232" t="s">
        <v>3505</v>
      </c>
      <c r="C290" s="3233">
        <v>48.57</v>
      </c>
    </row>
    <row r="291" spans="1:3">
      <c r="A291" s="3233"/>
      <c r="B291" s="3232" t="s">
        <v>3506</v>
      </c>
      <c r="C291" s="3233">
        <v>48.57</v>
      </c>
    </row>
    <row r="292" spans="1:3">
      <c r="A292" s="3233"/>
      <c r="B292" s="3232" t="s">
        <v>3507</v>
      </c>
      <c r="C292" s="3233">
        <v>48.57</v>
      </c>
    </row>
    <row r="293" spans="1:3">
      <c r="A293" s="3233"/>
      <c r="B293" s="3232" t="s">
        <v>3508</v>
      </c>
      <c r="C293" s="3233">
        <v>49.56</v>
      </c>
    </row>
    <row r="294" spans="1:3">
      <c r="A294" s="3233"/>
      <c r="B294" s="3232" t="s">
        <v>3509</v>
      </c>
      <c r="C294" s="3233">
        <v>49.56</v>
      </c>
    </row>
    <row r="295" spans="1:3">
      <c r="A295" s="3233"/>
      <c r="B295" s="3232" t="s">
        <v>3510</v>
      </c>
      <c r="C295" s="3233">
        <v>46.63</v>
      </c>
    </row>
    <row r="296" spans="1:3">
      <c r="A296" s="3233"/>
      <c r="B296" s="3232" t="s">
        <v>3511</v>
      </c>
      <c r="C296" s="3233">
        <v>48</v>
      </c>
    </row>
    <row r="297" spans="1:3">
      <c r="A297" s="3233"/>
      <c r="B297" s="3232" t="s">
        <v>3512</v>
      </c>
      <c r="C297" s="3233">
        <v>48</v>
      </c>
    </row>
    <row r="298" spans="1:3">
      <c r="A298" s="3233"/>
      <c r="B298" s="3232" t="s">
        <v>3513</v>
      </c>
      <c r="C298" s="3233">
        <v>48</v>
      </c>
    </row>
    <row r="299" spans="1:3">
      <c r="A299" s="3233"/>
      <c r="B299" s="3232" t="s">
        <v>3514</v>
      </c>
      <c r="C299" s="3233">
        <v>46.63</v>
      </c>
    </row>
    <row r="300" spans="1:3">
      <c r="A300" s="3233"/>
      <c r="B300" s="3232" t="s">
        <v>3515</v>
      </c>
      <c r="C300" s="3233">
        <v>46.63</v>
      </c>
    </row>
    <row r="301" spans="1:3">
      <c r="A301" s="3233"/>
      <c r="B301" s="3232" t="s">
        <v>3516</v>
      </c>
      <c r="C301" s="3233">
        <v>46.63</v>
      </c>
    </row>
    <row r="302" spans="1:3">
      <c r="A302" s="3233"/>
      <c r="B302" s="3232" t="s">
        <v>3517</v>
      </c>
      <c r="C302" s="3233">
        <v>48.57</v>
      </c>
    </row>
    <row r="303" spans="1:3">
      <c r="A303" s="3233"/>
      <c r="B303" s="3232" t="s">
        <v>3518</v>
      </c>
      <c r="C303" s="3233">
        <v>48.57</v>
      </c>
    </row>
    <row r="304" spans="1:3">
      <c r="A304" s="3233"/>
      <c r="B304" s="3232" t="s">
        <v>3519</v>
      </c>
      <c r="C304" s="3233">
        <v>48.57</v>
      </c>
    </row>
    <row r="305" spans="1:3">
      <c r="A305" s="3233"/>
      <c r="B305" s="3232" t="s">
        <v>3520</v>
      </c>
      <c r="C305" s="3233">
        <v>48.57</v>
      </c>
    </row>
    <row r="306" spans="1:3">
      <c r="A306" s="3233"/>
      <c r="B306" s="3232" t="s">
        <v>3521</v>
      </c>
      <c r="C306" s="3233">
        <v>48.57</v>
      </c>
    </row>
    <row r="307" spans="1:3">
      <c r="A307" s="3233"/>
      <c r="B307" s="3232" t="s">
        <v>3522</v>
      </c>
      <c r="C307" s="3233">
        <v>48.57</v>
      </c>
    </row>
    <row r="308" spans="1:3">
      <c r="A308" s="3233"/>
      <c r="B308" s="3232" t="s">
        <v>3523</v>
      </c>
      <c r="C308" s="3233">
        <v>48.57</v>
      </c>
    </row>
    <row r="309" spans="1:3">
      <c r="A309" s="3233"/>
      <c r="B309" s="3232" t="s">
        <v>3524</v>
      </c>
      <c r="C309" s="3233">
        <v>48.57</v>
      </c>
    </row>
    <row r="310" spans="1:3">
      <c r="A310" s="3233"/>
      <c r="B310" s="3232" t="s">
        <v>3525</v>
      </c>
      <c r="C310" s="3233">
        <v>48.57</v>
      </c>
    </row>
    <row r="311" spans="1:3">
      <c r="A311" s="3233"/>
      <c r="B311" s="3232" t="s">
        <v>3526</v>
      </c>
      <c r="C311" s="3233">
        <v>48.57</v>
      </c>
    </row>
    <row r="312" spans="1:3">
      <c r="A312" s="3233"/>
      <c r="B312" s="3232" t="s">
        <v>3527</v>
      </c>
      <c r="C312" s="3233">
        <v>48.57</v>
      </c>
    </row>
    <row r="313" spans="1:3">
      <c r="A313" s="3233"/>
      <c r="B313" s="3232" t="s">
        <v>3528</v>
      </c>
      <c r="C313" s="3233">
        <v>48.57</v>
      </c>
    </row>
    <row r="314" spans="1:3">
      <c r="A314" s="3233"/>
      <c r="B314" s="3232" t="s">
        <v>3529</v>
      </c>
      <c r="C314" s="3233">
        <v>48.57</v>
      </c>
    </row>
    <row r="315" spans="1:3">
      <c r="A315" s="3233"/>
      <c r="B315" s="3232" t="s">
        <v>3530</v>
      </c>
      <c r="C315" s="3233">
        <v>48.57</v>
      </c>
    </row>
    <row r="316" spans="1:3">
      <c r="A316" s="3233"/>
      <c r="B316" s="3232" t="s">
        <v>3531</v>
      </c>
      <c r="C316" s="3233">
        <v>48.57</v>
      </c>
    </row>
    <row r="317" spans="1:3">
      <c r="A317" s="3233"/>
      <c r="B317" s="3232" t="s">
        <v>3532</v>
      </c>
      <c r="C317" s="3233">
        <v>96.19</v>
      </c>
    </row>
    <row r="318" spans="1:3">
      <c r="A318" s="3233"/>
      <c r="B318" s="3232" t="s">
        <v>3533</v>
      </c>
      <c r="C318" s="3233">
        <v>96.19</v>
      </c>
    </row>
    <row r="319" spans="1:3">
      <c r="A319" s="3233"/>
      <c r="B319" s="3232" t="s">
        <v>3534</v>
      </c>
      <c r="C319" s="3233">
        <v>96.19</v>
      </c>
    </row>
    <row r="320" spans="1:3">
      <c r="A320" s="3233"/>
      <c r="B320" s="3232" t="s">
        <v>3535</v>
      </c>
      <c r="C320" s="3233">
        <v>54.97</v>
      </c>
    </row>
    <row r="321" spans="1:3">
      <c r="A321" s="3233"/>
      <c r="B321" s="3232" t="s">
        <v>3536</v>
      </c>
      <c r="C321" s="3233">
        <v>54.97</v>
      </c>
    </row>
    <row r="322" spans="1:3">
      <c r="A322" s="3233"/>
      <c r="B322" s="3232" t="s">
        <v>3537</v>
      </c>
      <c r="C322" s="3233">
        <v>54.97</v>
      </c>
    </row>
    <row r="323" spans="1:3">
      <c r="A323" s="3233"/>
      <c r="B323" s="3232" t="s">
        <v>3538</v>
      </c>
      <c r="C323" s="3233">
        <v>48.57</v>
      </c>
    </row>
    <row r="324" spans="1:3">
      <c r="A324" s="3233"/>
      <c r="B324" s="3232" t="s">
        <v>3539</v>
      </c>
      <c r="C324" s="3233">
        <v>48.57</v>
      </c>
    </row>
    <row r="325" spans="1:3">
      <c r="A325" s="3233"/>
      <c r="B325" s="3232" t="s">
        <v>3540</v>
      </c>
      <c r="C325" s="3233">
        <v>48.57</v>
      </c>
    </row>
    <row r="326" spans="1:3">
      <c r="A326" s="3233"/>
      <c r="B326" s="3232" t="s">
        <v>3541</v>
      </c>
      <c r="C326" s="3233">
        <v>48.57</v>
      </c>
    </row>
    <row r="327" spans="1:3">
      <c r="A327" s="3233"/>
      <c r="B327" s="3232" t="s">
        <v>3542</v>
      </c>
      <c r="C327" s="3233">
        <v>48.57</v>
      </c>
    </row>
    <row r="328" spans="1:3">
      <c r="A328" s="3233"/>
      <c r="B328" s="3232" t="s">
        <v>3543</v>
      </c>
      <c r="C328" s="3233">
        <v>48.57</v>
      </c>
    </row>
    <row r="329" spans="1:3">
      <c r="A329" s="3233"/>
      <c r="B329" s="3232" t="s">
        <v>3544</v>
      </c>
      <c r="C329" s="3233">
        <v>48.57</v>
      </c>
    </row>
    <row r="330" spans="1:3">
      <c r="A330" s="3233"/>
      <c r="B330" s="3232" t="s">
        <v>3545</v>
      </c>
      <c r="C330" s="3233">
        <v>48.57</v>
      </c>
    </row>
    <row r="331" spans="1:3">
      <c r="A331" s="3233"/>
      <c r="B331" s="3232" t="s">
        <v>3546</v>
      </c>
      <c r="C331" s="3233">
        <v>48.57</v>
      </c>
    </row>
    <row r="332" spans="1:3">
      <c r="A332" s="3233"/>
      <c r="B332" s="3232" t="s">
        <v>3547</v>
      </c>
      <c r="C332" s="3233">
        <v>48.57</v>
      </c>
    </row>
    <row r="333" spans="1:3">
      <c r="A333" s="3233"/>
      <c r="B333" s="3232" t="s">
        <v>3548</v>
      </c>
      <c r="C333" s="3233">
        <v>48.57</v>
      </c>
    </row>
    <row r="334" spans="1:3">
      <c r="A334" s="3233"/>
      <c r="B334" s="3232" t="s">
        <v>3549</v>
      </c>
      <c r="C334" s="3233">
        <v>48.57</v>
      </c>
    </row>
    <row r="335" spans="1:3">
      <c r="A335" s="3233"/>
      <c r="B335" s="3232" t="s">
        <v>3550</v>
      </c>
      <c r="C335" s="3233">
        <v>48.57</v>
      </c>
    </row>
    <row r="336" spans="1:3">
      <c r="A336" s="3233"/>
      <c r="B336" s="3232" t="s">
        <v>3551</v>
      </c>
      <c r="C336" s="3233">
        <v>44.3</v>
      </c>
    </row>
    <row r="337" spans="1:3">
      <c r="A337" s="3233"/>
      <c r="B337" s="3232" t="s">
        <v>3552</v>
      </c>
      <c r="C337" s="3233">
        <v>44.3</v>
      </c>
    </row>
    <row r="338" spans="1:3">
      <c r="A338" s="3237" t="s">
        <v>3553</v>
      </c>
      <c r="B338" s="3238"/>
      <c r="C338" s="3238">
        <f>SUM(C38:C337)</f>
        <v>14687.639999999994</v>
      </c>
    </row>
    <row r="339" spans="1:3">
      <c r="A339" s="3232" t="s">
        <v>3239</v>
      </c>
      <c r="B339" s="3232" t="s">
        <v>3554</v>
      </c>
      <c r="C339" s="3233">
        <v>103688.47</v>
      </c>
    </row>
  </sheetData>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19" sqref="G19"/>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4"/>
      <c r="C1" s="1254"/>
      <c r="D1" s="1254"/>
      <c r="E1" s="1254"/>
      <c r="F1" s="1254"/>
      <c r="G1" s="1254"/>
      <c r="H1" s="1254"/>
      <c r="I1" s="1254"/>
      <c r="J1" s="1254"/>
      <c r="K1" s="1254"/>
      <c r="L1" s="1254"/>
      <c r="M1" s="1254"/>
      <c r="N1" s="1254"/>
      <c r="O1" s="1254"/>
      <c r="P1" s="1254"/>
    </row>
    <row r="2" spans="1:16" ht="15">
      <c r="A2" s="3348" t="s">
        <v>1576</v>
      </c>
      <c r="B2" s="3348"/>
      <c r="C2" s="3348"/>
      <c r="D2" s="885" t="s">
        <v>1552</v>
      </c>
      <c r="E2" s="1774" t="s">
        <v>1553</v>
      </c>
      <c r="F2" s="2835"/>
      <c r="G2" s="2826"/>
      <c r="H2" s="2827"/>
      <c r="I2" s="2498" t="s">
        <v>1577</v>
      </c>
      <c r="J2" s="2835"/>
      <c r="K2" s="2835"/>
      <c r="L2" s="2835"/>
      <c r="M2" s="2835"/>
      <c r="N2" s="2837"/>
      <c r="O2" s="2835"/>
      <c r="P2" s="2835"/>
    </row>
    <row r="3" spans="1:16" ht="15.75" thickBot="1">
      <c r="A3" s="3349" t="s">
        <v>1550</v>
      </c>
      <c r="B3" s="3349"/>
      <c r="C3" s="3349"/>
      <c r="D3" s="46">
        <f>'数据-基础表'!AY6</f>
        <v>24498.84</v>
      </c>
      <c r="E3" s="46">
        <f>'数据-基础表'!AZ5</f>
        <v>119963.53</v>
      </c>
      <c r="F3" s="2835"/>
      <c r="G3" s="1260"/>
      <c r="H3" s="1138" t="s">
        <v>1551</v>
      </c>
      <c r="I3" s="945">
        <f>ROUND('数据-基础表'!B3/'数据-基础表'!A3,2)</f>
        <v>4.9000000000000004</v>
      </c>
      <c r="J3" s="2835"/>
      <c r="K3" s="2835"/>
      <c r="L3" s="2835"/>
      <c r="M3" s="2835"/>
      <c r="N3" s="2837"/>
      <c r="O3" s="2835"/>
      <c r="P3" s="2835"/>
    </row>
    <row r="4" spans="1:16" ht="15">
      <c r="A4" s="3350"/>
      <c r="B4" s="3351"/>
      <c r="C4" s="3352"/>
      <c r="D4" s="1776" t="s">
        <v>1552</v>
      </c>
      <c r="E4" s="1777" t="s">
        <v>1553</v>
      </c>
      <c r="F4" s="2835"/>
      <c r="G4" s="2828" t="s">
        <v>1578</v>
      </c>
      <c r="H4" s="1138" t="s">
        <v>1558</v>
      </c>
      <c r="I4" s="945">
        <f>ROUND(SUMIF('数据-基础表'!I9:AS9,"地上",'数据-基础表'!I5:AS5)/'数据-基础表'!A3,2)</f>
        <v>3.49</v>
      </c>
      <c r="J4" s="2835"/>
      <c r="K4" s="2835"/>
      <c r="L4" s="2835"/>
      <c r="M4" s="2835"/>
      <c r="N4" s="2837"/>
      <c r="O4" s="2835"/>
      <c r="P4" s="2835"/>
    </row>
    <row r="5" spans="1:16">
      <c r="A5" s="47" t="s">
        <v>1554</v>
      </c>
      <c r="B5" s="3353" t="s">
        <v>1555</v>
      </c>
      <c r="C5" s="3353"/>
      <c r="D5" s="48">
        <f>ROUND($D$3*E5/$E$3,2)</f>
        <v>0</v>
      </c>
      <c r="E5" s="49">
        <f>SUMIF('数据-基础表'!$11:$11,"住宅",'数据-基础表'!$5:$5)</f>
        <v>0</v>
      </c>
      <c r="F5" s="2835"/>
      <c r="G5" s="1260"/>
      <c r="H5" s="1138" t="s">
        <v>1551</v>
      </c>
      <c r="I5" s="945">
        <f>ROUND(E31/D31,2)</f>
        <v>4.9000000000000004</v>
      </c>
      <c r="J5" s="2835"/>
      <c r="K5" s="2835"/>
      <c r="L5" s="2835"/>
      <c r="M5" s="2835"/>
      <c r="N5" s="2835"/>
      <c r="O5" s="2835"/>
      <c r="P5" s="2835"/>
    </row>
    <row r="6" spans="1:16" ht="15" thickBot="1">
      <c r="A6" s="1779"/>
      <c r="B6" s="3353" t="s">
        <v>1556</v>
      </c>
      <c r="C6" s="3353"/>
      <c r="D6" s="48">
        <f>ROUND($D$3*E6/$E$3,2)</f>
        <v>24498.84</v>
      </c>
      <c r="E6" s="49">
        <f>E3-E5</f>
        <v>119963.53</v>
      </c>
      <c r="F6" s="2835"/>
      <c r="G6" s="2829" t="s">
        <v>1557</v>
      </c>
      <c r="H6" s="1261" t="s">
        <v>1558</v>
      </c>
      <c r="I6" s="2830">
        <f>ROUND(F31/D31,2)</f>
        <v>3.49</v>
      </c>
      <c r="J6" s="2835"/>
      <c r="K6" s="2835"/>
      <c r="L6" s="2835"/>
      <c r="M6" s="2835"/>
      <c r="N6" s="2835"/>
      <c r="O6" s="2835"/>
      <c r="P6" s="2835"/>
    </row>
    <row r="7" spans="1:16" ht="15.75" thickBot="1">
      <c r="A7" s="3345"/>
      <c r="B7" s="3346"/>
      <c r="C7" s="3347"/>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17471.34</v>
      </c>
      <c r="E8" s="51">
        <f>SUMIF('数据-基础表'!BB10:BK10,"地上",'数据-基础表'!BB5:BK5)</f>
        <v>85551.93</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3703.83</v>
      </c>
      <c r="E10" s="51">
        <f>SUMPRODUCT(('数据-基础表'!BB10:BK10="地下")*('数据-基础表'!BB11:BK11="商业")*('数据-基础表'!BB5:BK5))</f>
        <v>18136.540000000008</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3323.68</v>
      </c>
      <c r="E14" s="51">
        <f>SUMPRODUCT(('数据-基础表'!BB10:BK10="地下")*('数据-基础表'!BB11:BK11="车库—商业")*('数据-基础表'!BB5:BK5))</f>
        <v>16275.06</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1568</v>
      </c>
      <c r="D16" s="50">
        <f>SUM(D8:D15)</f>
        <v>24498.85</v>
      </c>
      <c r="E16" s="53">
        <f>SUM(E8:E15)</f>
        <v>119963.53</v>
      </c>
      <c r="F16" s="2835"/>
      <c r="G16" s="2836"/>
      <c r="H16" s="1783" t="s">
        <v>1580</v>
      </c>
      <c r="I16" s="1784"/>
      <c r="J16" s="1254"/>
      <c r="K16" s="3342" t="s">
        <v>1580</v>
      </c>
      <c r="L16" s="3343"/>
      <c r="M16" s="3343"/>
      <c r="N16" s="3343"/>
      <c r="O16" s="3343"/>
      <c r="P16" s="3344"/>
    </row>
    <row r="17" spans="1:19" ht="15">
      <c r="A17" s="1785" t="s">
        <v>1581</v>
      </c>
      <c r="B17" s="1786" t="s">
        <v>1582</v>
      </c>
      <c r="C17" s="1787" t="s">
        <v>1583</v>
      </c>
      <c r="D17" s="1788" t="s">
        <v>1571</v>
      </c>
      <c r="E17" s="1789" t="s">
        <v>1572</v>
      </c>
      <c r="F17" s="1790"/>
      <c r="G17" s="1791"/>
      <c r="H17" s="1792" t="s">
        <v>1584</v>
      </c>
      <c r="I17" s="1793" t="s">
        <v>1569</v>
      </c>
      <c r="J17" s="1254"/>
      <c r="K17" s="3339" t="s">
        <v>1585</v>
      </c>
      <c r="L17" s="3340"/>
      <c r="M17" s="3341"/>
      <c r="N17" s="3339" t="s">
        <v>1586</v>
      </c>
      <c r="O17" s="3340"/>
      <c r="P17" s="3341"/>
      <c r="R17" s="1775" t="s">
        <v>1587</v>
      </c>
      <c r="S17" s="60"/>
    </row>
    <row r="18" spans="1:19" ht="15">
      <c r="A18" s="1781"/>
      <c r="B18" s="1794"/>
      <c r="C18" s="1795"/>
      <c r="D18" s="1796"/>
      <c r="E18" s="1797" t="s">
        <v>1588</v>
      </c>
      <c r="F18" s="1798" t="s">
        <v>1589</v>
      </c>
      <c r="G18" s="1799" t="s">
        <v>1590</v>
      </c>
      <c r="H18" s="1153" t="s">
        <v>1591</v>
      </c>
      <c r="I18" s="1800" t="s">
        <v>1592</v>
      </c>
      <c r="J18" s="1254"/>
      <c r="K18" s="1153" t="s">
        <v>1593</v>
      </c>
      <c r="L18" s="1801" t="s">
        <v>1594</v>
      </c>
      <c r="M18" s="945" t="s">
        <v>1595</v>
      </c>
      <c r="N18" s="1153" t="s">
        <v>1593</v>
      </c>
      <c r="O18" s="1801" t="s">
        <v>1594</v>
      </c>
      <c r="P18" s="945" t="s">
        <v>1595</v>
      </c>
      <c r="R18" s="1138" t="s">
        <v>1596</v>
      </c>
      <c r="S18" s="1138" t="s">
        <v>1597</v>
      </c>
    </row>
    <row r="19" spans="1:19">
      <c r="A19" s="1802"/>
      <c r="B19" s="50" t="s">
        <v>1570</v>
      </c>
      <c r="C19" s="3239" t="s">
        <v>3560</v>
      </c>
      <c r="D19" s="48">
        <f>ROUND($D$3*E19/$E$3,2)</f>
        <v>24498.84</v>
      </c>
      <c r="E19" s="56">
        <f t="shared" ref="E19:E26" si="1">SUM(F19:G19)</f>
        <v>119963.53</v>
      </c>
      <c r="F19" s="2975">
        <f>'数据-基础表'!I13</f>
        <v>85551.93</v>
      </c>
      <c r="G19" s="2976">
        <f>'数据-基础表'!K13+'数据-基础表'!M13</f>
        <v>34411.600000000006</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4"/>
      <c r="O19" s="1805"/>
      <c r="P19" s="1265">
        <f>N19+O19</f>
        <v>0</v>
      </c>
      <c r="R19" s="1138">
        <f t="shared" ref="R19:S26" si="5">D19+H19</f>
        <v>24498.84</v>
      </c>
      <c r="S19" s="1139">
        <f t="shared" si="5"/>
        <v>119963.53</v>
      </c>
    </row>
    <row r="20" spans="1:19">
      <c r="A20" s="1806"/>
      <c r="B20" s="50" t="s">
        <v>1598</v>
      </c>
      <c r="C20" s="1803"/>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4"/>
      <c r="O20" s="1805"/>
      <c r="P20" s="1265">
        <f t="shared" ref="P20:P26" si="9">N20+O20</f>
        <v>0</v>
      </c>
      <c r="R20" s="1138">
        <f t="shared" si="5"/>
        <v>0</v>
      </c>
      <c r="S20" s="1139">
        <f t="shared" si="5"/>
        <v>0</v>
      </c>
    </row>
    <row r="21" spans="1:19">
      <c r="A21" s="1806"/>
      <c r="B21" s="50" t="s">
        <v>1598</v>
      </c>
      <c r="C21" s="1803"/>
      <c r="D21" s="48">
        <f t="shared" si="6"/>
        <v>0</v>
      </c>
      <c r="E21" s="56">
        <f t="shared" si="1"/>
        <v>0</v>
      </c>
      <c r="F21" s="2975"/>
      <c r="G21" s="2976"/>
      <c r="H21" s="679">
        <f t="shared" si="7"/>
        <v>0</v>
      </c>
      <c r="I21" s="51">
        <f t="shared" si="2"/>
        <v>0</v>
      </c>
      <c r="J21" s="1254"/>
      <c r="K21" s="1253">
        <f t="shared" si="3"/>
        <v>0</v>
      </c>
      <c r="L21" s="1138">
        <f t="shared" si="4"/>
        <v>0</v>
      </c>
      <c r="M21" s="1265">
        <f t="shared" si="8"/>
        <v>0</v>
      </c>
      <c r="N21" s="1804"/>
      <c r="O21" s="1805"/>
      <c r="P21" s="1265">
        <f t="shared" si="9"/>
        <v>0</v>
      </c>
      <c r="R21" s="1138">
        <f t="shared" si="5"/>
        <v>0</v>
      </c>
      <c r="S21" s="1139">
        <f t="shared" si="5"/>
        <v>0</v>
      </c>
    </row>
    <row r="22" spans="1:19">
      <c r="A22" s="1806"/>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0</v>
      </c>
    </row>
    <row r="23" spans="1:19">
      <c r="A23" s="1806"/>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15.75" thickBot="1">
      <c r="A27" s="1806"/>
      <c r="B27" s="48"/>
      <c r="C27" s="1809" t="s">
        <v>1599</v>
      </c>
      <c r="D27" s="1255">
        <f>SUM(D19:D26)</f>
        <v>24498.84</v>
      </c>
      <c r="E27" s="1256">
        <f>IF(SUM(E19:E26)='数据-基础表'!BA5,SUM(E19:E26),IF(F27="地上面积有误","面积有误","地下面积有误"))</f>
        <v>119963.53</v>
      </c>
      <c r="F27" s="1255">
        <f>IF(SUM(F19:F26)=E8,SUM(F19:F26),"地上面积有误")</f>
        <v>85551.93</v>
      </c>
      <c r="G27" s="1257">
        <f>SUM(G19:G26)</f>
        <v>34411.600000000006</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24498.84</v>
      </c>
      <c r="S27" s="1138">
        <f>IF(SUM(S19:S26)=$E$3,SUM(S19:S26),SUM(S19:S26)&amp;"误差"&amp;ROUND(SUM(S19:S26)-E3,2))</f>
        <v>119963.53</v>
      </c>
    </row>
    <row r="28" spans="1:19">
      <c r="A28" s="1806"/>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2"/>
      <c r="B31" s="1813"/>
      <c r="C31" s="925" t="s">
        <v>1603</v>
      </c>
      <c r="D31" s="685">
        <f>D27+D30</f>
        <v>24498.84</v>
      </c>
      <c r="E31" s="685">
        <f>E27+E30</f>
        <v>119963.53</v>
      </c>
      <c r="F31" s="686">
        <f>F27+F30</f>
        <v>85551.93</v>
      </c>
      <c r="G31" s="687">
        <f>G27+G30</f>
        <v>34411.600000000006</v>
      </c>
      <c r="H31" s="2835"/>
      <c r="I31" s="2835"/>
      <c r="J31" s="2835"/>
      <c r="K31" s="2835"/>
      <c r="L31" s="2835"/>
      <c r="M31" s="2835"/>
      <c r="N31" s="2835"/>
      <c r="O31" s="2835"/>
      <c r="P31" s="2835"/>
    </row>
    <row r="32" spans="1:19">
      <c r="A32" s="1778"/>
      <c r="B32" s="1778" t="s">
        <v>1604</v>
      </c>
      <c r="C32" s="1778"/>
      <c r="D32" s="1778"/>
      <c r="E32" s="1165">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S37" sqref="S37"/>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3" width="7.25" style="1818" customWidth="1"/>
    <col min="34" max="34" width="10.37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7">
        <f>项目基本情况!D3</f>
        <v>44827</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9" t="s">
        <v>1617</v>
      </c>
      <c r="F5" s="1835" t="s">
        <v>1618</v>
      </c>
      <c r="G5" s="1159" t="s">
        <v>1619</v>
      </c>
      <c r="H5" s="1159" t="s">
        <v>1620</v>
      </c>
      <c r="I5" s="1159" t="s">
        <v>1621</v>
      </c>
      <c r="J5" s="1836" t="s">
        <v>1622</v>
      </c>
      <c r="K5" s="1837" t="s">
        <v>1623</v>
      </c>
      <c r="L5" s="1838" t="s">
        <v>1624</v>
      </c>
      <c r="M5" s="1839" t="s">
        <v>1625</v>
      </c>
      <c r="N5" s="1840" t="s">
        <v>3561</v>
      </c>
      <c r="O5" s="1838" t="s">
        <v>1626</v>
      </c>
      <c r="P5" s="1841" t="s">
        <v>1627</v>
      </c>
      <c r="Q5" s="65" t="s">
        <v>1628</v>
      </c>
      <c r="R5" s="1842" t="s">
        <v>1629</v>
      </c>
      <c r="S5" s="1843" t="s">
        <v>1630</v>
      </c>
      <c r="T5" s="1844" t="s">
        <v>1631</v>
      </c>
      <c r="U5" s="1158" t="s">
        <v>1632</v>
      </c>
      <c r="V5" s="1159" t="s">
        <v>1633</v>
      </c>
      <c r="W5" s="1159" t="s">
        <v>1634</v>
      </c>
      <c r="X5" s="67"/>
      <c r="Y5" s="66" t="s">
        <v>1635</v>
      </c>
      <c r="Z5" s="1845" t="s">
        <v>1632</v>
      </c>
      <c r="AA5" s="1159" t="s">
        <v>1633</v>
      </c>
      <c r="AB5" s="1159" t="s">
        <v>1634</v>
      </c>
      <c r="AC5" s="67"/>
      <c r="AD5" s="67" t="s">
        <v>1635</v>
      </c>
      <c r="AE5" s="1158" t="s">
        <v>1636</v>
      </c>
      <c r="AF5" s="1159" t="s">
        <v>1637</v>
      </c>
      <c r="AG5" s="66" t="s">
        <v>1638</v>
      </c>
      <c r="AH5" s="1158" t="s">
        <v>1639</v>
      </c>
      <c r="AI5" s="1845" t="s">
        <v>1640</v>
      </c>
      <c r="AJ5" s="1845" t="s">
        <v>1641</v>
      </c>
      <c r="AK5" s="1159" t="s">
        <v>1642</v>
      </c>
      <c r="AL5" s="1159" t="s">
        <v>1643</v>
      </c>
      <c r="AM5" s="66" t="s">
        <v>1644</v>
      </c>
      <c r="AN5" s="1846" t="s">
        <v>1645</v>
      </c>
      <c r="AO5" s="1697" t="s">
        <v>1646</v>
      </c>
      <c r="AP5" s="1140"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龙湖</v>
      </c>
      <c r="B6" s="1849" t="str">
        <f>IF(A6=0,"","经营性")</f>
        <v>经营性</v>
      </c>
      <c r="C6" s="1850" t="s">
        <v>1102</v>
      </c>
      <c r="D6" s="948">
        <f>SUMIF(项目基本情况!D$12:I$12,C6,项目基本情况!D$14:I$14)</f>
        <v>40</v>
      </c>
      <c r="E6" s="947">
        <f>IF(B6="","",SUMIF(项目基本情况!D$12:I$12,C6,项目基本情况!D$13:I$13))</f>
        <v>55485</v>
      </c>
      <c r="F6" s="68">
        <f>SUMIF(项目基本情况!D$12:I$12,C6,项目基本情况!D$15:I$15)</f>
        <v>29.2</v>
      </c>
      <c r="G6" s="69">
        <f>IF(ISERROR(ROUND(POWER(1+H6,D6-F6)*(POWER(1+H6,F6)-1)/(POWER(1+H6,D6)-1),3)),0,ROUND(POWER(1+H6,D6-F6)*(POWER(1+H6,F6)-1)/(POWER(1+H6,D6)-1),3))</f>
        <v>0.88500000000000001</v>
      </c>
      <c r="H6" s="741">
        <v>0.05</v>
      </c>
      <c r="I6" s="741">
        <v>5.5E-2</v>
      </c>
      <c r="J6" s="70">
        <v>7.0000000000000007E-2</v>
      </c>
      <c r="K6" s="1142">
        <f>SUMIF('数据-汇总表'!C$19:C$33,A6,'数据-汇总表'!E$19:E$33)</f>
        <v>119963.53</v>
      </c>
      <c r="L6" s="742">
        <v>6000</v>
      </c>
      <c r="M6" s="71">
        <f t="shared" ref="M6:M14" si="0">ROUND(K6*L6/10000,0)</f>
        <v>71978</v>
      </c>
      <c r="N6" s="740">
        <f>N21</f>
        <v>0.9</v>
      </c>
      <c r="O6" s="71" t="str">
        <f>IF($N$5="成新度","——",ROUND(M6*N6,0))</f>
        <v>——</v>
      </c>
      <c r="P6" s="72" t="str">
        <f>IF($N$5="成新度","——",M6-O6)</f>
        <v>——</v>
      </c>
      <c r="Q6" s="743">
        <v>0.2</v>
      </c>
      <c r="R6" s="73">
        <f ca="1">SUMIF('数据-汇总表'!C$19:C$33,A6,'数据-汇总表'!R$19:R$27)</f>
        <v>24498.84</v>
      </c>
      <c r="S6" s="54">
        <f>IF('数据-汇总表'!$I$17="按面积比例",SUMIF('数据-汇总表'!C$19:C$33,A6,'数据-汇总表'!K$19:K$33),SUMIF('数据-汇总表'!C$19:C$33,A6,'数据-汇总表'!N$19:N$33))</f>
        <v>0</v>
      </c>
      <c r="T6" s="1287">
        <f>ROUND($L$14*S6/10000,0)</f>
        <v>0</v>
      </c>
      <c r="U6" s="74">
        <v>5.5</v>
      </c>
      <c r="V6" s="75">
        <v>2.5000000000000001E-2</v>
      </c>
      <c r="W6" s="75">
        <v>0.1</v>
      </c>
      <c r="X6" s="1152"/>
      <c r="Y6" s="76">
        <f>N6</f>
        <v>0.9</v>
      </c>
      <c r="Z6" s="77"/>
      <c r="AA6" s="70"/>
      <c r="AB6" s="70"/>
      <c r="AC6" s="1152"/>
      <c r="AD6" s="78"/>
      <c r="AE6" s="1153">
        <f ca="1">IF(AN6="",0,SUMIF(INDIRECT("'"&amp;AN6&amp;"'"&amp;"!E:E"),$AE$5,INDIRECT("'"&amp;AN6&amp;"'"&amp;"!F:F")))</f>
        <v>29.2</v>
      </c>
      <c r="AF6" s="1482"/>
      <c r="AG6" s="143">
        <f>IF(AF6="",0,AE6-AF6)</f>
        <v>0</v>
      </c>
      <c r="AH6" s="79">
        <v>103688.47</v>
      </c>
      <c r="AI6" s="81">
        <v>365</v>
      </c>
      <c r="AJ6" s="82"/>
      <c r="AK6" s="83">
        <v>0.01</v>
      </c>
      <c r="AL6" s="84">
        <v>1E-3</v>
      </c>
      <c r="AM6" s="85">
        <v>0.01</v>
      </c>
      <c r="AN6" s="1851" t="s">
        <v>3562</v>
      </c>
      <c r="AO6" s="55">
        <f ca="1">SUMIF(INDIRECT("'"&amp;AN6&amp;"'"&amp;"!A:A"),"总价",INDIRECT("'"&amp;AN6&amp;"'"&amp;"!B:B"))</f>
        <v>276353</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3"/>
      <c r="D16" s="1856"/>
      <c r="E16" s="93"/>
      <c r="F16" s="93"/>
      <c r="G16" s="94">
        <f>ROUND(SUMPRODUCT(G6:G13,K6:K13)/SUMPRODUCT((G6:G13&gt;0)*(K6:K13)),3)</f>
        <v>0.88500000000000001</v>
      </c>
      <c r="H16" s="95">
        <f>ROUND(SUMPRODUCT(H6:H13,K6:K13)/SUMPRODUCT((H6:H13&gt;0)*(K6:K13)),3)</f>
        <v>0.05</v>
      </c>
      <c r="I16" s="96"/>
      <c r="J16" s="96"/>
      <c r="K16" s="97">
        <f>SUM(K6:K15)</f>
        <v>119963.53</v>
      </c>
      <c r="L16" s="98">
        <f>ROUND(M16*10000/SUM(K6:K14),0)</f>
        <v>6000</v>
      </c>
      <c r="M16" s="98">
        <f>SUM(M6:M14)</f>
        <v>71978</v>
      </c>
      <c r="N16" s="99">
        <f>ROUND(SUMPRODUCT(M6:M14,N6:N14)/M16,3)</f>
        <v>0.9</v>
      </c>
      <c r="O16" s="98">
        <f>SUM(O6:O14)</f>
        <v>0</v>
      </c>
      <c r="P16" s="98">
        <f>SUM(P6:P14)</f>
        <v>0</v>
      </c>
      <c r="Q16" s="100">
        <f>ROUND(SUMPRODUCT(Q6:Q13,K6:K13)/SUMPRODUCT((Q6:Q13&gt;0)*(K6:K13)),2)</f>
        <v>0.2</v>
      </c>
      <c r="R16" s="1146">
        <f ca="1">SUM(R6:R13)</f>
        <v>24498.84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8">
        <v>0</v>
      </c>
      <c r="C19" s="2979" t="s">
        <v>2805</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9">
        <v>2</v>
      </c>
      <c r="C20" s="2980" t="s">
        <v>2803</v>
      </c>
      <c r="D20" s="2854"/>
      <c r="E20" s="2851"/>
      <c r="F20" s="2851"/>
      <c r="G20" s="2851"/>
      <c r="H20" s="2851"/>
      <c r="I20" s="2851"/>
      <c r="J20" s="2851"/>
      <c r="K20" s="2850"/>
      <c r="L20" s="2850"/>
      <c r="M20" s="2849"/>
      <c r="N20" s="2849">
        <v>2016</v>
      </c>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9">
        <v>2</v>
      </c>
      <c r="C21" s="2851"/>
      <c r="D21" s="2854"/>
      <c r="E21" s="2851"/>
      <c r="F21" s="2851"/>
      <c r="G21" s="2851"/>
      <c r="H21" s="2851"/>
      <c r="I21" s="2851"/>
      <c r="J21" s="2851"/>
      <c r="K21" s="2850"/>
      <c r="L21" s="2850"/>
      <c r="M21" s="2849"/>
      <c r="N21" s="2849">
        <f>ROUND(1-(2022-2016)/60,2)</f>
        <v>0.9</v>
      </c>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10">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2"/>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1667</v>
      </c>
      <c r="B29" s="117">
        <f ca="1">成本法!C10</f>
        <v>2399</v>
      </c>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1671</v>
      </c>
      <c r="B33" s="682">
        <v>0.03</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1672</v>
      </c>
      <c r="B34" s="118">
        <v>0.05</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1673</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20">
        <v>0.02</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8">
        <v>0.02</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3563</v>
      </c>
      <c r="B40" s="1191">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1">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3">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4">
        <v>0.05</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9">
        <f>SUMIF(A54:A63,B53,B54:B63)</f>
        <v>1.5</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56</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2"/>
  </cols>
  <sheetData>
    <row r="1" spans="1:29" s="2632" customFormat="1" ht="18.75" thickBot="1">
      <c r="A1" s="3354" t="s">
        <v>2786</v>
      </c>
      <c r="B1" s="3355"/>
      <c r="C1" s="3355"/>
      <c r="D1" s="3355"/>
      <c r="E1" s="3355"/>
      <c r="F1" s="3355"/>
      <c r="G1" s="3355"/>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8"/>
      <c r="I2" s="888"/>
      <c r="J2" s="888"/>
      <c r="K2" s="888"/>
      <c r="L2" s="888"/>
      <c r="M2" s="888"/>
      <c r="N2" s="888"/>
      <c r="O2" s="888"/>
      <c r="P2" s="888"/>
      <c r="Q2" s="888"/>
      <c r="R2" s="888"/>
    </row>
    <row r="3" spans="1:29" ht="48">
      <c r="A3" s="2616" t="s">
        <v>2783</v>
      </c>
      <c r="B3" s="2638" t="s">
        <v>2752</v>
      </c>
      <c r="C3" s="2639" t="s">
        <v>2784</v>
      </c>
      <c r="D3" s="2640"/>
      <c r="E3" s="2617" t="s">
        <v>2783</v>
      </c>
      <c r="F3" s="2641" t="s">
        <v>2753</v>
      </c>
      <c r="G3" s="2642" t="s">
        <v>2785</v>
      </c>
      <c r="H3" s="888"/>
      <c r="I3" s="888"/>
      <c r="J3" s="888"/>
      <c r="K3" s="888"/>
      <c r="L3" s="888"/>
      <c r="M3" s="888"/>
      <c r="N3" s="888"/>
      <c r="O3" s="888"/>
      <c r="P3" s="888"/>
      <c r="Q3" s="888"/>
      <c r="R3" s="888"/>
    </row>
    <row r="4" spans="1:29" ht="36.75">
      <c r="A4" s="2617"/>
      <c r="B4" s="329" t="s">
        <v>2754</v>
      </c>
      <c r="C4" s="2643" t="s">
        <v>2755</v>
      </c>
      <c r="D4" s="2640"/>
      <c r="E4" s="2644"/>
      <c r="F4" s="1507" t="s">
        <v>2756</v>
      </c>
      <c r="G4" s="2645" t="s">
        <v>2757</v>
      </c>
      <c r="H4" s="888"/>
      <c r="I4" s="888"/>
      <c r="J4" s="888"/>
      <c r="K4" s="888"/>
      <c r="L4" s="888"/>
      <c r="M4" s="888"/>
      <c r="N4" s="888"/>
      <c r="O4" s="888"/>
      <c r="P4" s="888"/>
      <c r="Q4" s="888"/>
      <c r="R4" s="888"/>
    </row>
    <row r="5" spans="1:29" ht="36.75">
      <c r="A5" s="2617"/>
      <c r="B5" s="329" t="s">
        <v>2758</v>
      </c>
      <c r="C5" s="2643" t="s">
        <v>2759</v>
      </c>
      <c r="D5" s="2640"/>
      <c r="E5" s="2644"/>
      <c r="F5" s="329" t="s">
        <v>2760</v>
      </c>
      <c r="G5" s="2645" t="s">
        <v>2761</v>
      </c>
      <c r="H5" s="888"/>
      <c r="I5" s="888"/>
      <c r="J5" s="888"/>
      <c r="K5" s="888"/>
      <c r="L5" s="888"/>
      <c r="M5" s="888"/>
      <c r="N5" s="888"/>
      <c r="O5" s="888"/>
      <c r="P5" s="888"/>
      <c r="Q5" s="888"/>
      <c r="R5" s="888"/>
    </row>
    <row r="6" spans="1:29" ht="36">
      <c r="A6" s="2617"/>
      <c r="B6" s="329" t="s">
        <v>2762</v>
      </c>
      <c r="C6" s="2645" t="s">
        <v>2757</v>
      </c>
      <c r="D6" s="2640"/>
      <c r="E6" s="2644"/>
      <c r="F6" s="329" t="s">
        <v>2763</v>
      </c>
      <c r="G6" s="2645" t="s">
        <v>2764</v>
      </c>
      <c r="H6" s="888"/>
      <c r="I6" s="888"/>
      <c r="J6" s="888"/>
      <c r="K6" s="888"/>
      <c r="L6" s="888"/>
      <c r="M6" s="888"/>
      <c r="N6" s="888"/>
      <c r="O6" s="888"/>
      <c r="P6" s="888"/>
      <c r="Q6" s="888"/>
      <c r="R6" s="888"/>
    </row>
    <row r="7" spans="1:29" ht="24.75" thickBot="1">
      <c r="A7" s="2617"/>
      <c r="B7" s="329" t="s">
        <v>2760</v>
      </c>
      <c r="C7" s="2645" t="s">
        <v>2761</v>
      </c>
      <c r="D7" s="2646"/>
      <c r="E7" s="2647"/>
      <c r="F7" s="2648" t="s">
        <v>2765</v>
      </c>
      <c r="G7" s="2649" t="s">
        <v>2766</v>
      </c>
      <c r="H7" s="888"/>
      <c r="I7" s="888"/>
      <c r="J7" s="888"/>
      <c r="K7" s="888"/>
      <c r="L7" s="888"/>
      <c r="M7" s="888"/>
      <c r="N7" s="888"/>
      <c r="O7" s="888"/>
      <c r="P7" s="888"/>
      <c r="Q7" s="888"/>
      <c r="R7" s="888"/>
    </row>
    <row r="8" spans="1:29">
      <c r="A8" s="2617"/>
      <c r="B8" s="329" t="s">
        <v>2763</v>
      </c>
      <c r="C8" s="2645" t="s">
        <v>2764</v>
      </c>
      <c r="D8" s="2646"/>
      <c r="E8" s="2646"/>
      <c r="F8" s="2650"/>
      <c r="G8" s="2650"/>
      <c r="H8" s="888"/>
      <c r="I8" s="888"/>
      <c r="J8" s="888"/>
      <c r="K8" s="888"/>
      <c r="L8" s="888"/>
      <c r="M8" s="888"/>
      <c r="N8" s="888"/>
      <c r="O8" s="888"/>
      <c r="P8" s="888"/>
      <c r="Q8" s="888"/>
      <c r="R8" s="888"/>
    </row>
    <row r="9" spans="1:29" ht="24">
      <c r="A9" s="2617"/>
      <c r="B9" s="329" t="s">
        <v>2767</v>
      </c>
      <c r="C9" s="2643" t="s">
        <v>2768</v>
      </c>
      <c r="D9" s="2640"/>
      <c r="E9" s="2646"/>
      <c r="F9" s="2650"/>
      <c r="G9" s="2650"/>
      <c r="H9" s="888"/>
      <c r="I9" s="888"/>
      <c r="J9" s="888"/>
      <c r="K9" s="888"/>
      <c r="L9" s="888"/>
      <c r="M9" s="888"/>
      <c r="N9" s="888"/>
      <c r="O9" s="888"/>
      <c r="P9" s="888"/>
      <c r="Q9" s="888"/>
      <c r="R9" s="888"/>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8" customFormat="1" ht="15"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8" customFormat="1" ht="15"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119963.53</v>
      </c>
      <c r="C1" s="2864"/>
      <c r="D1" s="2864"/>
      <c r="E1" s="2864"/>
      <c r="F1" s="2864"/>
      <c r="G1" s="2865"/>
      <c r="H1" s="2866"/>
      <c r="I1" s="2866"/>
      <c r="J1" s="2866"/>
      <c r="K1" s="2866"/>
    </row>
    <row r="2" spans="1:11" ht="16.5">
      <c r="A2" s="2687" t="s">
        <v>1078</v>
      </c>
      <c r="B2" s="2687">
        <f>SUM(C14:C23)</f>
        <v>24498.84</v>
      </c>
      <c r="C2" s="2864"/>
      <c r="D2" s="2864"/>
      <c r="E2" s="2864"/>
      <c r="F2" s="2864"/>
      <c r="G2" s="2865"/>
      <c r="H2" s="2866"/>
      <c r="I2" s="2866"/>
      <c r="J2" s="2866"/>
      <c r="K2" s="2866"/>
    </row>
    <row r="3" spans="1:11" ht="16.5">
      <c r="A3" s="2687" t="s">
        <v>1087</v>
      </c>
      <c r="B3" s="2689">
        <f>项目基本情况!D3</f>
        <v>44827</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272419</v>
      </c>
      <c r="C5" s="2687">
        <f ca="1">ROUND(B5*10000/$B$1,0)</f>
        <v>22708</v>
      </c>
      <c r="D5" s="2687">
        <f ca="1">ROUND(B5*10000/$B$2,0)</f>
        <v>111197</v>
      </c>
      <c r="E5" s="2864"/>
      <c r="F5" s="2865"/>
      <c r="G5" s="2865"/>
      <c r="H5" s="2866"/>
      <c r="I5" s="2866"/>
      <c r="J5" s="2866"/>
      <c r="K5" s="2866"/>
    </row>
    <row r="6" spans="1:11" ht="16.5">
      <c r="A6" s="2687" t="s">
        <v>1081</v>
      </c>
      <c r="B6" s="2687">
        <f ca="1">SUM(G14:G23)</f>
        <v>272419</v>
      </c>
      <c r="C6" s="2687">
        <f ca="1">ROUND(B6*10000/$B$1,0)</f>
        <v>22708</v>
      </c>
      <c r="D6" s="2687">
        <f ca="1">ROUND(B6*10000/$B$2,0)</f>
        <v>111197</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119963.53</v>
      </c>
      <c r="C14" s="2693">
        <f>结果表!C118</f>
        <v>24498.84</v>
      </c>
      <c r="D14" s="2693">
        <f ca="1">结果表!H118</f>
        <v>272419</v>
      </c>
      <c r="E14" s="2693">
        <f ca="1">ROUND(D14*10000/B14,0)</f>
        <v>22708</v>
      </c>
      <c r="F14" s="2693">
        <f ca="1">ROUND(D14*10000/C14,0)</f>
        <v>111197</v>
      </c>
      <c r="G14" s="2693">
        <f ca="1">结果表!D122</f>
        <v>272419</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K35" sqref="K35"/>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390" t="str">
        <f>项目基本情况!S2</f>
        <v>北京市房地产</v>
      </c>
      <c r="B2" s="3391"/>
      <c r="C2" s="3391"/>
      <c r="D2" s="3391"/>
      <c r="E2" s="3391"/>
      <c r="F2" s="3391"/>
      <c r="G2" s="3391"/>
      <c r="H2" s="3391"/>
      <c r="I2" s="3392"/>
    </row>
    <row r="3" spans="1:12" ht="12.75">
      <c r="A3" s="3394" t="s">
        <v>1709</v>
      </c>
      <c r="B3" s="3395"/>
      <c r="C3" s="3395"/>
      <c r="D3" s="3395"/>
      <c r="E3" s="3395"/>
      <c r="F3" s="3395"/>
      <c r="G3" s="3395"/>
      <c r="H3" s="3395"/>
      <c r="I3" s="3395"/>
    </row>
    <row r="4" spans="1:12" ht="14.25">
      <c r="A4" s="1890" t="s">
        <v>1710</v>
      </c>
      <c r="B4" s="1891" t="s">
        <v>1711</v>
      </c>
      <c r="C4" s="1892" t="s">
        <v>3572</v>
      </c>
      <c r="D4" s="1892" t="s">
        <v>3562</v>
      </c>
      <c r="E4" s="3396" t="s">
        <v>1712</v>
      </c>
      <c r="F4" s="3397"/>
      <c r="G4" s="3397"/>
      <c r="H4" s="3397"/>
      <c r="I4" s="339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0" t="s">
        <v>1713</v>
      </c>
      <c r="B5" s="3357">
        <v>25</v>
      </c>
      <c r="C5" s="3373"/>
      <c r="D5" s="3393"/>
      <c r="E5" s="136" t="s">
        <v>1714</v>
      </c>
      <c r="F5" s="1893"/>
      <c r="G5" s="1893"/>
      <c r="H5" s="1893"/>
      <c r="I5" s="1507"/>
    </row>
    <row r="6" spans="1:12" ht="12.75">
      <c r="A6" s="3370"/>
      <c r="B6" s="3357"/>
      <c r="C6" s="3374"/>
      <c r="D6" s="3393"/>
      <c r="E6" s="136" t="s">
        <v>1715</v>
      </c>
      <c r="F6" s="1893"/>
      <c r="G6" s="1893"/>
      <c r="H6" s="1893"/>
      <c r="I6" s="1507"/>
    </row>
    <row r="7" spans="1:12" ht="12.75">
      <c r="A7" s="3370"/>
      <c r="B7" s="3357"/>
      <c r="C7" s="3375"/>
      <c r="D7" s="3393"/>
      <c r="E7" s="136" t="s">
        <v>1716</v>
      </c>
      <c r="F7" s="1893"/>
      <c r="G7" s="1893"/>
      <c r="H7" s="1893"/>
      <c r="I7" s="1507"/>
    </row>
    <row r="8" spans="1:12" ht="12.75">
      <c r="A8" s="3370" t="s">
        <v>1717</v>
      </c>
      <c r="B8" s="3357">
        <v>15</v>
      </c>
      <c r="C8" s="3373"/>
      <c r="D8" s="3393"/>
      <c r="E8" s="136" t="s">
        <v>1718</v>
      </c>
      <c r="F8" s="1893"/>
      <c r="G8" s="1893"/>
      <c r="H8" s="1893"/>
      <c r="I8" s="1507"/>
    </row>
    <row r="9" spans="1:12" ht="12.75">
      <c r="A9" s="3370"/>
      <c r="B9" s="3357"/>
      <c r="C9" s="3375"/>
      <c r="D9" s="3393"/>
      <c r="E9" s="136" t="s">
        <v>1719</v>
      </c>
      <c r="F9" s="1893"/>
      <c r="G9" s="1893"/>
      <c r="H9" s="1893"/>
      <c r="I9" s="1507"/>
    </row>
    <row r="10" spans="1:12" ht="12.75">
      <c r="A10" s="3370" t="s">
        <v>1720</v>
      </c>
      <c r="B10" s="3357">
        <v>15</v>
      </c>
      <c r="C10" s="3373"/>
      <c r="D10" s="3393"/>
      <c r="E10" s="136" t="s">
        <v>1721</v>
      </c>
      <c r="F10" s="1893"/>
      <c r="G10" s="1893"/>
      <c r="H10" s="1893"/>
      <c r="I10" s="1507"/>
    </row>
    <row r="11" spans="1:12" ht="12.75">
      <c r="A11" s="3370"/>
      <c r="B11" s="3357"/>
      <c r="C11" s="3375"/>
      <c r="D11" s="3393"/>
      <c r="E11" s="136" t="s">
        <v>1722</v>
      </c>
      <c r="F11" s="1893"/>
      <c r="G11" s="1893"/>
      <c r="H11" s="1893"/>
      <c r="I11" s="1507"/>
    </row>
    <row r="12" spans="1:12" ht="12.75">
      <c r="A12" s="3370" t="s">
        <v>1723</v>
      </c>
      <c r="B12" s="3357">
        <v>15</v>
      </c>
      <c r="C12" s="3373"/>
      <c r="D12" s="3393"/>
      <c r="E12" s="136" t="s">
        <v>1724</v>
      </c>
      <c r="F12" s="1893"/>
      <c r="G12" s="1893"/>
      <c r="H12" s="1893"/>
      <c r="I12" s="1507"/>
    </row>
    <row r="13" spans="1:12" ht="12.75">
      <c r="A13" s="3370"/>
      <c r="B13" s="3357"/>
      <c r="C13" s="3375"/>
      <c r="D13" s="3393"/>
      <c r="E13" s="136" t="s">
        <v>1725</v>
      </c>
      <c r="F13" s="1893"/>
      <c r="G13" s="1893"/>
      <c r="H13" s="1893"/>
      <c r="I13" s="1507"/>
    </row>
    <row r="14" spans="1:12" ht="12.75">
      <c r="A14" s="3370" t="s">
        <v>1726</v>
      </c>
      <c r="B14" s="3357">
        <v>30</v>
      </c>
      <c r="C14" s="3373">
        <v>5</v>
      </c>
      <c r="D14" s="3393">
        <v>5</v>
      </c>
      <c r="E14" s="136" t="s">
        <v>1727</v>
      </c>
      <c r="F14" s="1893"/>
      <c r="G14" s="1893"/>
      <c r="H14" s="1893"/>
      <c r="I14" s="1507"/>
    </row>
    <row r="15" spans="1:12" ht="12.75">
      <c r="A15" s="3370"/>
      <c r="B15" s="3357"/>
      <c r="C15" s="3374"/>
      <c r="D15" s="3393"/>
      <c r="E15" s="136" t="s">
        <v>1728</v>
      </c>
      <c r="F15" s="1893"/>
      <c r="G15" s="1893"/>
      <c r="H15" s="1893"/>
      <c r="I15" s="1507"/>
    </row>
    <row r="16" spans="1:12" ht="12.75">
      <c r="A16" s="3370"/>
      <c r="B16" s="3357"/>
      <c r="C16" s="3375"/>
      <c r="D16" s="3393"/>
      <c r="E16" s="136" t="s">
        <v>1729</v>
      </c>
      <c r="F16" s="1893"/>
      <c r="G16" s="1893"/>
      <c r="H16" s="1893"/>
      <c r="I16" s="1507"/>
    </row>
    <row r="17" spans="1:36" ht="15">
      <c r="A17" s="1894" t="s">
        <v>1730</v>
      </c>
      <c r="B17" s="60"/>
      <c r="C17" s="137">
        <f>SUM(C5:C16)</f>
        <v>5</v>
      </c>
      <c r="D17" s="137">
        <f>SUM(D5:D16)</f>
        <v>5</v>
      </c>
      <c r="E17" s="134"/>
      <c r="F17" s="134"/>
      <c r="G17" s="134"/>
      <c r="H17" s="134"/>
      <c r="I17" s="134"/>
      <c r="K17" s="308"/>
      <c r="L17" s="308" t="s">
        <v>1731</v>
      </c>
      <c r="M17" s="308" t="s">
        <v>1732</v>
      </c>
    </row>
    <row r="18" spans="1:36" ht="31.9" customHeight="1" thickBot="1">
      <c r="A18" s="1895" t="s">
        <v>1733</v>
      </c>
      <c r="B18" s="1896"/>
      <c r="C18" s="138">
        <f>ROUND(C17/SUM(C17:D17),2)</f>
        <v>0.5</v>
      </c>
      <c r="D18" s="138">
        <f>1-C18</f>
        <v>0.5</v>
      </c>
      <c r="E18" s="3380" t="s">
        <v>2631</v>
      </c>
      <c r="F18" s="3381"/>
      <c r="G18" s="3381"/>
      <c r="H18" s="3381"/>
      <c r="I18" s="3381"/>
      <c r="K18" s="308" t="s">
        <v>1734</v>
      </c>
      <c r="L18" s="308">
        <f>IF(C1="",'数据-汇总表'!E3,SUMIF(项目类型,C1,'数据-汇总表'!E17:E26)+SUMIF(项目类型,C1,'数据-汇总表'!I17:I26))</f>
        <v>119963.53</v>
      </c>
      <c r="M18" s="308">
        <f>IF(C1="",'数据-汇总表'!E3,SUMIF(项目类型,C1,'数据-汇总表'!E17:E26))</f>
        <v>119963.53</v>
      </c>
    </row>
    <row r="19" spans="1:36" ht="15">
      <c r="A19" s="1897" t="s">
        <v>1735</v>
      </c>
      <c r="B19" s="1898" t="s">
        <v>1736</v>
      </c>
      <c r="C19" s="139">
        <f ca="1">SUMIF(INDIRECT("'"&amp;C4&amp;"'"&amp;"!A:A"),结果表!B19,INDIRECT("'"&amp;C4&amp;"'"&amp;"!B:B"))</f>
        <v>268485</v>
      </c>
      <c r="D19" s="140">
        <f ca="1">SUMIF(INDIRECT("'"&amp;D4&amp;"'"&amp;"!A:A"),结果表!B19,INDIRECT("'"&amp;D4&amp;"'"&amp;"!B:B"))</f>
        <v>276353</v>
      </c>
      <c r="E19" s="1897" t="s">
        <v>1737</v>
      </c>
      <c r="F19" s="1898" t="s">
        <v>1736</v>
      </c>
      <c r="G19" s="141">
        <f ca="1">ROUND(C19*$C$18+D19*$D$18,0)</f>
        <v>272419</v>
      </c>
      <c r="H19" s="1899" t="s">
        <v>1738</v>
      </c>
      <c r="I19" s="134"/>
      <c r="K19" s="308" t="s">
        <v>1739</v>
      </c>
      <c r="L19" s="308">
        <f>IF(C1="",'数据-汇总表'!D3,SUMIF(项目类型,C1,'数据-汇总表'!D17:D26)+SUMIF(项目类型,C1,'数据-汇总表'!H17:H27))</f>
        <v>24498.84</v>
      </c>
      <c r="M19" s="308">
        <f>IF(C1="",'数据-汇总表'!D3,SUMIF(项目类型,C1,'数据-汇总表'!D17:D26))</f>
        <v>24498.84</v>
      </c>
    </row>
    <row r="20" spans="1:36" ht="15">
      <c r="A20" s="1900"/>
      <c r="B20" s="1138" t="s">
        <v>1740</v>
      </c>
      <c r="C20" s="142">
        <f ca="1">SUMIF(INDIRECT("'"&amp;C4&amp;"'"&amp;"!A:A"),结果表!B20,INDIRECT("'"&amp;C4&amp;"'"&amp;"!B:B"))</f>
        <v>22381</v>
      </c>
      <c r="D20" s="143">
        <f ca="1">SUMIF(INDIRECT("'"&amp;D4&amp;"'"&amp;"!A:A"),结果表!B20,INDIRECT("'"&amp;D4&amp;"'"&amp;"!B:B"))</f>
        <v>23036</v>
      </c>
      <c r="E20" s="1900"/>
      <c r="F20" s="1138" t="s">
        <v>1740</v>
      </c>
      <c r="G20" s="144">
        <f ca="1">ROUND(C20*$C$18+D20*$D$18,0)</f>
        <v>22709</v>
      </c>
      <c r="H20" s="898" t="s">
        <v>1741</v>
      </c>
      <c r="I20" s="134"/>
    </row>
    <row r="21" spans="1:36" ht="15" customHeight="1" thickBot="1">
      <c r="A21" s="918"/>
      <c r="B21" s="1901" t="s">
        <v>1742</v>
      </c>
      <c r="C21" s="728">
        <f ca="1">ROUND(C19*10000/L19,0)</f>
        <v>109591</v>
      </c>
      <c r="D21" s="729">
        <f ca="1">ROUND(D19*10000/L19,0)</f>
        <v>112802</v>
      </c>
      <c r="E21" s="918"/>
      <c r="F21" s="1901" t="s">
        <v>1742</v>
      </c>
      <c r="G21" s="145">
        <f ca="1">ROUND(G19*10000/L19,0)</f>
        <v>111197</v>
      </c>
      <c r="H21" s="1902" t="s">
        <v>1741</v>
      </c>
      <c r="I21" s="134"/>
    </row>
    <row r="22" spans="1:36" ht="15" thickBot="1">
      <c r="A22" s="1824" t="s">
        <v>1743</v>
      </c>
      <c r="B22" s="1903"/>
      <c r="C22" s="1904"/>
      <c r="D22" s="730">
        <f ca="1">IF(C19&lt;D19,D19/C19-1,C19/D19-1)</f>
        <v>2.9305175335679889E-2</v>
      </c>
      <c r="E22" s="134"/>
      <c r="F22" s="134"/>
      <c r="G22" s="134"/>
      <c r="H22" s="134"/>
      <c r="I22" s="134"/>
    </row>
    <row r="23" spans="1:36" ht="13.5" thickBot="1">
      <c r="A23" s="1883"/>
      <c r="B23" s="1883"/>
      <c r="C23" s="1883"/>
      <c r="D23" s="1883"/>
      <c r="E23" s="134"/>
      <c r="F23" s="134"/>
      <c r="G23" s="134"/>
      <c r="H23" s="134"/>
      <c r="I23" s="134"/>
    </row>
    <row r="24" spans="1:36" ht="14.25">
      <c r="A24" s="3364" t="s">
        <v>1744</v>
      </c>
      <c r="B24" s="1898" t="s">
        <v>1736</v>
      </c>
      <c r="C24" s="141">
        <f>IF(B30=0,0,D30)</f>
        <v>0</v>
      </c>
      <c r="D24" s="1905"/>
      <c r="E24" s="134"/>
      <c r="F24" s="134"/>
      <c r="G24" s="134"/>
      <c r="H24" s="134"/>
      <c r="I24" s="134"/>
    </row>
    <row r="25" spans="1:36" ht="14.25">
      <c r="A25" s="3365"/>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272419</v>
      </c>
      <c r="D32" s="1911" t="s">
        <v>3573</v>
      </c>
      <c r="E32" s="134"/>
      <c r="F32" s="134"/>
      <c r="G32" s="134"/>
      <c r="H32" s="134"/>
      <c r="I32" s="134"/>
    </row>
    <row r="33" spans="1:15" ht="15">
      <c r="A33" s="875" t="s">
        <v>1751</v>
      </c>
      <c r="B33" s="1912"/>
      <c r="C33" s="1913" t="s">
        <v>3574</v>
      </c>
      <c r="D33" s="1914" t="s">
        <v>3572</v>
      </c>
      <c r="E33" s="1915" t="s">
        <v>1752</v>
      </c>
      <c r="F33" s="1916" t="str">
        <f>IF(D32="楼面单价","取值（单价）","取值（总价）")</f>
        <v>取值（总价）</v>
      </c>
      <c r="G33" s="134"/>
      <c r="H33" s="134"/>
      <c r="I33" s="134"/>
    </row>
    <row r="34" spans="1:15" ht="15">
      <c r="A34" s="1917"/>
      <c r="B34" s="1918" t="s">
        <v>1753</v>
      </c>
      <c r="C34" s="153">
        <f ca="1">IF(C33="自定义",F34,C32-C35)</f>
        <v>175165</v>
      </c>
      <c r="D34" s="951">
        <f ca="1">IF(C33="自定义",ROUND(C34/C32,3),IF(C33="收益比率",SUMIF(INDIRECT("'"&amp;D33&amp;"'"&amp;"!b:b"),"土地收益比率",INDIRECT("'"&amp;D33&amp;"'"&amp;"!c:c")),SUMIF(INDIRECT("'"&amp;D33&amp;"'"&amp;"!b:b"),"土地成本比率",INDIRECT("'"&amp;D33&amp;"'"&amp;"!c:c"))))</f>
        <v>0.64300000000000002</v>
      </c>
      <c r="E34" s="1919" t="s">
        <v>1754</v>
      </c>
      <c r="F34" s="1450"/>
      <c r="G34" s="134"/>
      <c r="H34" s="134"/>
      <c r="I34" s="134"/>
    </row>
    <row r="35" spans="1:15" ht="15.75" thickBot="1">
      <c r="A35" s="1920"/>
      <c r="B35" s="1921" t="s">
        <v>1755</v>
      </c>
      <c r="C35" s="1285">
        <f ca="1">IF(C33="自定义",F35,ROUND(C32*D35,0))</f>
        <v>97254</v>
      </c>
      <c r="D35" s="1286">
        <f ca="1">IF(C33="自定义",ROUND(C35/C32,3),IF(C33="收益比率",SUMIF(INDIRECT("'"&amp;D33&amp;"'"&amp;"!b:b"),"建筑物收益比率",INDIRECT("'"&amp;D33&amp;"'"&amp;"!c:c")),SUMIF(INDIRECT("'"&amp;D33&amp;"'"&amp;"!b:b"),"建筑物成本比率",INDIRECT("'"&amp;D33&amp;"'"&amp;"!c:c"))))</f>
        <v>0.35699999999999998</v>
      </c>
      <c r="E35" s="1922" t="s">
        <v>1756</v>
      </c>
      <c r="F35" s="159"/>
      <c r="G35" s="134"/>
      <c r="H35" s="134"/>
      <c r="I35" s="134"/>
    </row>
    <row r="36" spans="1:15" ht="15.75" thickBot="1">
      <c r="A36" s="3384" t="s">
        <v>1757</v>
      </c>
      <c r="B36" s="1923" t="s">
        <v>1758</v>
      </c>
      <c r="C36" s="150"/>
      <c r="D36" s="1924"/>
      <c r="E36" s="1925"/>
      <c r="F36" s="1926"/>
      <c r="G36" s="134"/>
      <c r="H36" s="134"/>
      <c r="I36" s="134"/>
    </row>
    <row r="37" spans="1:15" ht="15.75" thickBot="1">
      <c r="A37" s="3385"/>
      <c r="B37" s="1810" t="s">
        <v>1759</v>
      </c>
      <c r="C37" s="152"/>
      <c r="D37" s="1254"/>
      <c r="E37" s="1254"/>
      <c r="F37" s="1926"/>
      <c r="G37" s="134"/>
      <c r="H37" s="134"/>
      <c r="I37" s="134"/>
    </row>
    <row r="38" spans="1:15" ht="15.75" thickBot="1">
      <c r="A38" s="3386"/>
      <c r="B38" s="1927" t="s">
        <v>1760</v>
      </c>
      <c r="C38" s="683"/>
      <c r="D38" s="1928" t="s">
        <v>1761</v>
      </c>
      <c r="E38" s="1254"/>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61" t="s">
        <v>1771</v>
      </c>
      <c r="B45" s="3362"/>
      <c r="C45" s="3363"/>
      <c r="D45" s="160">
        <f ca="1">ROUND(H101*F45,0)</f>
        <v>272419</v>
      </c>
      <c r="E45" s="161" t="s">
        <v>1772</v>
      </c>
      <c r="F45" s="162">
        <v>1</v>
      </c>
      <c r="G45" s="163" t="s">
        <v>1773</v>
      </c>
      <c r="H45" s="134"/>
      <c r="I45" s="134"/>
      <c r="J45" s="3442" t="s">
        <v>1774</v>
      </c>
      <c r="K45" s="3442"/>
      <c r="L45" s="3442"/>
      <c r="M45" s="3442"/>
      <c r="N45" s="3442"/>
      <c r="O45" s="3442"/>
    </row>
    <row r="46" spans="1:15" ht="14.25" customHeight="1">
      <c r="A46" s="3358" t="s">
        <v>1775</v>
      </c>
      <c r="B46" s="3359"/>
      <c r="C46" s="3359"/>
      <c r="D46" s="3359"/>
      <c r="E46" s="3359"/>
      <c r="F46" s="3359"/>
      <c r="G46" s="3360"/>
      <c r="H46" s="1942"/>
      <c r="I46" s="164"/>
      <c r="J46" s="2698">
        <v>1</v>
      </c>
      <c r="K46" s="3423" t="s">
        <v>1776</v>
      </c>
      <c r="L46" s="3423"/>
      <c r="M46" s="3443"/>
      <c r="N46" s="3443"/>
      <c r="O46" s="3443"/>
    </row>
    <row r="47" spans="1:15" ht="12" customHeight="1">
      <c r="A47" s="165" t="s">
        <v>1777</v>
      </c>
      <c r="B47" s="166"/>
      <c r="C47" s="167"/>
      <c r="D47" s="1200" t="s">
        <v>1778</v>
      </c>
      <c r="E47" s="308" t="s">
        <v>1779</v>
      </c>
      <c r="F47" s="168" t="s">
        <v>1780</v>
      </c>
      <c r="G47" s="2721" t="s">
        <v>1781</v>
      </c>
      <c r="H47" s="2722"/>
      <c r="I47" s="164"/>
      <c r="J47" s="2698">
        <v>2</v>
      </c>
      <c r="K47" s="3423" t="s">
        <v>1782</v>
      </c>
      <c r="L47" s="3423"/>
      <c r="M47" s="3444">
        <f>'数据-取费表'!B2</f>
        <v>44827</v>
      </c>
      <c r="N47" s="3444"/>
      <c r="O47" s="3444"/>
    </row>
    <row r="48" spans="1:15" ht="25.5">
      <c r="A48" s="3389" t="s">
        <v>1783</v>
      </c>
      <c r="B48" s="3372"/>
      <c r="C48" s="3372"/>
      <c r="D48" s="2497" t="b">
        <f>IF(H48="情况1",0,IF(H48="情况2",D52,IF(H48="情况3",D53,IF(H48="情况4",D54))))</f>
        <v>0</v>
      </c>
      <c r="E48" s="2507" t="str">
        <f>IF(H48="情况4","(销售额-原购置价)×税（费）率","销售额×税（费）率")</f>
        <v>销售额×税（费）率</v>
      </c>
      <c r="F48" s="2723">
        <f>IF(H48="情况1","免征",'数据-取费表'!B41)</f>
        <v>5.5000000000000007E-2</v>
      </c>
      <c r="G48" s="2724" t="s">
        <v>1784</v>
      </c>
      <c r="H48" s="2725"/>
      <c r="I48" s="1942"/>
      <c r="J48" s="2698">
        <v>3</v>
      </c>
      <c r="K48" s="3423" t="s">
        <v>1785</v>
      </c>
      <c r="L48" s="3423"/>
      <c r="M48" s="3445">
        <f ca="1">H101</f>
        <v>272419</v>
      </c>
      <c r="N48" s="3445"/>
      <c r="O48" s="3445"/>
    </row>
    <row r="49" spans="1:35" ht="25.5" customHeight="1">
      <c r="A49" s="2506" t="s">
        <v>1786</v>
      </c>
      <c r="B49" s="3356" t="s">
        <v>1787</v>
      </c>
      <c r="C49" s="3356"/>
      <c r="D49" s="1725">
        <v>0</v>
      </c>
      <c r="E49" s="330" t="s">
        <v>1788</v>
      </c>
      <c r="F49" s="2599" t="s">
        <v>34</v>
      </c>
      <c r="G49" s="3429"/>
      <c r="H49" s="2478" t="s">
        <v>2634</v>
      </c>
      <c r="I49" s="2479"/>
      <c r="J49" s="2698">
        <v>4</v>
      </c>
      <c r="K49" s="3423" t="str">
        <f>IF(项目基本情况!E8="房地产抵押价值","房地产抵押价值","抵押担保权已注销时的房地产抵押价值")</f>
        <v>抵押担保权已注销时的房地产抵押价值</v>
      </c>
      <c r="L49" s="3423"/>
      <c r="M49" s="3445" t="str">
        <f>IF(项目基本情况!E8="房地产抵押价值",H107,H109)</f>
        <v>——</v>
      </c>
      <c r="N49" s="3445"/>
      <c r="O49" s="3445"/>
    </row>
    <row r="50" spans="1:35" ht="25.5" customHeight="1">
      <c r="A50" s="2726"/>
      <c r="B50" s="3356" t="s">
        <v>1789</v>
      </c>
      <c r="C50" s="3356"/>
      <c r="D50" s="2727"/>
      <c r="E50" s="338"/>
      <c r="F50" s="2599"/>
      <c r="G50" s="3430"/>
      <c r="H50" s="2480" t="s">
        <v>2635</v>
      </c>
      <c r="I50" s="2479"/>
      <c r="J50" s="3442" t="s">
        <v>1790</v>
      </c>
      <c r="K50" s="3442"/>
      <c r="L50" s="3442"/>
      <c r="M50" s="3442"/>
      <c r="N50" s="3442"/>
      <c r="O50" s="3442"/>
    </row>
    <row r="51" spans="1:35" ht="20.45" customHeight="1">
      <c r="A51" s="2728"/>
      <c r="B51" s="3356" t="s">
        <v>1791</v>
      </c>
      <c r="C51" s="3356"/>
      <c r="D51" s="1200"/>
      <c r="E51" s="333"/>
      <c r="F51" s="2599"/>
      <c r="G51" s="3431"/>
      <c r="H51" s="2480" t="s">
        <v>2636</v>
      </c>
      <c r="I51" s="2479"/>
      <c r="J51" s="2699" t="s">
        <v>1792</v>
      </c>
      <c r="K51" s="3423" t="s">
        <v>1793</v>
      </c>
      <c r="L51" s="3423"/>
      <c r="M51" s="2699" t="s">
        <v>1794</v>
      </c>
      <c r="N51" s="2699" t="s">
        <v>1795</v>
      </c>
      <c r="O51" s="2699" t="s">
        <v>1796</v>
      </c>
    </row>
    <row r="52" spans="1:35" ht="24" customHeight="1">
      <c r="A52" s="2508" t="s">
        <v>1797</v>
      </c>
      <c r="B52" s="3356" t="s">
        <v>1798</v>
      </c>
      <c r="C52" s="3356"/>
      <c r="D52" s="1200">
        <f ca="1">ROUND(D45*'数据-取费表'!B41/(1+'数据-取费表'!C42),0)</f>
        <v>14270</v>
      </c>
      <c r="E52" s="2507" t="s">
        <v>1799</v>
      </c>
      <c r="F52" s="2729">
        <f>'数据-取费表'!B41</f>
        <v>5.5000000000000007E-2</v>
      </c>
      <c r="G52" s="2730"/>
      <c r="H52" s="2719"/>
      <c r="I52" s="1943"/>
      <c r="J52" s="2698">
        <v>1</v>
      </c>
      <c r="K52" s="3424" t="s">
        <v>1800</v>
      </c>
      <c r="L52" s="3424"/>
      <c r="M52" s="2700" t="b">
        <f>D48</f>
        <v>0</v>
      </c>
      <c r="N52" s="2698" t="str">
        <f>E48</f>
        <v>销售额×税（费）率</v>
      </c>
      <c r="O52" s="2701">
        <f>F48</f>
        <v>5.5000000000000007E-2</v>
      </c>
    </row>
    <row r="53" spans="1:35" ht="12" customHeight="1">
      <c r="A53" s="2508" t="s">
        <v>1801</v>
      </c>
      <c r="B53" s="3382" t="s">
        <v>2791</v>
      </c>
      <c r="C53" s="3383"/>
      <c r="D53" s="1200">
        <f ca="1">ROUND(D45*'数据-取费表'!B41/(1+'数据-取费表'!C42),0)</f>
        <v>14270</v>
      </c>
      <c r="E53" s="2507" t="s">
        <v>1799</v>
      </c>
      <c r="F53" s="2729">
        <f>'数据-取费表'!B41</f>
        <v>5.5000000000000007E-2</v>
      </c>
      <c r="G53" s="2730"/>
      <c r="H53" s="2719"/>
      <c r="I53" s="1943"/>
      <c r="J53" s="2698">
        <v>2</v>
      </c>
      <c r="K53" s="3424" t="s">
        <v>1802</v>
      </c>
      <c r="L53" s="3424"/>
      <c r="M53" s="2700">
        <f t="shared" ref="M53:O54" ca="1" si="0">D55</f>
        <v>136</v>
      </c>
      <c r="N53" s="2698" t="str">
        <f t="shared" si="0"/>
        <v>销售额×税（费）率</v>
      </c>
      <c r="O53" s="2701" t="str">
        <f t="shared" si="0"/>
        <v>免征</v>
      </c>
    </row>
    <row r="54" spans="1:35" ht="12" customHeight="1">
      <c r="A54" s="2508" t="s">
        <v>1803</v>
      </c>
      <c r="B54" s="3382" t="s">
        <v>2792</v>
      </c>
      <c r="C54" s="3383"/>
      <c r="D54" s="1200">
        <f ca="1">C68</f>
        <v>14270</v>
      </c>
      <c r="E54" s="333" t="s">
        <v>1804</v>
      </c>
      <c r="F54" s="2729">
        <f>'数据-取费表'!B41</f>
        <v>5.5000000000000007E-2</v>
      </c>
      <c r="G54" s="2730"/>
      <c r="H54" s="2731"/>
      <c r="I54" s="1943"/>
      <c r="J54" s="2698">
        <v>3</v>
      </c>
      <c r="K54" s="3424" t="s">
        <v>1805</v>
      </c>
      <c r="L54" s="3424"/>
      <c r="M54" s="2700">
        <f t="shared" ca="1" si="0"/>
        <v>154436</v>
      </c>
      <c r="N54" s="2698" t="str">
        <f t="shared" si="0"/>
        <v>增值额×税（费）率</v>
      </c>
      <c r="O54" s="2702" t="str">
        <f t="shared" si="0"/>
        <v>免征</v>
      </c>
    </row>
    <row r="55" spans="1:35" ht="24" customHeight="1">
      <c r="A55" s="3371" t="s">
        <v>1806</v>
      </c>
      <c r="B55" s="3372"/>
      <c r="C55" s="3372"/>
      <c r="D55" s="2497">
        <f ca="1">IF(H55="个人住宅",0,ROUND(D45*I55,0))</f>
        <v>136</v>
      </c>
      <c r="E55" s="2507" t="s">
        <v>1807</v>
      </c>
      <c r="F55" s="2729" t="str">
        <f>IF(H55="正常",I55,"免征")</f>
        <v>免征</v>
      </c>
      <c r="G55" s="2730"/>
      <c r="H55" s="2725"/>
      <c r="I55" s="170">
        <f>'数据-取费表'!B49</f>
        <v>5.0000000000000001E-4</v>
      </c>
      <c r="J55" s="2698">
        <f>IF(H59="非个人房产","",4)</f>
        <v>4</v>
      </c>
      <c r="K55" s="3424" t="str">
        <f>IF(H59="非个人房产","——","个人所得税")</f>
        <v>个人所得税</v>
      </c>
      <c r="L55" s="3424"/>
      <c r="M55" s="2703">
        <f ca="1">D59</f>
        <v>2594</v>
      </c>
      <c r="N55" s="2178" t="str">
        <f>E59</f>
        <v>差额计税</v>
      </c>
      <c r="O55" s="2704">
        <f>F59</f>
        <v>0.01</v>
      </c>
    </row>
    <row r="56" spans="1:35" ht="24.75">
      <c r="A56" s="3371" t="s">
        <v>1808</v>
      </c>
      <c r="B56" s="3372"/>
      <c r="C56" s="3372"/>
      <c r="D56" s="2497">
        <f ca="1">IF(H56="个人住宅",D57,D58)</f>
        <v>154436</v>
      </c>
      <c r="E56" s="2507" t="s">
        <v>1809</v>
      </c>
      <c r="F56" s="2729" t="str">
        <f>IF(H56="正常",F58,"免征")</f>
        <v>免征</v>
      </c>
      <c r="G56" s="2732" t="s">
        <v>1810</v>
      </c>
      <c r="H56" s="2733"/>
      <c r="I56" s="1944"/>
      <c r="J56" s="2698" t="str">
        <f>IF(项目基本情况!K6="上海银行",IF(J55="",4,J55+1),"")</f>
        <v/>
      </c>
      <c r="K56" s="3447" t="str">
        <f>IF(项目基本情况!K6="上海银行","其他处置费用","")</f>
        <v/>
      </c>
      <c r="L56" s="3448"/>
      <c r="M56" s="2700" t="str">
        <f>IF(项目基本情况!K6="上海银行",M69,"")</f>
        <v/>
      </c>
      <c r="N56" s="3447" t="str">
        <f>IF(项目基本情况!K6="上海银行","包含处置中涉及的律师、诉讼、拍卖、评估等费用","")</f>
        <v/>
      </c>
      <c r="O56" s="3450"/>
    </row>
    <row r="57" spans="1:35" ht="12.75">
      <c r="A57" s="2508" t="s">
        <v>1786</v>
      </c>
      <c r="B57" s="3382" t="s">
        <v>1811</v>
      </c>
      <c r="C57" s="3383"/>
      <c r="D57" s="1725">
        <v>0</v>
      </c>
      <c r="E57" s="330" t="s">
        <v>1788</v>
      </c>
      <c r="F57" s="308"/>
      <c r="G57" s="2730"/>
      <c r="H57" s="2734"/>
      <c r="I57" s="1944"/>
      <c r="J57" s="3424">
        <f>IF(AND(J55="",J56=""),4,IF(项目基本情况!K6="上海银行",结果表!J56+1,结果表!J55+1))</f>
        <v>5</v>
      </c>
      <c r="K57" s="3424" t="s">
        <v>1812</v>
      </c>
      <c r="L57" s="2705" t="s">
        <v>1813</v>
      </c>
      <c r="M57" s="2706"/>
      <c r="N57" s="2707">
        <f ca="1">SUMIF(M52:M56,"&lt;9e307")</f>
        <v>157166</v>
      </c>
      <c r="O57" s="2708"/>
      <c r="P57" s="2868" t="e">
        <f ca="1">N57/M49</f>
        <v>#VALUE!</v>
      </c>
    </row>
    <row r="58" spans="1:35" ht="24.75">
      <c r="A58" s="2508" t="s">
        <v>1797</v>
      </c>
      <c r="B58" s="3382" t="s">
        <v>1814</v>
      </c>
      <c r="C58" s="3356"/>
      <c r="D58" s="2497">
        <f ca="1">IF(H58="转让取得",C81,C97)</f>
        <v>154436</v>
      </c>
      <c r="E58" s="2507" t="s">
        <v>1809</v>
      </c>
      <c r="F58" s="308" t="s">
        <v>34</v>
      </c>
      <c r="G58" s="2730"/>
      <c r="H58" s="2733"/>
      <c r="I58" s="1944"/>
      <c r="J58" s="3424"/>
      <c r="K58" s="3424"/>
      <c r="L58" s="2705" t="s">
        <v>1815</v>
      </c>
      <c r="M58" s="2709"/>
      <c r="N58" s="2710" t="str">
        <f ca="1">NUMBERSTRING(INT(N57*10000),2)&amp;"元整"</f>
        <v>壹拾伍亿柒仟壹佰陆拾陆万元整</v>
      </c>
      <c r="O58" s="2711"/>
    </row>
    <row r="59" spans="1:35" ht="24.75" thickBot="1">
      <c r="A59" s="3427" t="s">
        <v>1816</v>
      </c>
      <c r="B59" s="3428"/>
      <c r="C59" s="3428"/>
      <c r="D59" s="2735">
        <f ca="1">IF(H59="非个人房产","——",IF(H59="个人住宅（满五唯一有凭证）",0,IF(H59="个人其他（无凭证）",ROUND(D45*F59,0),ROUND(C67*F59,0))))</f>
        <v>2594</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425">
        <f>J57+1</f>
        <v>6</v>
      </c>
      <c r="K59" s="3424" t="s">
        <v>1817</v>
      </c>
      <c r="L59" s="2698" t="s">
        <v>1813</v>
      </c>
      <c r="M59" s="2712"/>
      <c r="N59" s="2713" t="e">
        <f ca="1">M49-N57</f>
        <v>#VALUE!</v>
      </c>
      <c r="O59" s="2714"/>
    </row>
    <row r="60" spans="1:35" ht="12" customHeight="1">
      <c r="A60" s="1945"/>
      <c r="B60" s="1883"/>
      <c r="C60" s="1883"/>
      <c r="D60" s="1883"/>
      <c r="E60" s="1713"/>
      <c r="F60" s="1944"/>
      <c r="G60" s="1944"/>
      <c r="H60" s="1946"/>
      <c r="I60" s="134"/>
      <c r="J60" s="3426"/>
      <c r="K60" s="3424"/>
      <c r="L60" s="2705" t="s">
        <v>1815</v>
      </c>
      <c r="M60" s="2709"/>
      <c r="N60" s="2710" t="e">
        <f ca="1">NUMBERSTRING(INT(N59*10000),2)&amp;"元整"</f>
        <v>#VALUE!</v>
      </c>
      <c r="O60" s="2711"/>
    </row>
    <row r="61" spans="1:35" ht="13.5" thickBot="1">
      <c r="A61" s="3369" t="s">
        <v>1818</v>
      </c>
      <c r="B61" s="3369"/>
      <c r="C61" s="3369"/>
      <c r="D61" s="3369"/>
      <c r="E61" s="3369"/>
      <c r="F61" s="1944"/>
      <c r="G61" s="1944"/>
      <c r="H61" s="1946"/>
      <c r="I61" s="134"/>
      <c r="J61" s="2698">
        <f>J59+1</f>
        <v>7</v>
      </c>
      <c r="K61" s="3424" t="s">
        <v>1819</v>
      </c>
      <c r="L61" s="3424"/>
      <c r="M61" s="2715"/>
      <c r="N61" s="2716" t="e">
        <f ca="1">ROUND(N59*10000/'数据-汇总表'!E3,0)</f>
        <v>#VALUE!</v>
      </c>
      <c r="O61" s="2717"/>
    </row>
    <row r="62" spans="1:35" ht="12.75">
      <c r="A62" s="3387" t="s">
        <v>1820</v>
      </c>
      <c r="B62" s="3388"/>
      <c r="C62" s="2159"/>
      <c r="D62" s="2159" t="s">
        <v>1821</v>
      </c>
      <c r="E62" s="171" t="s">
        <v>1822</v>
      </c>
      <c r="F62" s="1944"/>
      <c r="G62" s="1944"/>
      <c r="H62" s="1946"/>
      <c r="I62" s="134"/>
    </row>
    <row r="63" spans="1:35" ht="12.75">
      <c r="A63" s="178" t="s">
        <v>594</v>
      </c>
      <c r="B63" s="172" t="s">
        <v>1823</v>
      </c>
      <c r="C63" s="2739">
        <f ca="1">ROUND((C64+C65)/(1+'数据-取费表'!C42),0)</f>
        <v>259447</v>
      </c>
      <c r="D63" s="172"/>
      <c r="E63" s="173"/>
      <c r="F63" s="1944"/>
      <c r="G63" s="1944"/>
      <c r="H63" s="1946"/>
      <c r="I63" s="134"/>
      <c r="J63" s="3449" t="s">
        <v>1824</v>
      </c>
      <c r="K63" s="1452" t="s">
        <v>1825</v>
      </c>
      <c r="L63" s="1452" t="e">
        <f>IF(M49&gt;10000,M49*0.5%,IF(AND(M49&gt;1000,M49&lt;=10000),M49*1%,IF(AND(M49&gt;100,M49&lt;=1000),M49*3%,IF(AND(M49&gt;10,M49&lt;=100),M49*5%,M49*8%))))</f>
        <v>#VALUE!</v>
      </c>
      <c r="M63" s="308" t="e">
        <f>ROUND(L63,1)</f>
        <v>#VALUE!</v>
      </c>
      <c r="N63" s="2718"/>
      <c r="Z63" s="1888"/>
      <c r="AI63" s="1889"/>
    </row>
    <row r="64" spans="1:35" ht="14.25" customHeight="1">
      <c r="A64" s="174" t="s">
        <v>589</v>
      </c>
      <c r="B64" s="175" t="s">
        <v>1826</v>
      </c>
      <c r="C64" s="2740">
        <f ca="1">D45</f>
        <v>272419</v>
      </c>
      <c r="D64" s="175" t="s">
        <v>32</v>
      </c>
      <c r="E64" s="177"/>
      <c r="F64" s="1944"/>
      <c r="G64" s="1944"/>
      <c r="H64" s="1946"/>
      <c r="I64" s="134"/>
      <c r="J64" s="3449"/>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9" t="s">
        <v>1828</v>
      </c>
      <c r="Z64" s="1888"/>
      <c r="AI64" s="1889"/>
    </row>
    <row r="65" spans="1:35" ht="14.25" customHeight="1">
      <c r="A65" s="174" t="s">
        <v>590</v>
      </c>
      <c r="B65" s="175" t="s">
        <v>1829</v>
      </c>
      <c r="C65" s="2741"/>
      <c r="D65" s="175"/>
      <c r="E65" s="177"/>
      <c r="F65" s="1944"/>
      <c r="G65" s="1944"/>
      <c r="H65" s="1946"/>
      <c r="I65" s="134"/>
      <c r="J65" s="3449"/>
      <c r="K65" s="1452" t="s">
        <v>1830</v>
      </c>
      <c r="L65" s="1452" t="e">
        <f>IF(M49&gt;1000,M49*0.1%,IF(AND(M49&gt;500,M49&lt;=1000),M49*0.5%,IF(AND(M49&gt;50,M49&lt;=500),M49*1%,IF(AND(M49&gt;1,M49&lt;=50),M49*1.5%))))</f>
        <v>#VALUE!</v>
      </c>
      <c r="M65" s="308" t="e">
        <f t="shared" si="1"/>
        <v>#VALUE!</v>
      </c>
      <c r="N65" s="2719" t="s">
        <v>1828</v>
      </c>
      <c r="Z65" s="1888"/>
      <c r="AI65" s="1889"/>
    </row>
    <row r="66" spans="1:35" ht="14.25" customHeight="1">
      <c r="A66" s="178" t="s">
        <v>591</v>
      </c>
      <c r="B66" s="179" t="s">
        <v>1831</v>
      </c>
      <c r="C66" s="2742"/>
      <c r="D66" s="179" t="s">
        <v>32</v>
      </c>
      <c r="E66" s="1459" t="s">
        <v>1096</v>
      </c>
      <c r="F66" s="1944"/>
      <c r="G66" s="1944"/>
      <c r="H66" s="1946"/>
      <c r="I66" s="134"/>
      <c r="J66" s="3449"/>
      <c r="K66" s="1452" t="s">
        <v>1832</v>
      </c>
      <c r="L66" s="1452" t="e">
        <f>M49*0.5%</f>
        <v>#VALUE!</v>
      </c>
      <c r="M66" s="308" t="e">
        <f>IF(L66&gt;0.5,0.5,ROUND(L66,0))</f>
        <v>#VALUE!</v>
      </c>
      <c r="N66" s="2719" t="s">
        <v>1833</v>
      </c>
      <c r="Z66" s="1888"/>
      <c r="AI66" s="1889"/>
    </row>
    <row r="67" spans="1:35" ht="14.25" customHeight="1">
      <c r="A67" s="178" t="s">
        <v>592</v>
      </c>
      <c r="B67" s="179" t="s">
        <v>1834</v>
      </c>
      <c r="C67" s="2743">
        <f ca="1">C63-C66</f>
        <v>259447</v>
      </c>
      <c r="D67" s="175" t="s">
        <v>32</v>
      </c>
      <c r="E67" s="177"/>
      <c r="F67" s="1944"/>
      <c r="G67" s="1944"/>
      <c r="H67" s="1946"/>
      <c r="I67" s="134"/>
      <c r="J67" s="3449"/>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8"/>
      <c r="Z67" s="1888"/>
      <c r="AI67" s="1889"/>
    </row>
    <row r="68" spans="1:35" ht="14.25" customHeight="1" thickBot="1">
      <c r="A68" s="181" t="s">
        <v>593</v>
      </c>
      <c r="B68" s="182" t="s">
        <v>1836</v>
      </c>
      <c r="C68" s="2744">
        <f ca="1">IF(C67&lt;=0,0,ROUND(C67*D68,0))</f>
        <v>14270</v>
      </c>
      <c r="D68" s="2745">
        <f>'数据-取费表'!B41</f>
        <v>5.5000000000000007E-2</v>
      </c>
      <c r="E68" s="184"/>
      <c r="F68" s="1944"/>
      <c r="G68" s="1944"/>
      <c r="H68" s="1946"/>
      <c r="I68" s="134"/>
      <c r="J68" s="3449"/>
      <c r="K68" s="1452" t="s">
        <v>1837</v>
      </c>
      <c r="L68" s="1452" t="e">
        <f>IF(M49&gt;10000,M49*0.5%,IF(AND(M49&gt;5000,M49&lt;=10000),M49*1%,IF(AND(M49&gt;1000,M49&lt;=5000),M49*2%,IF(AND(M49&gt;200,M49&lt;=1000),M49*3%,M49*5%))))</f>
        <v>#VALUE!</v>
      </c>
      <c r="M68" s="308" t="e">
        <f>ROUND(L68,1)</f>
        <v>#VALUE!</v>
      </c>
      <c r="N68" s="2718"/>
      <c r="Z68" s="1888"/>
      <c r="AI68" s="1889"/>
    </row>
    <row r="69" spans="1:35" s="1908" customFormat="1" ht="16.5" customHeight="1">
      <c r="A69" s="1947"/>
      <c r="B69" s="1948"/>
      <c r="C69" s="1949"/>
      <c r="D69" s="1950"/>
      <c r="E69" s="1951"/>
      <c r="F69" s="1713"/>
      <c r="G69" s="1713"/>
      <c r="H69" s="1712"/>
      <c r="I69" s="1883"/>
      <c r="J69" s="3449"/>
      <c r="K69" s="1452" t="s">
        <v>1838</v>
      </c>
      <c r="L69" s="1452"/>
      <c r="M69" s="308" t="e">
        <f>ROUND(SUM(M63:M68),0)</f>
        <v>#VALUE!</v>
      </c>
      <c r="N69" s="2720" t="e">
        <f>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08" t="s">
        <v>1839</v>
      </c>
      <c r="B70" s="3409"/>
      <c r="C70" s="3409"/>
      <c r="D70" s="3409"/>
      <c r="E70" s="3409"/>
      <c r="F70" s="3409"/>
      <c r="G70" s="3409"/>
      <c r="H70" s="3409"/>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87" t="s">
        <v>1820</v>
      </c>
      <c r="B71" s="3388"/>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f ca="1">ROUND(D45/(1+'数据-取费表'!C42),0)</f>
        <v>259447</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f ca="1">C74+C78</f>
        <v>1297</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382" t="s">
        <v>1847</v>
      </c>
      <c r="F76" s="3356"/>
      <c r="G76" s="3356"/>
      <c r="H76" s="3407"/>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f ca="1">ROUND(D45*D78/(1+'数据-取费表'!C42),0)</f>
        <v>1297</v>
      </c>
      <c r="D78" s="2752">
        <f>'数据-取费表'!B43</f>
        <v>5.000000000000001E-3</v>
      </c>
      <c r="E78" s="3366" t="s">
        <v>1851</v>
      </c>
      <c r="F78" s="3367"/>
      <c r="G78" s="3367"/>
      <c r="H78" s="3376"/>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3">
        <f ca="1">C72-C73</f>
        <v>258150</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f ca="1">IF(C79&lt;=0,0,C79/C73)</f>
        <v>199.03623747108713</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f ca="1">ROUND(IF(C79&lt;=0,0,IF(C80&gt;=200%,C79*60%-C73*35%,IF(C80&gt;=100%,C79*50%-C73*15%,IF(C80&gt;=50%,C79*40%-C73*5%,IF(C80&lt;50%,C79*30%,0))))),0)</f>
        <v>154436</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08" t="s">
        <v>1855</v>
      </c>
      <c r="B83" s="3409"/>
      <c r="C83" s="3409"/>
      <c r="D83" s="3409"/>
      <c r="E83" s="3409"/>
      <c r="F83" s="3409"/>
      <c r="G83" s="3409"/>
      <c r="H83" s="3409"/>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87" t="s">
        <v>1820</v>
      </c>
      <c r="B84" s="3388"/>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f ca="1">ROUND(D45/(1+'数据-取费表'!C42),0)</f>
        <v>259447</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f ca="1">IF(H88="仅含出让金",C87+C90+C91+C92+C93+C94,C87+C91+C92+C93+C94)</f>
        <v>1297</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2500"/>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2500"/>
      <c r="G90" s="3451" t="s">
        <v>2629</v>
      </c>
      <c r="H90" s="3452"/>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66" t="s">
        <v>1864</v>
      </c>
      <c r="F91" s="3367"/>
      <c r="G91" s="3367"/>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66" t="s">
        <v>1867</v>
      </c>
      <c r="F92" s="3367"/>
      <c r="G92" s="3367"/>
      <c r="H92" s="3376"/>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f ca="1">ROUND(D45*D93/(1+'数据-取费表'!C42),0)</f>
        <v>1297</v>
      </c>
      <c r="D93" s="2752">
        <f>'数据-取费表'!B43</f>
        <v>5.000000000000001E-3</v>
      </c>
      <c r="E93" s="3366" t="s">
        <v>1851</v>
      </c>
      <c r="F93" s="3367"/>
      <c r="G93" s="3367"/>
      <c r="H93" s="3376"/>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377" t="s">
        <v>1871</v>
      </c>
      <c r="F94" s="3378"/>
      <c r="G94" s="3378"/>
      <c r="H94" s="3379"/>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3">
        <f ca="1">ROUND(C85-C86,0)</f>
        <v>258150</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f ca="1">IF(C95&lt;=0,0,C95/C86)</f>
        <v>199.03623747108713</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f ca="1">ROUND(IF(C95&lt;=0,0,IF(C96&gt;=200%,C95*60%-C86*35%,IF(C96&gt;=100%,C95*50%-C86*15%,IF(C96&gt;=50%,C95*40%-C86*5%,IF(C96&lt;50%,C95*30%,0))))),0)</f>
        <v>154436</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50" t="s">
        <v>1873</v>
      </c>
      <c r="B100" s="3351"/>
      <c r="C100" s="3351"/>
      <c r="D100" s="3368"/>
      <c r="E100" s="3351" t="s">
        <v>1874</v>
      </c>
      <c r="F100" s="3351"/>
      <c r="G100" s="3351"/>
      <c r="H100" s="3368"/>
      <c r="I100" s="134"/>
    </row>
    <row r="101" spans="1:35" ht="18.75" customHeight="1">
      <c r="A101" s="3432" t="s">
        <v>1875</v>
      </c>
      <c r="B101" s="3433"/>
      <c r="C101" s="2760" t="str">
        <f>C4</f>
        <v>成本法</v>
      </c>
      <c r="D101" s="2761" t="str">
        <f>D4</f>
        <v>收益法</v>
      </c>
      <c r="E101" s="3446" t="s">
        <v>1876</v>
      </c>
      <c r="F101" s="3400"/>
      <c r="G101" s="1963" t="s">
        <v>1877</v>
      </c>
      <c r="H101" s="2770">
        <f ca="1">H118</f>
        <v>272419</v>
      </c>
      <c r="I101" s="134"/>
    </row>
    <row r="102" spans="1:35" ht="18.75" customHeight="1">
      <c r="A102" s="3402" t="s">
        <v>1878</v>
      </c>
      <c r="B102" s="2759" t="s">
        <v>1877</v>
      </c>
      <c r="C102" s="2760">
        <f ca="1">C19</f>
        <v>268485</v>
      </c>
      <c r="D102" s="2761">
        <f ca="1">D19</f>
        <v>276353</v>
      </c>
      <c r="E102" s="3446"/>
      <c r="F102" s="3400"/>
      <c r="G102" s="1963" t="s">
        <v>1879</v>
      </c>
      <c r="H102" s="2730">
        <f ca="1">I118</f>
        <v>22708</v>
      </c>
      <c r="I102" s="134"/>
    </row>
    <row r="103" spans="1:35" ht="42.75" customHeight="1">
      <c r="A103" s="3402"/>
      <c r="B103" s="2759" t="s">
        <v>1879</v>
      </c>
      <c r="C103" s="2762">
        <f ca="1">C20</f>
        <v>22381</v>
      </c>
      <c r="D103" s="2763">
        <f ca="1">D20</f>
        <v>23036</v>
      </c>
      <c r="E103" s="3440" t="s">
        <v>1880</v>
      </c>
      <c r="F103" s="3441"/>
      <c r="G103" s="1964" t="s">
        <v>1881</v>
      </c>
      <c r="H103" s="2770">
        <f>IF(D36="正常操作",H104+H105+H106,H105+H106)</f>
        <v>0</v>
      </c>
      <c r="I103" s="134"/>
    </row>
    <row r="104" spans="1:35" ht="18.75" customHeight="1">
      <c r="A104" s="3402" t="s">
        <v>1882</v>
      </c>
      <c r="B104" s="2764" t="s">
        <v>1877</v>
      </c>
      <c r="C104" s="2765">
        <f ca="1">H118</f>
        <v>272419</v>
      </c>
      <c r="D104" s="2766"/>
      <c r="E104" s="1810" t="s">
        <v>1883</v>
      </c>
      <c r="F104" s="1801"/>
      <c r="G104" s="1964" t="s">
        <v>1881</v>
      </c>
      <c r="H104" s="2771">
        <f>IF(D36="同一抵押权人同一抵押物续贷",C36&amp;"（续贷，未扣减，详见特别提示）",C36)</f>
        <v>0</v>
      </c>
      <c r="I104" s="134"/>
    </row>
    <row r="105" spans="1:35" ht="18.75" customHeight="1" thickBot="1">
      <c r="A105" s="3403"/>
      <c r="B105" s="2767" t="s">
        <v>1879</v>
      </c>
      <c r="C105" s="2768">
        <f ca="1">I118</f>
        <v>22708</v>
      </c>
      <c r="D105" s="2769"/>
      <c r="E105" s="1810" t="s">
        <v>1884</v>
      </c>
      <c r="F105" s="1801"/>
      <c r="G105" s="1964" t="s">
        <v>1881</v>
      </c>
      <c r="H105" s="2772">
        <f>C37</f>
        <v>0</v>
      </c>
      <c r="I105" s="134"/>
    </row>
    <row r="106" spans="1:35" ht="18.75" customHeight="1">
      <c r="A106" s="1883" t="s">
        <v>1885</v>
      </c>
      <c r="B106" s="1883"/>
      <c r="C106" s="1883"/>
      <c r="D106" s="1883"/>
      <c r="E106" s="1965" t="s">
        <v>1886</v>
      </c>
      <c r="F106" s="1801"/>
      <c r="G106" s="1964" t="s">
        <v>1881</v>
      </c>
      <c r="H106" s="2772">
        <f>C38</f>
        <v>0</v>
      </c>
      <c r="I106" s="134"/>
    </row>
    <row r="107" spans="1:35" ht="18.75" customHeight="1">
      <c r="A107" s="134"/>
      <c r="B107" s="134"/>
      <c r="C107" s="134"/>
      <c r="D107" s="134"/>
      <c r="E107" s="3399" t="str">
        <f>IF(项目基本情况!E8="已注销","——","3.房地产抵押价值")</f>
        <v>3.房地产抵押价值</v>
      </c>
      <c r="F107" s="3400"/>
      <c r="G107" s="1963" t="s">
        <v>1877</v>
      </c>
      <c r="H107" s="2770">
        <f ca="1">IF(E107="——","——",H101-H103)</f>
        <v>272419</v>
      </c>
      <c r="I107" s="134"/>
    </row>
    <row r="108" spans="1:35" ht="18.75" customHeight="1">
      <c r="A108" s="134"/>
      <c r="B108" s="134"/>
      <c r="C108" s="134"/>
      <c r="D108" s="134"/>
      <c r="E108" s="3399"/>
      <c r="F108" s="3400"/>
      <c r="G108" s="1963" t="s">
        <v>1879</v>
      </c>
      <c r="H108" s="2730">
        <f ca="1">ROUND(H107*10000/'数据-汇总表'!E3,0)</f>
        <v>22708</v>
      </c>
      <c r="I108" s="134"/>
    </row>
    <row r="109" spans="1:35" ht="18.75" customHeight="1">
      <c r="A109" s="134"/>
      <c r="B109" s="134"/>
      <c r="C109" s="134"/>
      <c r="D109" s="134"/>
      <c r="E109" s="3399" t="str">
        <f>IF(项目基本情况!E8="已注销及未注销","4.抵押担保权已注销时的房地产抵押价值",IF(项目基本情况!E8="已注销","3.抵押担保权已注销时的房地产抵押价值","——"))</f>
        <v>——</v>
      </c>
      <c r="F109" s="3400"/>
      <c r="G109" s="1963" t="s">
        <v>1877</v>
      </c>
      <c r="H109" s="2773" t="str">
        <f>IF(E109="——","——",H101-H105-H106)</f>
        <v>——</v>
      </c>
      <c r="I109" s="134"/>
    </row>
    <row r="110" spans="1:35" ht="18.75" customHeight="1">
      <c r="A110" s="134"/>
      <c r="B110" s="134"/>
      <c r="C110" s="134"/>
      <c r="D110" s="134"/>
      <c r="E110" s="3399"/>
      <c r="F110" s="3400"/>
      <c r="G110" s="1963" t="s">
        <v>1879</v>
      </c>
      <c r="H110" s="2730" t="str">
        <f>IF(H109="——","——",ROUND(H109*10000/'数据-汇总表'!E3,0))</f>
        <v>——</v>
      </c>
      <c r="I110" s="134"/>
    </row>
    <row r="111" spans="1:35" ht="18.75" customHeight="1">
      <c r="A111" s="134"/>
      <c r="B111" s="134"/>
      <c r="C111" s="134"/>
      <c r="D111" s="134"/>
      <c r="E111" s="3434" t="str">
        <f>IF(项目基本情况!E9="抵押净值",IF(OR(项目基本情况!E8="已注销",项目基本情况!E8="房地产抵押价值"),"4.抵押净值","5.抵押净值"),"——")</f>
        <v>——</v>
      </c>
      <c r="F111" s="3401"/>
      <c r="G111" s="1963" t="s">
        <v>1877</v>
      </c>
      <c r="H111" s="2770" t="str">
        <f>IF(E111="——","——",N59)</f>
        <v>——</v>
      </c>
      <c r="I111" s="134"/>
    </row>
    <row r="112" spans="1:35" ht="18.75" customHeight="1" thickBot="1">
      <c r="A112" s="134"/>
      <c r="B112" s="134"/>
      <c r="C112" s="134"/>
      <c r="D112" s="134"/>
      <c r="E112" s="3435"/>
      <c r="F112" s="3436"/>
      <c r="G112" s="1966" t="s">
        <v>1879</v>
      </c>
      <c r="H112" s="2774" t="str">
        <f>IF(E111="——","——",N61)</f>
        <v>——</v>
      </c>
      <c r="I112" s="134"/>
    </row>
    <row r="113" spans="1:27" ht="18.75" customHeight="1">
      <c r="A113" s="134"/>
      <c r="B113" s="134"/>
      <c r="C113" s="134"/>
      <c r="D113" s="134"/>
      <c r="E113" s="3404" t="s">
        <v>1885</v>
      </c>
      <c r="F113" s="3404"/>
      <c r="G113" s="3404"/>
      <c r="H113" s="3404"/>
      <c r="I113" s="134"/>
    </row>
    <row r="114" spans="1:27" ht="3.75" customHeight="1">
      <c r="A114" s="1883"/>
      <c r="B114" s="1883"/>
      <c r="C114" s="1883"/>
      <c r="D114" s="1883"/>
      <c r="E114" s="1945"/>
      <c r="F114" s="1945"/>
      <c r="G114" s="1945"/>
      <c r="H114" s="1945"/>
      <c r="I114" s="1883"/>
    </row>
    <row r="115" spans="1:27" ht="18.75" customHeight="1">
      <c r="A115" s="3417" t="s">
        <v>1887</v>
      </c>
      <c r="B115" s="3418"/>
      <c r="C115" s="3418"/>
      <c r="D115" s="3418"/>
      <c r="E115" s="3418"/>
      <c r="F115" s="3418"/>
      <c r="G115" s="3418"/>
      <c r="H115" s="3418"/>
      <c r="I115" s="3419"/>
    </row>
    <row r="116" spans="1:27" ht="27" customHeight="1">
      <c r="A116" s="3370" t="s">
        <v>1888</v>
      </c>
      <c r="B116" s="3405" t="s">
        <v>1889</v>
      </c>
      <c r="C116" s="3405" t="s">
        <v>1890</v>
      </c>
      <c r="D116" s="3421" t="s">
        <v>1891</v>
      </c>
      <c r="E116" s="3422"/>
      <c r="F116" s="3413" t="s">
        <v>1892</v>
      </c>
      <c r="G116" s="3413"/>
      <c r="H116" s="3370" t="s">
        <v>1893</v>
      </c>
      <c r="I116" s="3370"/>
    </row>
    <row r="117" spans="1:27" ht="18.75" customHeight="1">
      <c r="A117" s="3370"/>
      <c r="B117" s="3406"/>
      <c r="C117" s="3406"/>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119963.53</v>
      </c>
      <c r="C118" s="2502">
        <f>M19</f>
        <v>24498.84</v>
      </c>
      <c r="D118" s="2502">
        <f ca="1">ROUND(IF(D32="总价",C34,E118*B118/10000),0)</f>
        <v>175165</v>
      </c>
      <c r="E118" s="2502">
        <f ca="1">ROUND(IF(C33="自定义",IF(D32="楼面单价",C34,D118*10000/B118),I118-G118),0)</f>
        <v>14601</v>
      </c>
      <c r="F118" s="2502">
        <f ca="1">ROUND(IF(D32="总价",C35,G118*B118/10000),0)</f>
        <v>97254</v>
      </c>
      <c r="G118" s="2502">
        <f ca="1">ROUND(IF(D32="楼面单价",C35,F118*10000/B118),0)</f>
        <v>8107</v>
      </c>
      <c r="H118" s="2502">
        <f ca="1">ROUND(IF(D32="总价",C32,I118*B118/10000),0)</f>
        <v>272419</v>
      </c>
      <c r="I118" s="2502">
        <f ca="1">ROUND(IF(D32="楼面单价",C32,H118*10000/B118),0)</f>
        <v>22708</v>
      </c>
    </row>
    <row r="119" spans="1:27" ht="18.75" customHeight="1">
      <c r="A119" s="3370" t="s">
        <v>1897</v>
      </c>
      <c r="B119" s="3370"/>
      <c r="C119" s="3370"/>
      <c r="D119" s="3410" t="str">
        <f ca="1">NUMBERSTRING(INT(D118*10000),2)&amp;"元整"</f>
        <v>壹拾柒亿伍仟壹佰陆拾伍万元整</v>
      </c>
      <c r="E119" s="3412"/>
      <c r="F119" s="3410" t="str">
        <f ca="1">NUMBERSTRING(INT(F118*10000),2)&amp;"元整"</f>
        <v>玖亿柒仟贰佰伍拾肆万元整</v>
      </c>
      <c r="G119" s="3412"/>
      <c r="H119" s="3410" t="str">
        <f ca="1">NUMBERSTRING(INT(H118*10000),2)&amp;"元整"</f>
        <v>贰拾柒亿贰仟肆佰壹拾玖万元整</v>
      </c>
      <c r="I119" s="3412"/>
    </row>
    <row r="120" spans="1:27" ht="18.75" customHeight="1">
      <c r="A120" s="3437" t="str">
        <f>IF(项目基本情况!B9="房地产市场价值","",MID(E103,3,LEN(E103)-2))</f>
        <v>估价师知悉的法定优先受偿款</v>
      </c>
      <c r="B120" s="3438"/>
      <c r="C120" s="3439"/>
      <c r="D120" s="3437">
        <f>H103</f>
        <v>0</v>
      </c>
      <c r="E120" s="3438"/>
      <c r="F120" s="3438"/>
      <c r="G120" s="3438"/>
      <c r="H120" s="3438"/>
      <c r="I120" s="3439"/>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14" t="s">
        <v>1897</v>
      </c>
      <c r="B121" s="3415"/>
      <c r="C121" s="3416"/>
      <c r="D121" s="3410" t="str">
        <f>IF(D120=0,"零元整",NUMBERSTRING(INT(D120*10000),2)&amp;"元整")</f>
        <v>零元整</v>
      </c>
      <c r="E121" s="3411"/>
      <c r="F121" s="3411"/>
      <c r="G121" s="3411"/>
      <c r="H121" s="3411"/>
      <c r="I121" s="3412"/>
      <c r="AA121" s="734"/>
    </row>
    <row r="122" spans="1:27" ht="18.75" customHeight="1">
      <c r="A122" s="3401" t="str">
        <f>IF(项目基本情况!B9="房地产市场价值","",MID(E107,3,LEN(E107)-2))</f>
        <v>房地产抵押价值</v>
      </c>
      <c r="B122" s="3401"/>
      <c r="C122" s="3401"/>
      <c r="D122" s="3437">
        <f ca="1">H107</f>
        <v>272419</v>
      </c>
      <c r="E122" s="3438"/>
      <c r="F122" s="3438"/>
      <c r="G122" s="3438"/>
      <c r="H122" s="3438"/>
      <c r="I122" s="3439"/>
      <c r="AA122" s="734"/>
    </row>
    <row r="123" spans="1:27" ht="18.75" customHeight="1">
      <c r="A123" s="3370" t="s">
        <v>1897</v>
      </c>
      <c r="B123" s="3370"/>
      <c r="C123" s="3370"/>
      <c r="D123" s="3410" t="str">
        <f ca="1">NUMBERSTRING(INT(D122*10000),2)&amp;"元整"</f>
        <v>贰拾柒亿贰仟肆佰壹拾玖万元整</v>
      </c>
      <c r="E123" s="3411"/>
      <c r="F123" s="3411"/>
      <c r="G123" s="3411"/>
      <c r="H123" s="3411"/>
      <c r="I123" s="3412"/>
      <c r="AA123" s="734"/>
    </row>
    <row r="124" spans="1:27" ht="18.75" customHeight="1">
      <c r="A124" s="3401" t="str">
        <f>IF(项目基本情况!B9="房地产市场价值","",MID(E109,3,LEN(E109)-2))</f>
        <v/>
      </c>
      <c r="B124" s="3401"/>
      <c r="C124" s="3401"/>
      <c r="D124" s="3437" t="str">
        <f>H109</f>
        <v>——</v>
      </c>
      <c r="E124" s="3438"/>
      <c r="F124" s="3438"/>
      <c r="G124" s="3438"/>
      <c r="H124" s="3438"/>
      <c r="I124" s="3439"/>
      <c r="AA124" s="734"/>
    </row>
    <row r="125" spans="1:27" ht="18.75" customHeight="1">
      <c r="A125" s="3370" t="s">
        <v>1897</v>
      </c>
      <c r="B125" s="3370"/>
      <c r="C125" s="3370"/>
      <c r="D125" s="3410" t="e">
        <f>NUMBERSTRING(INT(D124*10000),2)&amp;"元整"</f>
        <v>#VALUE!</v>
      </c>
      <c r="E125" s="3411"/>
      <c r="F125" s="3411"/>
      <c r="G125" s="3411"/>
      <c r="H125" s="3411"/>
      <c r="I125" s="3412"/>
      <c r="AA125" s="734"/>
    </row>
    <row r="126" spans="1:27" ht="18.75" customHeight="1">
      <c r="A126" s="3401" t="str">
        <f>IF(项目基本情况!B9="房地产市场价值","",MID(E111,3,LEN(E111)-2))</f>
        <v/>
      </c>
      <c r="B126" s="3401"/>
      <c r="C126" s="3401"/>
      <c r="D126" s="3437" t="str">
        <f>H111</f>
        <v>——</v>
      </c>
      <c r="E126" s="3438"/>
      <c r="F126" s="3438"/>
      <c r="G126" s="3438"/>
      <c r="H126" s="3438"/>
      <c r="I126" s="3439"/>
      <c r="AA126" s="734"/>
    </row>
    <row r="127" spans="1:27" ht="18.75" customHeight="1">
      <c r="A127" s="3370" t="s">
        <v>1897</v>
      </c>
      <c r="B127" s="3370"/>
      <c r="C127" s="3370"/>
      <c r="D127" s="3410" t="e">
        <f>NUMBERSTRING(INT(D126*10000),2)&amp;"元整"</f>
        <v>#VALUE!</v>
      </c>
      <c r="E127" s="3411"/>
      <c r="F127" s="3411"/>
      <c r="G127" s="3411"/>
      <c r="H127" s="3411"/>
      <c r="I127" s="3412"/>
      <c r="AA127" s="734"/>
    </row>
    <row r="128" spans="1:27" ht="21.75" customHeight="1">
      <c r="A128" s="3420" t="s">
        <v>1898</v>
      </c>
      <c r="B128" s="3420"/>
      <c r="C128" s="3420"/>
      <c r="D128" s="3420"/>
      <c r="E128" s="3420"/>
      <c r="F128" s="3420"/>
      <c r="G128" s="3420"/>
      <c r="H128" s="3420"/>
      <c r="I128" s="3420"/>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4" t="str">
        <f>项目基本情况!B1</f>
        <v>北京市房地产抵押价值预评估</v>
      </c>
      <c r="C37" s="3264"/>
      <c r="D37" s="3264"/>
      <c r="E37" s="3264"/>
      <c r="F37" s="3264"/>
      <c r="G37" s="3264"/>
      <c r="H37" s="3264"/>
      <c r="I37" s="3264"/>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项目基本情况!K4</f>
        <v>（注册号：0)、（注册号：0)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46" sqref="L4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1">
        <f>MATCH(B1,'数据-取费表'!A6:A16,0)+5</f>
        <v>7</v>
      </c>
    </row>
    <row r="2" spans="1:9" s="206" customFormat="1" ht="18" customHeight="1">
      <c r="A2" s="207" t="s">
        <v>1907</v>
      </c>
      <c r="B2" s="208">
        <f ca="1">IF(D2="——",C52,C52-E2)</f>
        <v>268485</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22381</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121644</v>
      </c>
      <c r="D5" s="217" t="s">
        <v>1914</v>
      </c>
      <c r="E5" s="218" t="s">
        <v>1915</v>
      </c>
      <c r="F5" s="218" t="s">
        <v>1916</v>
      </c>
      <c r="G5" s="219"/>
    </row>
    <row r="6" spans="1:9" s="220" customFormat="1" ht="13.5" customHeight="1">
      <c r="A6" s="867" t="s">
        <v>1917</v>
      </c>
      <c r="B6" s="221" t="s">
        <v>1918</v>
      </c>
      <c r="C6" s="222">
        <f>'土地比较法-住宅、综合'!B2</f>
        <v>115716</v>
      </c>
      <c r="D6" s="223"/>
      <c r="E6" s="224"/>
      <c r="F6" s="224"/>
      <c r="G6" s="225"/>
    </row>
    <row r="7" spans="1:9" s="220" customFormat="1" ht="13.5" customHeight="1">
      <c r="A7" s="867" t="s">
        <v>1919</v>
      </c>
      <c r="B7" s="221" t="s">
        <v>1920</v>
      </c>
      <c r="C7" s="226">
        <f>ROUND(C6*F7,0)</f>
        <v>3529</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2399</v>
      </c>
      <c r="D8" s="228"/>
      <c r="E8" s="226"/>
      <c r="F8" s="227"/>
      <c r="G8" s="1992" t="s">
        <v>3569</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3" t="s">
        <v>3570</v>
      </c>
      <c r="H9" s="1252"/>
      <c r="I9" s="1994" t="s">
        <v>1924</v>
      </c>
    </row>
    <row r="10" spans="1:9" s="220" customFormat="1" ht="13.5" customHeight="1">
      <c r="A10" s="868" t="s">
        <v>620</v>
      </c>
      <c r="B10" s="230" t="s">
        <v>1925</v>
      </c>
      <c r="C10" s="231">
        <f ca="1">ROUND(D10*E10/10000,0)</f>
        <v>2399</v>
      </c>
      <c r="D10" s="935">
        <f ca="1">IF(B1="",'数据-汇总表'!E6,IF(INDIRECT("'数据-取费表'!c"&amp;$G$1)="住宅",INDIRECT("'数据-取费表'!s"&amp;$G$1),INDIRECT("'数据-取费表'!k"&amp;$G$1)+INDIRECT("'数据-取费表'!s"&amp;$G$1)))</f>
        <v>119963.53</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119963.53</v>
      </c>
      <c r="E19" s="217">
        <f>'数据-取费表'!B31</f>
        <v>200</v>
      </c>
      <c r="F19" s="237"/>
      <c r="G19" s="1992" t="s">
        <v>3571</v>
      </c>
    </row>
    <row r="20" spans="1:7" s="220" customFormat="1" ht="13.5" customHeight="1">
      <c r="A20" s="261" t="s">
        <v>1938</v>
      </c>
      <c r="B20" s="216" t="s">
        <v>1939</v>
      </c>
      <c r="C20" s="238">
        <f ca="1">ROUND((C5+C19)*F20,0)</f>
        <v>2433</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10407</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10306</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101</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24815</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ROUND((C5+C19+C20)*F27*'数据-取费表'!B21/'数据-取费表'!B20,0)</f>
        <v>24815</v>
      </c>
      <c r="D28" s="241"/>
      <c r="E28" s="242"/>
      <c r="F28" s="252"/>
      <c r="G28" s="253"/>
    </row>
    <row r="29" spans="1:7" s="220" customFormat="1" ht="13.5" customHeight="1">
      <c r="A29" s="869" t="s">
        <v>611</v>
      </c>
      <c r="B29" s="254" t="s">
        <v>1962</v>
      </c>
      <c r="C29" s="244">
        <f ca="1">ROUND(C21*F27*'数据-取费表'!B21/'数据-取费表'!B20,4)</f>
        <v>4.0000000000000001E-3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172626</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77616</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71978</v>
      </c>
      <c r="D34" s="223"/>
      <c r="E34" s="226"/>
      <c r="F34" s="263">
        <f ca="1">IF('数据-取费表'!B24=0,1,IF(B1="",'数据-取费表'!N16,INDIRECT("'数据-取费表'!n"&amp;$G$1)))</f>
        <v>1</v>
      </c>
      <c r="G34" s="225" t="s">
        <v>1971</v>
      </c>
    </row>
    <row r="35" spans="1:7" ht="13.5" customHeight="1">
      <c r="A35" s="869" t="s">
        <v>615</v>
      </c>
      <c r="B35" s="221" t="s">
        <v>1972</v>
      </c>
      <c r="C35" s="226">
        <f ca="1">ROUND(C34*F35,0)</f>
        <v>2159</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2399</v>
      </c>
      <c r="D37" s="223">
        <f ca="1">D19</f>
        <v>119963.53</v>
      </c>
      <c r="E37" s="255">
        <f>'数据-取费表'!B35</f>
        <v>200</v>
      </c>
      <c r="F37" s="265"/>
      <c r="G37" s="267" t="s">
        <v>1977</v>
      </c>
    </row>
    <row r="38" spans="1:7" ht="13.5" customHeight="1">
      <c r="A38" s="869" t="s">
        <v>618</v>
      </c>
      <c r="B38" s="221" t="s">
        <v>1978</v>
      </c>
      <c r="C38" s="226">
        <f ca="1">ROUND(C34*F38,0)</f>
        <v>1080</v>
      </c>
      <c r="D38" s="226"/>
      <c r="E38" s="226"/>
      <c r="F38" s="265">
        <f>'数据-取费表'!B36</f>
        <v>1.4999999999999999E-2</v>
      </c>
      <c r="G38" s="225" t="s">
        <v>1973</v>
      </c>
    </row>
    <row r="39" spans="1:7" s="220" customFormat="1" ht="13.5" customHeight="1">
      <c r="A39" s="261" t="s">
        <v>1979</v>
      </c>
      <c r="B39" s="216" t="s">
        <v>1980</v>
      </c>
      <c r="C39" s="238">
        <f ca="1">ROUND(C33*F20,0)</f>
        <v>1552</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3285</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3221</v>
      </c>
      <c r="D42" s="244"/>
      <c r="E42" s="244"/>
      <c r="F42" s="245"/>
      <c r="G42" s="3453" t="s">
        <v>1989</v>
      </c>
    </row>
    <row r="43" spans="1:7" ht="13.5" customHeight="1">
      <c r="A43" s="869" t="s">
        <v>611</v>
      </c>
      <c r="B43" s="221" t="s">
        <v>1990</v>
      </c>
      <c r="C43" s="244">
        <f ca="1">ROUND(IF('数据-取费表'!B22&lt;=1,C39*F22*'数据-取费表'!B21/2,C39*(POWER((1+F22),'数据-取费表'!B21/2)-1)),0)</f>
        <v>64</v>
      </c>
      <c r="D43" s="244"/>
      <c r="E43" s="244"/>
      <c r="F43" s="245"/>
      <c r="G43" s="3454"/>
    </row>
    <row r="44" spans="1:7" ht="13.5" customHeight="1">
      <c r="A44" s="869" t="s">
        <v>612</v>
      </c>
      <c r="B44" s="221" t="s">
        <v>1991</v>
      </c>
      <c r="C44" s="244">
        <f ca="1">ROUND(IF('数据-取费表'!B22&lt;=1,C40*F22*'数据-取费表'!B21/2,C40*(POWER((1+F22),'数据-取费表'!B21/2)-1)),4)</f>
        <v>8.0000000000000004E-4</v>
      </c>
      <c r="D44" s="244"/>
      <c r="E44" s="244"/>
      <c r="F44" s="245"/>
      <c r="G44" s="3455"/>
    </row>
    <row r="45" spans="1:7" s="220" customFormat="1" ht="13.5" customHeight="1">
      <c r="A45" s="261" t="s">
        <v>1992</v>
      </c>
      <c r="B45" s="250" t="s">
        <v>1958</v>
      </c>
      <c r="C45" s="251">
        <f ca="1">C46</f>
        <v>15834</v>
      </c>
      <c r="D45" s="241">
        <f ca="1">C47</f>
        <v>4.0000000000000001E-3</v>
      </c>
      <c r="E45" s="242" t="s">
        <v>1984</v>
      </c>
      <c r="F45" s="2487">
        <f ca="1">F27</f>
        <v>0.2</v>
      </c>
      <c r="G45" s="253" t="s">
        <v>1993</v>
      </c>
    </row>
    <row r="46" spans="1:7" s="220" customFormat="1" ht="13.5" customHeight="1">
      <c r="A46" s="869" t="s">
        <v>610</v>
      </c>
      <c r="B46" s="254" t="s">
        <v>1994</v>
      </c>
      <c r="C46" s="255">
        <f ca="1">ROUND((C33+C39)*F27,0)</f>
        <v>15834</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1447">
        <f>ROUND(F30/(1+'数据-取费表'!C42),4)</f>
        <v>5.2400000000000002E-2</v>
      </c>
      <c r="D48" s="242" t="s">
        <v>1984</v>
      </c>
      <c r="E48" s="238"/>
      <c r="F48" s="2486">
        <f>F30</f>
        <v>5.5000000000000007E-2</v>
      </c>
      <c r="G48" s="240" t="s">
        <v>1997</v>
      </c>
    </row>
    <row r="49" spans="1:7" ht="16.5" customHeight="1">
      <c r="A49" s="261" t="s">
        <v>1963</v>
      </c>
      <c r="B49" s="216" t="s">
        <v>1998</v>
      </c>
      <c r="C49" s="238">
        <f ca="1">ROUND((C33+C39+C41+C45)/(1-C40-D41-D45-C48),0)</f>
        <v>106510</v>
      </c>
      <c r="D49" s="238"/>
      <c r="E49" s="238"/>
      <c r="F49" s="270"/>
      <c r="G49" s="240" t="s">
        <v>1999</v>
      </c>
    </row>
    <row r="50" spans="1:7" s="264" customFormat="1" ht="24">
      <c r="A50" s="261" t="s">
        <v>2000</v>
      </c>
      <c r="B50" s="216" t="s">
        <v>2001</v>
      </c>
      <c r="C50" s="238"/>
      <c r="D50" s="238"/>
      <c r="E50" s="238"/>
      <c r="F50" s="270">
        <f>IF('数据-取费表'!B24=0,'数据-取费表'!N16,1)</f>
        <v>0.9</v>
      </c>
      <c r="G50" s="253" t="s">
        <v>2002</v>
      </c>
    </row>
    <row r="51" spans="1:7" ht="16.5" customHeight="1">
      <c r="A51" s="261" t="s">
        <v>2003</v>
      </c>
      <c r="B51" s="216" t="s">
        <v>2004</v>
      </c>
      <c r="C51" s="238">
        <f ca="1">ROUND(C49*F50,0)</f>
        <v>95859</v>
      </c>
      <c r="D51" s="238"/>
      <c r="E51" s="238"/>
      <c r="F51" s="270"/>
      <c r="G51" s="240" t="s">
        <v>2005</v>
      </c>
    </row>
    <row r="52" spans="1:7" s="214" customFormat="1" ht="16.5" thickBot="1">
      <c r="A52" s="271" t="s">
        <v>2006</v>
      </c>
      <c r="B52" s="272"/>
      <c r="C52" s="273">
        <f ca="1">C31+C51</f>
        <v>268485</v>
      </c>
      <c r="D52" s="272"/>
      <c r="E52" s="272"/>
      <c r="F52" s="272"/>
      <c r="G52" s="274"/>
    </row>
    <row r="55" spans="1:7" ht="15">
      <c r="B55" s="276" t="s">
        <v>2007</v>
      </c>
      <c r="C55" s="277"/>
    </row>
    <row r="56" spans="1:7">
      <c r="B56" s="279" t="s">
        <v>1237</v>
      </c>
      <c r="C56" s="281">
        <f ca="1">1-C57</f>
        <v>0.64300000000000002</v>
      </c>
    </row>
    <row r="57" spans="1:7">
      <c r="B57" s="279" t="s">
        <v>1238</v>
      </c>
      <c r="C57" s="280">
        <f ca="1">ROUND(C51/C52,3)</f>
        <v>0.35699999999999998</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5"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102669</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8558</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23992706</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23992706</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23992706</v>
      </c>
      <c r="D10" s="935">
        <f ca="1">IF(B1="",'数据-汇总表'!E6,IF(INDIRECT("'数据-取费表'!c"&amp;$G$1)="住宅",INDIRECT("'数据-取费表'!s"&amp;$G$1),INDIRECT("'数据-取费表'!k"&amp;$G$1)+INDIRECT("'数据-取费表'!s"&amp;$G$1)))</f>
        <v>119963.53</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23992706</v>
      </c>
      <c r="D19" s="939">
        <f ca="1">D9+D10</f>
        <v>119963.53</v>
      </c>
      <c r="E19" s="217">
        <f>'数据-取费表'!B31</f>
        <v>200</v>
      </c>
      <c r="F19" s="237"/>
      <c r="G19" s="1992"/>
    </row>
    <row r="20" spans="1:7" s="220" customFormat="1" ht="13.5" customHeight="1">
      <c r="A20" s="261" t="s">
        <v>2019</v>
      </c>
      <c r="B20" s="216" t="s">
        <v>2020</v>
      </c>
      <c r="C20" s="238">
        <f ca="1">ROUND((C5+C19)*F20,0)</f>
        <v>959708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4105260</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2032716</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2032716</v>
      </c>
      <c r="D24" s="244"/>
      <c r="E24" s="244"/>
      <c r="F24" s="245"/>
      <c r="G24" s="246" t="s">
        <v>2031</v>
      </c>
    </row>
    <row r="25" spans="1:7" s="220" customFormat="1" ht="24">
      <c r="A25" s="869" t="s">
        <v>1921</v>
      </c>
      <c r="B25" s="221" t="s">
        <v>2032</v>
      </c>
      <c r="C25" s="1243">
        <f ca="1">ROUND(IF('数据-取费表'!B22&lt;=1,C20*F22*'数据-取费表'!B22/2,C20*(POWER((1+F22),'数据-取费表'!B22/2)-1)),0)</f>
        <v>39828</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9789024</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ROUND((C5+C19+C20)*F27,0)</f>
        <v>9789024</v>
      </c>
      <c r="D28" s="241"/>
      <c r="E28" s="242"/>
      <c r="F28" s="252"/>
      <c r="G28" s="253"/>
    </row>
    <row r="29" spans="1:7" s="220" customFormat="1" ht="13.5" customHeight="1">
      <c r="A29" s="869"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68096450</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776164039</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719781180</v>
      </c>
      <c r="D34" s="223"/>
      <c r="E34" s="226"/>
      <c r="F34" s="263"/>
      <c r="G34" s="225"/>
    </row>
    <row r="35" spans="1:7" ht="13.5" customHeight="1">
      <c r="A35" s="869" t="s">
        <v>615</v>
      </c>
      <c r="B35" s="221" t="s">
        <v>1972</v>
      </c>
      <c r="C35" s="226">
        <f ca="1">ROUND(C34*F35,0)</f>
        <v>21593435</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23992706</v>
      </c>
      <c r="D37" s="223">
        <f ca="1">D19</f>
        <v>119963.53</v>
      </c>
      <c r="E37" s="255">
        <f>'数据-取费表'!B35</f>
        <v>200</v>
      </c>
      <c r="F37" s="265"/>
      <c r="G37" s="267"/>
    </row>
    <row r="38" spans="1:7" ht="13.5" customHeight="1">
      <c r="A38" s="869" t="s">
        <v>618</v>
      </c>
      <c r="B38" s="221" t="s">
        <v>1978</v>
      </c>
      <c r="C38" s="226">
        <f ca="1">ROUND(C34*F38,0)</f>
        <v>10796718</v>
      </c>
      <c r="D38" s="226"/>
      <c r="E38" s="226"/>
      <c r="F38" s="265">
        <f>'数据-取费表'!B36</f>
        <v>1.4999999999999999E-2</v>
      </c>
      <c r="G38" s="225" t="s">
        <v>1973</v>
      </c>
    </row>
    <row r="39" spans="1:7" s="220" customFormat="1" ht="13.5" customHeight="1">
      <c r="A39" s="261" t="s">
        <v>1979</v>
      </c>
      <c r="B39" s="216" t="s">
        <v>1980</v>
      </c>
      <c r="C39" s="238">
        <f ca="1">ROUND(C33*F20,0)</f>
        <v>15523281</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32855024</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32210808</v>
      </c>
      <c r="D42" s="244"/>
      <c r="E42" s="244"/>
      <c r="F42" s="245"/>
      <c r="G42" s="3453" t="s">
        <v>2036</v>
      </c>
    </row>
    <row r="43" spans="1:7" ht="13.5" customHeight="1">
      <c r="A43" s="869" t="s">
        <v>611</v>
      </c>
      <c r="B43" s="221" t="s">
        <v>1990</v>
      </c>
      <c r="C43" s="244">
        <f ca="1">ROUND(IF('数据-取费表'!B22&lt;=1,C39*F22*'数据-取费表'!B20/2,C39*(POWER((1+F22),'数据-取费表'!B20/2)-1)),0)</f>
        <v>644216</v>
      </c>
      <c r="D43" s="244"/>
      <c r="E43" s="244"/>
      <c r="F43" s="245"/>
      <c r="G43" s="3454"/>
    </row>
    <row r="44" spans="1:7" ht="13.5" customHeight="1">
      <c r="A44" s="869" t="s">
        <v>612</v>
      </c>
      <c r="B44" s="221" t="s">
        <v>1991</v>
      </c>
      <c r="C44" s="244">
        <f ca="1">ROUND(IF('数据-取费表'!B22&lt;=1,C40*F22*'数据-取费表'!B20/2,C40*(POWER((1+F22),'数据-取费表'!B20/2)-1)),4)</f>
        <v>8.0000000000000004E-4</v>
      </c>
      <c r="D44" s="244"/>
      <c r="E44" s="244"/>
      <c r="F44" s="245"/>
      <c r="G44" s="3455"/>
    </row>
    <row r="45" spans="1:7" s="220" customFormat="1" ht="13.5" customHeight="1">
      <c r="A45" s="261" t="s">
        <v>1992</v>
      </c>
      <c r="B45" s="250" t="s">
        <v>1958</v>
      </c>
      <c r="C45" s="251">
        <f ca="1">C46</f>
        <v>158337464</v>
      </c>
      <c r="D45" s="241">
        <f ca="1">C47</f>
        <v>4.0000000000000001E-3</v>
      </c>
      <c r="E45" s="242" t="s">
        <v>1984</v>
      </c>
      <c r="F45" s="2487">
        <f ca="1">F27</f>
        <v>0.2</v>
      </c>
      <c r="G45" s="253" t="s">
        <v>1993</v>
      </c>
    </row>
    <row r="46" spans="1:7" s="220" customFormat="1" ht="13.5" customHeight="1">
      <c r="A46" s="869" t="s">
        <v>610</v>
      </c>
      <c r="B46" s="254" t="s">
        <v>1994</v>
      </c>
      <c r="C46" s="255">
        <f ca="1">ROUND((C33+C39)*F27,0)</f>
        <v>158337464</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6">
        <f>F30</f>
        <v>5.5000000000000007E-2</v>
      </c>
      <c r="G48" s="240" t="s">
        <v>1997</v>
      </c>
    </row>
    <row r="49" spans="1:7" ht="16.5" customHeight="1">
      <c r="A49" s="261" t="s">
        <v>1963</v>
      </c>
      <c r="B49" s="216" t="s">
        <v>2037</v>
      </c>
      <c r="C49" s="238">
        <f ca="1">ROUND((C33+C39+C41+C45)/(1-C40-D41-D45-C48),0)</f>
        <v>1065105990</v>
      </c>
      <c r="D49" s="238"/>
      <c r="E49" s="238"/>
      <c r="F49" s="270"/>
      <c r="G49" s="240" t="s">
        <v>1999</v>
      </c>
    </row>
    <row r="50" spans="1:7" s="264" customFormat="1">
      <c r="A50" s="261" t="s">
        <v>2000</v>
      </c>
      <c r="B50" s="216" t="s">
        <v>2001</v>
      </c>
      <c r="C50" s="238"/>
      <c r="D50" s="238"/>
      <c r="E50" s="238"/>
      <c r="F50" s="270">
        <f>IF('数据-取费表'!B24=0,'数据-取费表'!N16,1)</f>
        <v>0.9</v>
      </c>
      <c r="G50" s="253"/>
    </row>
    <row r="51" spans="1:7" ht="16.5" customHeight="1">
      <c r="A51" s="261" t="s">
        <v>2003</v>
      </c>
      <c r="B51" s="216" t="s">
        <v>2038</v>
      </c>
      <c r="C51" s="238">
        <f ca="1">ROUND(C49*F50,0)</f>
        <v>958595391</v>
      </c>
      <c r="D51" s="238"/>
      <c r="E51" s="238"/>
      <c r="F51" s="270"/>
      <c r="G51" s="240" t="s">
        <v>2005</v>
      </c>
    </row>
    <row r="52" spans="1:7" s="214" customFormat="1" ht="16.5" thickBot="1">
      <c r="A52" s="271" t="s">
        <v>2006</v>
      </c>
      <c r="B52" s="272"/>
      <c r="C52" s="273">
        <f ca="1">C31+C51</f>
        <v>1026691841</v>
      </c>
      <c r="D52" s="272"/>
      <c r="E52" s="272"/>
      <c r="F52" s="272"/>
      <c r="G52" s="274"/>
    </row>
    <row r="55" spans="1:7" ht="15">
      <c r="B55" s="276" t="s">
        <v>2007</v>
      </c>
      <c r="C55" s="277"/>
    </row>
    <row r="56" spans="1:7">
      <c r="B56" s="279" t="s">
        <v>1237</v>
      </c>
      <c r="C56" s="281">
        <f ca="1">1-C57</f>
        <v>6.5999999999999948E-2</v>
      </c>
    </row>
    <row r="57" spans="1:7">
      <c r="B57" s="279" t="s">
        <v>1238</v>
      </c>
      <c r="C57" s="280">
        <f ca="1">ROUND(C51/C52,3)</f>
        <v>0.93400000000000005</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5"/>
      <c r="C1" s="1306"/>
      <c r="D1" s="1304"/>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119963.53</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119963.53</v>
      </c>
      <c r="E17" s="24">
        <f>'数据-取费表'!B32</f>
        <v>0</v>
      </c>
      <c r="F17" s="896"/>
      <c r="G17" s="136" t="s">
        <v>2071</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8"/>
      <c r="H18" s="1301"/>
      <c r="I18" s="1999"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2075</v>
      </c>
      <c r="C20" s="24">
        <f ca="1">ROUND(D20*E20/10000,0)</f>
        <v>2399</v>
      </c>
      <c r="D20" s="936">
        <f ca="1">IF(C1="",'数据-汇总表'!E6,IF(INDIRECT("'数据-取费表'!c"&amp;$K$1)="住宅",INDIRECT("'数据-取费表'!s"&amp;$K$1),INDIRECT("'数据-取费表'!k"&amp;$K$1)+INDIRECT("'数据-取费表'!s"&amp;$K$1)))</f>
        <v>119963.53</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2089</v>
      </c>
      <c r="B28" s="2001" t="s">
        <v>2090</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3559</v>
      </c>
      <c r="D1" s="1496" t="s">
        <v>70</v>
      </c>
      <c r="E1" s="1497" t="s">
        <v>1111</v>
      </c>
      <c r="F1" s="1174">
        <f ca="1">J53</f>
        <v>29.2</v>
      </c>
      <c r="G1" s="1512">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276353</v>
      </c>
      <c r="C2" s="1521" t="s">
        <v>1240</v>
      </c>
      <c r="D2" s="1521"/>
      <c r="E2" s="1522"/>
      <c r="F2" s="1523"/>
      <c r="G2" s="2884"/>
      <c r="H2" s="2873"/>
      <c r="I2" s="2873"/>
      <c r="J2" s="2873"/>
      <c r="K2" s="2874"/>
      <c r="L2" s="2873"/>
      <c r="M2" s="2873"/>
    </row>
    <row r="3" spans="1:37" ht="18" customHeight="1" thickBot="1">
      <c r="A3" s="1524" t="s">
        <v>1241</v>
      </c>
      <c r="B3" s="1525">
        <f ca="1">IF(ISERROR(B2*10000/F43),0,ROUND(B2*10000/F43,0))</f>
        <v>23036</v>
      </c>
      <c r="C3" s="1521" t="s">
        <v>1242</v>
      </c>
      <c r="D3" s="1521"/>
      <c r="E3" s="1522"/>
      <c r="F3" s="1523"/>
      <c r="G3" s="2884"/>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18757</v>
      </c>
      <c r="D5" s="1498" t="s">
        <v>1126</v>
      </c>
      <c r="E5" s="1184"/>
      <c r="F5" s="1185"/>
      <c r="G5" s="1518"/>
      <c r="H5" s="305">
        <v>1</v>
      </c>
      <c r="I5" s="306" t="s">
        <v>1125</v>
      </c>
      <c r="J5" s="1183">
        <f ca="1">J6+J10+J12</f>
        <v>0</v>
      </c>
      <c r="K5" s="1498" t="s">
        <v>1126</v>
      </c>
      <c r="L5" s="1184"/>
      <c r="M5" s="1185"/>
    </row>
    <row r="6" spans="1:37" ht="18" customHeight="1">
      <c r="A6" s="1182" t="s">
        <v>822</v>
      </c>
      <c r="B6" s="3458" t="s">
        <v>1127</v>
      </c>
      <c r="C6" s="1187">
        <f ca="1">ROUND(F6*F8*F7*(1-F9)/10000,0)</f>
        <v>18734</v>
      </c>
      <c r="D6" s="160" t="s">
        <v>2608</v>
      </c>
      <c r="E6" s="308" t="s">
        <v>1129</v>
      </c>
      <c r="F6" s="309">
        <f ca="1">INDIRECT("'数据-取费表'!u"&amp;$G$1)</f>
        <v>5.5</v>
      </c>
      <c r="G6" s="1518"/>
      <c r="H6" s="1182" t="s">
        <v>822</v>
      </c>
      <c r="I6" s="3458" t="s">
        <v>1127</v>
      </c>
      <c r="J6" s="307">
        <f ca="1">ROUND(M6*M8*M7*(1-M9)/10000,0)</f>
        <v>0</v>
      </c>
      <c r="K6" s="160" t="s">
        <v>2607</v>
      </c>
      <c r="L6" s="308" t="s">
        <v>1129</v>
      </c>
      <c r="M6" s="309">
        <f ca="1">INDIRECT("'数据-取费表'!z"&amp;$G$1)</f>
        <v>0</v>
      </c>
    </row>
    <row r="7" spans="1:37" ht="18" customHeight="1">
      <c r="A7" s="1186"/>
      <c r="B7" s="3459"/>
      <c r="C7" s="1188"/>
      <c r="D7" s="313"/>
      <c r="E7" s="1189" t="s">
        <v>1130</v>
      </c>
      <c r="F7" s="309">
        <f ca="1">IF(INDIRECT("'数据-取费表'!ah"&amp;$G$1)="",INDIRECT("'数据-取费表'!k"&amp;$G$1),INDIRECT("'数据-取费表'!ah"&amp;$G$1))</f>
        <v>103688.47</v>
      </c>
      <c r="G7" s="1518"/>
      <c r="H7" s="310"/>
      <c r="I7" s="3459"/>
      <c r="J7" s="312"/>
      <c r="K7" s="313"/>
      <c r="L7" s="308" t="s">
        <v>1130</v>
      </c>
      <c r="M7" s="309">
        <f ca="1">F7</f>
        <v>103688.47</v>
      </c>
    </row>
    <row r="8" spans="1:37" ht="18" customHeight="1">
      <c r="A8" s="310"/>
      <c r="B8" s="3459"/>
      <c r="C8" s="312"/>
      <c r="D8" s="313"/>
      <c r="E8" s="308" t="s">
        <v>1131</v>
      </c>
      <c r="F8" s="309">
        <f ca="1">INDIRECT("'数据-取费表'!ai"&amp;$G$1)</f>
        <v>365</v>
      </c>
      <c r="G8" s="1518"/>
      <c r="H8" s="310"/>
      <c r="I8" s="3459"/>
      <c r="J8" s="312"/>
      <c r="K8" s="313"/>
      <c r="L8" s="308" t="s">
        <v>1131</v>
      </c>
      <c r="M8" s="309">
        <f ca="1">INDIRECT("'数据-取费表'!ai"&amp;$G$1)</f>
        <v>365</v>
      </c>
    </row>
    <row r="9" spans="1:37" ht="18" customHeight="1">
      <c r="A9" s="310"/>
      <c r="B9" s="3460"/>
      <c r="C9" s="312"/>
      <c r="D9" s="313"/>
      <c r="E9" s="308" t="s">
        <v>1132</v>
      </c>
      <c r="F9" s="318">
        <f ca="1">INDIRECT("'数据-取费表'!w"&amp;$G$1)</f>
        <v>0.1</v>
      </c>
      <c r="G9" s="1518"/>
      <c r="H9" s="310"/>
      <c r="I9" s="3460"/>
      <c r="J9" s="312"/>
      <c r="K9" s="313"/>
      <c r="L9" s="319" t="s">
        <v>1132</v>
      </c>
      <c r="M9" s="320">
        <f ca="1">INDIRECT("'数据-取费表'!ab"&amp;$G$1)</f>
        <v>0</v>
      </c>
    </row>
    <row r="10" spans="1:37" ht="18" customHeight="1">
      <c r="A10" s="1182" t="s">
        <v>826</v>
      </c>
      <c r="B10" s="1499" t="s">
        <v>1133</v>
      </c>
      <c r="C10" s="322">
        <f ca="1">ROUND(IF(F10="押一",C6/12*F11,IF(F10="押二",C6/12*2*F11,IF(F10="押三",C6/12*3*F11,C11*F11))),0)</f>
        <v>23</v>
      </c>
      <c r="D10" s="1500" t="s">
        <v>2616</v>
      </c>
      <c r="E10" s="319" t="s">
        <v>1134</v>
      </c>
      <c r="F10" s="1229" t="s">
        <v>3564</v>
      </c>
      <c r="G10" s="1518"/>
      <c r="H10" s="1182" t="s">
        <v>826</v>
      </c>
      <c r="I10" s="1499" t="s">
        <v>1133</v>
      </c>
      <c r="J10" s="307">
        <f ca="1">ROUND(IF(M10="押一",J6/12*M11,IF(M10="押二",J6/12*2*M11,IF(M10="押三",J6/12*3*M11,J11*M11))),0)</f>
        <v>0</v>
      </c>
      <c r="K10" s="1500" t="s">
        <v>2615</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95859</v>
      </c>
      <c r="D13" s="1194" t="s">
        <v>1139</v>
      </c>
      <c r="E13" s="1194" t="s">
        <v>1140</v>
      </c>
      <c r="F13" s="1195">
        <f ca="1">INDIRECT("'数据-取费表'!y"&amp;$G$1)</f>
        <v>0.9</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71978</v>
      </c>
      <c r="D14" s="1479" t="s">
        <v>1142</v>
      </c>
      <c r="E14" s="1476"/>
      <c r="F14" s="325"/>
      <c r="G14" s="1518"/>
      <c r="H14" s="1094" t="s">
        <v>822</v>
      </c>
      <c r="I14" s="308" t="s">
        <v>1143</v>
      </c>
      <c r="J14" s="24">
        <f ca="1">C29</f>
        <v>106510</v>
      </c>
      <c r="K14" s="15"/>
      <c r="L14" s="897"/>
      <c r="M14" s="898"/>
    </row>
    <row r="15" spans="1:37" s="1531" customFormat="1" ht="18" customHeight="1" thickBot="1">
      <c r="A15" s="1094" t="s">
        <v>823</v>
      </c>
      <c r="B15" s="308" t="s">
        <v>1144</v>
      </c>
      <c r="C15" s="24">
        <f ca="1">ROUND(C14*F15,0)</f>
        <v>2159</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1963</v>
      </c>
      <c r="K16" s="1200" t="s">
        <v>1149</v>
      </c>
      <c r="L16" s="1201"/>
      <c r="M16" s="1185"/>
    </row>
    <row r="17" spans="1:37" s="1531" customFormat="1" ht="18" customHeight="1">
      <c r="A17" s="1094" t="s">
        <v>1114</v>
      </c>
      <c r="B17" s="308" t="s">
        <v>1150</v>
      </c>
      <c r="C17" s="24">
        <f ca="1">ROUND(F17*(F43+INDIRECT("'数据-取费表'!S"&amp;$G$1))/10000,0)</f>
        <v>2399</v>
      </c>
      <c r="D17" s="308" t="s">
        <v>1151</v>
      </c>
      <c r="E17" s="308" t="s">
        <v>1152</v>
      </c>
      <c r="F17" s="26">
        <f>'数据-取费表'!B35</f>
        <v>200</v>
      </c>
      <c r="G17" s="1530"/>
      <c r="H17" s="1094" t="s">
        <v>822</v>
      </c>
      <c r="I17" s="308" t="s">
        <v>1153</v>
      </c>
      <c r="J17" s="2484">
        <f ca="1">ROUND(IF(AND(项目基本情况!B11="自然人",项目基本情况!B10="北京市"),J6*M17/(1+'数据-取费表'!C42),J18+J19+J20),0)</f>
        <v>898</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1080</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77616</v>
      </c>
      <c r="D19" s="136" t="s">
        <v>1160</v>
      </c>
      <c r="E19" s="1494"/>
      <c r="F19" s="26"/>
      <c r="G19" s="1518"/>
      <c r="H19" s="1094" t="s">
        <v>823</v>
      </c>
      <c r="I19" s="308" t="s">
        <v>1161</v>
      </c>
      <c r="J19" s="24">
        <f ca="1">IF(K19="按租金收入计税",ROUND(J6*M19/(1+'数据-取费表'!C42),2),ROUND(C29*M19*0.7,2))</f>
        <v>894.68</v>
      </c>
      <c r="K19" s="1504" t="s">
        <v>1162</v>
      </c>
      <c r="L19" s="308" t="s">
        <v>1146</v>
      </c>
      <c r="M19" s="328">
        <f>IF(K19="按租金收入计税",'数据-取费表'!B51,'数据-取费表'!B50)</f>
        <v>1.2E-2</v>
      </c>
    </row>
    <row r="20" spans="1:37" s="1531" customFormat="1" ht="18" customHeight="1">
      <c r="A20" s="1094" t="s">
        <v>826</v>
      </c>
      <c r="B20" s="308" t="s">
        <v>1163</v>
      </c>
      <c r="C20" s="24">
        <f ca="1">ROUND(C19*F20,0)</f>
        <v>1552</v>
      </c>
      <c r="D20" s="329" t="s">
        <v>1164</v>
      </c>
      <c r="E20" s="308" t="s">
        <v>1146</v>
      </c>
      <c r="F20" s="328">
        <f>'数据-取费表'!B37</f>
        <v>0.02</v>
      </c>
      <c r="G20" s="1530"/>
      <c r="H20" s="1094" t="s">
        <v>1113</v>
      </c>
      <c r="I20" s="160" t="s">
        <v>1165</v>
      </c>
      <c r="J20" s="25">
        <f ca="1">ROUND(M20*M21/10000,2)</f>
        <v>3.67</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24498.84</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1065.0999999999999</v>
      </c>
      <c r="K22" s="1478"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3285</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ROUND(J13*M23,1)</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ROUND(J5*M24,1)</f>
        <v>0</v>
      </c>
      <c r="K24" s="1205" t="s">
        <v>1183</v>
      </c>
      <c r="L24" s="1203" t="s">
        <v>1179</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-1963</v>
      </c>
      <c r="K25" s="1208" t="s">
        <v>1188</v>
      </c>
      <c r="L25" s="1209"/>
      <c r="M25" s="1210"/>
    </row>
    <row r="26" spans="1:37">
      <c r="A26" s="1094" t="s">
        <v>821</v>
      </c>
      <c r="B26" s="308" t="s">
        <v>1189</v>
      </c>
      <c r="C26" s="24">
        <f ca="1">ROUND((C19+C20)*F26,0)</f>
        <v>15834</v>
      </c>
      <c r="D26" s="329" t="s">
        <v>1190</v>
      </c>
      <c r="E26" s="319" t="s">
        <v>1191</v>
      </c>
      <c r="F26" s="318">
        <f ca="1">INDIRECT("'数据-取费表'!q"&amp;$G$1)</f>
        <v>0.2</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4.0000000000000001E-3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106510</v>
      </c>
      <c r="D29" s="1205"/>
      <c r="E29" s="1203"/>
      <c r="F29" s="1206"/>
      <c r="G29" s="1530"/>
      <c r="H29" s="340" t="s">
        <v>820</v>
      </c>
      <c r="I29" s="341" t="s">
        <v>1203</v>
      </c>
      <c r="J29" s="342">
        <f ca="1">ROUND(J26/(1+F40)^F41,0)</f>
        <v>0</v>
      </c>
      <c r="K29" s="343" t="s">
        <v>1204</v>
      </c>
      <c r="L29" s="344"/>
      <c r="M29" s="345">
        <f ca="1">INDIRECT("'数据-取费表'!k"&amp;$G$1)</f>
        <v>119963.53</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4475</v>
      </c>
      <c r="D30" s="1200" t="s">
        <v>1149</v>
      </c>
      <c r="E30" s="1201"/>
      <c r="F30" s="1185"/>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3126</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4" t="s">
        <v>821</v>
      </c>
      <c r="B32" s="308" t="s">
        <v>1157</v>
      </c>
      <c r="C32" s="24">
        <f ca="1">IF(项目基本情况!B11="自然人","——",ROUND(C6*F32/(1+'数据-取费表'!C42),2))</f>
        <v>981.3</v>
      </c>
      <c r="D32" s="1478" t="s">
        <v>1158</v>
      </c>
      <c r="E32" s="308" t="s">
        <v>1146</v>
      </c>
      <c r="F32" s="337">
        <f>'数据-取费表'!B41</f>
        <v>5.5000000000000007E-2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2141.0300000000002</v>
      </c>
      <c r="D33" s="1504" t="s">
        <v>3565</v>
      </c>
      <c r="E33" s="308" t="s">
        <v>1146</v>
      </c>
      <c r="F33" s="328">
        <f>IF(D33="按票据","——",IF(D33="按租金收入计税",'数据-取费表'!B51,'数据-取费表'!B50))</f>
        <v>0.12</v>
      </c>
      <c r="G33" s="1518"/>
      <c r="H33" s="2878"/>
      <c r="I33" s="1532"/>
      <c r="J33" s="1533"/>
      <c r="K33" s="2879"/>
      <c r="L33" s="2878"/>
      <c r="M33" s="2878"/>
    </row>
    <row r="34" spans="1:18" ht="18" customHeight="1">
      <c r="A34" s="1182" t="s">
        <v>1113</v>
      </c>
      <c r="B34" s="160" t="s">
        <v>1165</v>
      </c>
      <c r="C34" s="25">
        <f ca="1">IF(项目基本情况!B11="自然人","——",ROUND(F34*F35/10000,2))</f>
        <v>3.67</v>
      </c>
      <c r="D34" s="330" t="s">
        <v>1166</v>
      </c>
      <c r="E34" s="308" t="s">
        <v>1167</v>
      </c>
      <c r="F34" s="331">
        <f>'数据-取费表'!B52</f>
        <v>1.5</v>
      </c>
      <c r="G34" s="1518"/>
      <c r="H34" s="2875"/>
      <c r="I34" s="1532"/>
      <c r="J34" s="1533"/>
      <c r="K34" s="2880"/>
      <c r="L34" s="2881"/>
      <c r="M34" s="2881"/>
    </row>
    <row r="35" spans="1:18" ht="18" customHeight="1">
      <c r="A35" s="1216"/>
      <c r="B35" s="1214"/>
      <c r="C35" s="29"/>
      <c r="D35" s="333"/>
      <c r="E35" s="308" t="s">
        <v>1171</v>
      </c>
      <c r="F35" s="309">
        <f ca="1">INDIRECT("'数据-取费表'!r"&amp;$G$1)</f>
        <v>24498.84</v>
      </c>
      <c r="G35" s="1518"/>
      <c r="H35" s="2875"/>
      <c r="I35" s="1532"/>
      <c r="J35" s="1533"/>
      <c r="K35" s="2879"/>
      <c r="L35" s="2878"/>
      <c r="M35" s="2878"/>
    </row>
    <row r="36" spans="1:18" ht="18" customHeight="1">
      <c r="A36" s="1215" t="s">
        <v>826</v>
      </c>
      <c r="B36" s="308" t="s">
        <v>1173</v>
      </c>
      <c r="C36" s="24">
        <f ca="1">ROUND(C29*F36,1)</f>
        <v>1065.0999999999999</v>
      </c>
      <c r="D36" s="1478" t="s">
        <v>1206</v>
      </c>
      <c r="E36" s="308" t="s">
        <v>1146</v>
      </c>
      <c r="F36" s="334">
        <f ca="1">INDIRECT("'数据-取费表'!Ak"&amp;$G$1)</f>
        <v>0.01</v>
      </c>
      <c r="G36" s="1518"/>
      <c r="H36" s="2878"/>
      <c r="I36" s="1532"/>
      <c r="J36" s="1533"/>
      <c r="K36" s="2719"/>
      <c r="L36" s="2878"/>
      <c r="M36" s="2878"/>
    </row>
    <row r="37" spans="1:18" ht="18" customHeight="1">
      <c r="A37" s="1094" t="s">
        <v>862</v>
      </c>
      <c r="B37" s="308" t="s">
        <v>1177</v>
      </c>
      <c r="C37" s="24">
        <f ca="1">ROUND(C13*F37,1)</f>
        <v>95.9</v>
      </c>
      <c r="D37" s="1478" t="s">
        <v>1178</v>
      </c>
      <c r="E37" s="308" t="s">
        <v>1179</v>
      </c>
      <c r="F37" s="336">
        <f ca="1">INDIRECT("'数据-取费表'!Al"&amp;$G$1)</f>
        <v>1E-3</v>
      </c>
      <c r="G37" s="1518"/>
      <c r="H37" s="2878"/>
      <c r="I37" s="1532"/>
      <c r="J37" s="1533"/>
      <c r="K37" s="2719"/>
      <c r="L37" s="2878"/>
      <c r="M37" s="2878"/>
    </row>
    <row r="38" spans="1:18" ht="18" customHeight="1" thickBot="1">
      <c r="A38" s="1202" t="s">
        <v>1117</v>
      </c>
      <c r="B38" s="1203" t="s">
        <v>1163</v>
      </c>
      <c r="C38" s="1204">
        <f ca="1">ROUND(C5*F38,1)</f>
        <v>187.6</v>
      </c>
      <c r="D38" s="1205" t="s">
        <v>1183</v>
      </c>
      <c r="E38" s="1203" t="s">
        <v>1179</v>
      </c>
      <c r="F38" s="1199">
        <f ca="1">INDIRECT("'数据-取费表'!Am"&amp;$G$1)</f>
        <v>0.01</v>
      </c>
      <c r="G38" s="1518"/>
      <c r="H38" s="2878"/>
      <c r="I38" s="1532"/>
      <c r="J38" s="1533"/>
      <c r="K38" s="2882"/>
      <c r="L38" s="2878"/>
      <c r="M38" s="2878"/>
    </row>
    <row r="39" spans="1:18" ht="24.6" customHeight="1" thickTop="1">
      <c r="A39" s="1192" t="s">
        <v>818</v>
      </c>
      <c r="B39" s="1207" t="s">
        <v>1207</v>
      </c>
      <c r="C39" s="316">
        <f ca="1">C5-C30</f>
        <v>14282</v>
      </c>
      <c r="D39" s="1208" t="s">
        <v>1208</v>
      </c>
      <c r="E39" s="1209"/>
      <c r="F39" s="1210"/>
      <c r="G39" s="1518"/>
      <c r="H39" s="2878"/>
      <c r="I39" s="1532"/>
      <c r="J39" s="1533"/>
      <c r="K39" s="2882"/>
      <c r="L39" s="2878"/>
      <c r="M39" s="2878"/>
    </row>
    <row r="40" spans="1:18" ht="18" customHeight="1">
      <c r="A40" s="305" t="s">
        <v>819</v>
      </c>
      <c r="B40" s="306" t="s">
        <v>1209</v>
      </c>
      <c r="C40" s="307">
        <f ca="1">ROUND(C39*(1-((1+F42)/(1+F40))^F41)/(F40-F42),0)</f>
        <v>271029</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29.2</v>
      </c>
      <c r="G41" s="1518"/>
      <c r="H41" s="1305"/>
      <c r="I41" s="1532"/>
      <c r="J41" s="1533"/>
      <c r="K41" s="2719"/>
      <c r="L41" s="1305"/>
      <c r="M41" s="1305"/>
    </row>
    <row r="42" spans="1:18" ht="18" customHeight="1">
      <c r="A42" s="314"/>
      <c r="B42" s="315"/>
      <c r="C42" s="316"/>
      <c r="D42" s="333"/>
      <c r="E42" s="308" t="s">
        <v>1201</v>
      </c>
      <c r="F42" s="318">
        <f ca="1">INDIRECT("'数据-取费表'!v"&amp;$G$1)</f>
        <v>2.5000000000000001E-2</v>
      </c>
      <c r="G42" s="1518"/>
      <c r="H42" s="1305"/>
      <c r="I42" s="1532"/>
      <c r="J42" s="1533"/>
      <c r="K42" s="2719"/>
      <c r="L42" s="1305"/>
      <c r="M42" s="1305"/>
    </row>
    <row r="43" spans="1:18" ht="18" customHeight="1" thickBot="1">
      <c r="A43" s="340" t="s">
        <v>820</v>
      </c>
      <c r="B43" s="341" t="s">
        <v>1211</v>
      </c>
      <c r="C43" s="342">
        <f ca="1">ROUND(C40*10000/F43,0)</f>
        <v>22593</v>
      </c>
      <c r="D43" s="343" t="s">
        <v>1212</v>
      </c>
      <c r="E43" s="344" t="s">
        <v>1213</v>
      </c>
      <c r="F43" s="345">
        <f ca="1">INDIRECT("'数据-取费表'!k"&amp;$G$1)</f>
        <v>119963.53</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3" t="s">
        <v>1243</v>
      </c>
      <c r="P45" s="1595"/>
      <c r="Q45" s="1595"/>
      <c r="R45" s="1595"/>
    </row>
    <row r="46" spans="1:18" s="1518" customFormat="1" ht="13.5" thickBot="1">
      <c r="A46" s="1538" t="s">
        <v>1244</v>
      </c>
      <c r="C46" s="1539">
        <f ca="1">C68-C40</f>
        <v>-416380</v>
      </c>
      <c r="D46" s="1540" t="str">
        <f>C2</f>
        <v>万元</v>
      </c>
      <c r="E46" s="1534"/>
      <c r="F46" s="1534"/>
      <c r="I46" s="1541" t="s">
        <v>1245</v>
      </c>
      <c r="J46" s="1542"/>
      <c r="K46" s="1543"/>
      <c r="L46" s="1544">
        <f ca="1">IF(M47="住宅",0,IF(L48&gt;J51,L60,J60))</f>
        <v>5324</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3566</v>
      </c>
      <c r="K47" s="1550" t="s">
        <v>1251</v>
      </c>
      <c r="L47" s="1551">
        <f ca="1">INDIRECT("'数据-取费表'!d"&amp;$G$1)</f>
        <v>40</v>
      </c>
      <c r="M47" s="1514" t="str">
        <f>IF(ISNUMBER(FIND("住宅",C1)),"住宅","非住宅")</f>
        <v>非住宅</v>
      </c>
      <c r="O47" s="1552" t="s">
        <v>827</v>
      </c>
      <c r="P47" s="1553" t="s">
        <v>1252</v>
      </c>
      <c r="Q47" s="1554">
        <f ca="1">C40+J29</f>
        <v>271029</v>
      </c>
      <c r="R47" s="1554" t="s">
        <v>1253</v>
      </c>
    </row>
    <row r="48" spans="1:18" s="1518" customFormat="1" ht="28.5" thickBot="1">
      <c r="A48" s="1223" t="s">
        <v>863</v>
      </c>
      <c r="B48" s="306" t="s">
        <v>1125</v>
      </c>
      <c r="C48" s="1493">
        <f ca="1">C49+C53+C55</f>
        <v>0</v>
      </c>
      <c r="D48" s="1225"/>
      <c r="E48" s="1226"/>
      <c r="F48" s="1074"/>
      <c r="G48" s="731"/>
      <c r="H48" s="732"/>
      <c r="I48" s="1555" t="s">
        <v>1254</v>
      </c>
      <c r="J48" s="1556" t="s">
        <v>3567</v>
      </c>
      <c r="K48" s="1557" t="s">
        <v>1255</v>
      </c>
      <c r="L48" s="1558">
        <f ca="1">INDIRECT("'数据-取费表'!f"&amp;$G$1)</f>
        <v>29.2</v>
      </c>
      <c r="O48" s="1552" t="s">
        <v>828</v>
      </c>
      <c r="P48" s="1553" t="s">
        <v>1256</v>
      </c>
      <c r="Q48" s="1554">
        <f ca="1">J60</f>
        <v>5324</v>
      </c>
      <c r="R48" s="1554" t="s">
        <v>1257</v>
      </c>
    </row>
    <row r="49" spans="1:18" s="1518" customFormat="1" ht="13.5" thickBot="1">
      <c r="A49" s="1087" t="s">
        <v>864</v>
      </c>
      <c r="B49" s="1505" t="s">
        <v>1214</v>
      </c>
      <c r="C49" s="1227">
        <f ca="1">ROUND(F49*F51*F50*(1-F52)/10000,0)</f>
        <v>0</v>
      </c>
      <c r="D49" s="1167" t="s">
        <v>2609</v>
      </c>
      <c r="E49" s="1506" t="s">
        <v>1215</v>
      </c>
      <c r="F49" s="1172"/>
      <c r="G49" s="1559"/>
      <c r="H49" s="732"/>
      <c r="I49" s="1555" t="s">
        <v>1258</v>
      </c>
      <c r="J49" s="1560">
        <v>2016</v>
      </c>
      <c r="K49" s="1557" t="s">
        <v>1259</v>
      </c>
      <c r="L49" s="1561"/>
      <c r="O49" s="1562" t="s">
        <v>829</v>
      </c>
      <c r="P49" s="1553" t="s">
        <v>1260</v>
      </c>
      <c r="Q49" s="1554">
        <f ca="1">C29</f>
        <v>106510</v>
      </c>
      <c r="R49" s="1554" t="s">
        <v>1253</v>
      </c>
    </row>
    <row r="50" spans="1:18" s="1518" customFormat="1" ht="13.5" thickBot="1">
      <c r="A50" s="1088"/>
      <c r="B50" s="1091"/>
      <c r="C50" s="1231"/>
      <c r="D50" s="1065"/>
      <c r="E50" s="1168" t="s">
        <v>1130</v>
      </c>
      <c r="F50" s="1169">
        <f ca="1">F7</f>
        <v>103688.47</v>
      </c>
      <c r="H50" s="732"/>
      <c r="I50" s="1555" t="s">
        <v>1261</v>
      </c>
      <c r="J50" s="1563">
        <f>SUMPRODUCT((I63:I65=J47)*(J62:L62=J48)*(J63:L65))</f>
        <v>60</v>
      </c>
      <c r="K50" s="1557" t="s">
        <v>1262</v>
      </c>
      <c r="L50" s="1561"/>
      <c r="M50" s="1564"/>
      <c r="O50" s="1562" t="s">
        <v>830</v>
      </c>
      <c r="P50" s="1553" t="s">
        <v>1263</v>
      </c>
      <c r="Q50" s="1565">
        <f ca="1">J58</f>
        <v>0.41299999999999998</v>
      </c>
      <c r="R50" s="1554"/>
    </row>
    <row r="51" spans="1:18" s="1518" customFormat="1" ht="13.5" thickBot="1">
      <c r="A51" s="1089"/>
      <c r="B51" s="1091"/>
      <c r="C51" s="1092"/>
      <c r="D51" s="1065"/>
      <c r="E51" s="1093" t="s">
        <v>1131</v>
      </c>
      <c r="F51" s="309">
        <f ca="1">F8</f>
        <v>365</v>
      </c>
      <c r="I51" s="1566" t="s">
        <v>1264</v>
      </c>
      <c r="J51" s="1567">
        <f>IF(J49="",J50,J49+J50-YEAR('数据-取费表'!B2))</f>
        <v>54</v>
      </c>
      <c r="K51" s="1568" t="s">
        <v>1265</v>
      </c>
      <c r="L51" s="1569">
        <f ca="1">ROUND(-PV(INDIRECT("'数据-取费表'!h"&amp;$G$1),J51,(C39-C13*C76),0),0)</f>
        <v>140573</v>
      </c>
      <c r="M51" s="1570"/>
      <c r="O51" s="1562" t="s">
        <v>831</v>
      </c>
      <c r="P51" s="1553" t="s">
        <v>1266</v>
      </c>
      <c r="Q51" s="1565">
        <f>J52</f>
        <v>7.4999999999999997E-2</v>
      </c>
      <c r="R51" s="1554"/>
    </row>
    <row r="52" spans="1:18" s="1518" customFormat="1" ht="13.5" thickBot="1">
      <c r="A52" s="1089"/>
      <c r="B52" s="1091"/>
      <c r="C52" s="1092"/>
      <c r="D52" s="1065"/>
      <c r="E52" s="1093" t="s">
        <v>1132</v>
      </c>
      <c r="F52" s="1166"/>
      <c r="I52" s="1571" t="s">
        <v>1267</v>
      </c>
      <c r="J52" s="1572">
        <v>7.4999999999999997E-2</v>
      </c>
      <c r="K52" s="1571" t="s">
        <v>1268</v>
      </c>
      <c r="L52" s="1572"/>
      <c r="O52" s="1562" t="s">
        <v>832</v>
      </c>
      <c r="P52" s="1553" t="s">
        <v>1269</v>
      </c>
      <c r="Q52" s="1554">
        <f ca="1">J53</f>
        <v>29.2</v>
      </c>
      <c r="R52" s="1554" t="s">
        <v>1270</v>
      </c>
    </row>
    <row r="53" spans="1:18" s="1518" customFormat="1" ht="24.75" thickBot="1">
      <c r="A53" s="1267" t="s">
        <v>865</v>
      </c>
      <c r="B53" s="1507" t="s">
        <v>1133</v>
      </c>
      <c r="C53" s="322">
        <f ca="1">ROUND(IF(F53="押一",C49/12*F11,IF(F53="押二",C49/12*2*F11,IF(F53="押三",C49/12*3*F11,C54*F11))),0)</f>
        <v>0</v>
      </c>
      <c r="D53" s="1500" t="s">
        <v>2615</v>
      </c>
      <c r="E53" s="319" t="s">
        <v>1134</v>
      </c>
      <c r="F53" s="1229"/>
      <c r="I53" s="1573" t="s">
        <v>1271</v>
      </c>
      <c r="J53" s="2336">
        <f ca="1">IF(M47="住宅",IF(D1="——",MAX(J51,L48),MAX(J51,L48-'数据-取费表'!B24)),IF(D1="——",MIN(J51,L48),MIN(J51,L48-'数据-取费表'!B24)))</f>
        <v>29.2</v>
      </c>
      <c r="K53" s="3456" t="s">
        <v>1272</v>
      </c>
      <c r="L53" s="3457"/>
      <c r="O53" s="1552" t="s">
        <v>833</v>
      </c>
      <c r="P53" s="1553" t="s">
        <v>1273</v>
      </c>
      <c r="Q53" s="1554">
        <f ca="1">Q47+Q48</f>
        <v>276353</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f ca="1">ROUND(IF(J47="钢混",J57/J50,1-(1-2%)*(J50-J57)/J50),3)</f>
        <v>0.41299999999999998</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95859</v>
      </c>
      <c r="D56" s="1581"/>
      <c r="E56" s="1582"/>
      <c r="F56" s="1574"/>
      <c r="I56" s="1583" t="s">
        <v>1278</v>
      </c>
      <c r="J56" s="1584" t="s">
        <v>3568</v>
      </c>
      <c r="K56" s="1555" t="s">
        <v>1279</v>
      </c>
      <c r="L56" s="1558" t="str">
        <f ca="1">IF(L48&lt;J51,"——",L48-J53)</f>
        <v>——</v>
      </c>
      <c r="O56" s="1552" t="s">
        <v>827</v>
      </c>
      <c r="P56" s="1553" t="s">
        <v>1252</v>
      </c>
      <c r="Q56" s="1554">
        <f ca="1">C40+J29</f>
        <v>271029</v>
      </c>
      <c r="R56" s="1554" t="s">
        <v>1253</v>
      </c>
    </row>
    <row r="57" spans="1:18" s="1518" customFormat="1" ht="24.75" thickBot="1">
      <c r="A57" s="1585"/>
      <c r="B57" s="1062" t="s">
        <v>1202</v>
      </c>
      <c r="C57" s="244">
        <f ca="1">C29</f>
        <v>106510</v>
      </c>
      <c r="D57" s="1586"/>
      <c r="E57" s="1587"/>
      <c r="F57" s="1588"/>
      <c r="I57" s="1589" t="s">
        <v>1280</v>
      </c>
      <c r="J57" s="1590">
        <f ca="1">IF(OR(M47="住宅",J51&lt;L48,J56="是"),"——",J51-L48)</f>
        <v>24.8</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10112</v>
      </c>
      <c r="D58" s="1072" t="s">
        <v>1149</v>
      </c>
      <c r="E58" s="1073"/>
      <c r="F58" s="1074"/>
      <c r="I58" s="1589" t="s">
        <v>1284</v>
      </c>
      <c r="J58" s="1591">
        <f ca="1">IF(J55&lt;0.4,0.4,J55)</f>
        <v>0.41299999999999998</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8951</v>
      </c>
      <c r="D59" s="1075" t="s">
        <v>1154</v>
      </c>
      <c r="E59" s="1076" t="s">
        <v>1155</v>
      </c>
      <c r="F59" s="2483" t="str">
        <f>IF(项目基本情况!B11="企业","——",IF('数据-取费表'!B10="住宅",IF(F49*F50*F51/12/(1+'数据-取费表'!F30)&gt;100000,4%,2.5%),IF(F49*F50*F51/12/(1+'数据-取费表'!F30)&gt;100000,12%,7%)))</f>
        <v>——</v>
      </c>
      <c r="I59" s="1589" t="s">
        <v>1287</v>
      </c>
      <c r="J59" s="1590">
        <f ca="1">IF(OR(M47="住宅",J51&lt;L48,J56="是"),"——",ROUND(C29*J58,0))</f>
        <v>43989</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f ca="1">IF(OR(M47="住宅",J51&lt;L48,J56="是"),"0",ROUND(J59/(1+J52)^J53,0))</f>
        <v>5324</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8946.84</v>
      </c>
      <c r="D61" s="1504" t="s">
        <v>1162</v>
      </c>
      <c r="E61" s="1062"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3.67</v>
      </c>
      <c r="D62" s="1077" t="s">
        <v>1221</v>
      </c>
      <c r="E62" s="1062" t="s">
        <v>1222</v>
      </c>
      <c r="F62" s="331">
        <f t="shared" si="0"/>
        <v>1.5</v>
      </c>
      <c r="I62" s="1596" t="s">
        <v>1294</v>
      </c>
      <c r="J62" s="1597" t="s">
        <v>1295</v>
      </c>
      <c r="K62" s="1597" t="s">
        <v>1296</v>
      </c>
      <c r="L62" s="1597" t="s">
        <v>1297</v>
      </c>
      <c r="M62" s="1598" t="s">
        <v>1298</v>
      </c>
      <c r="O62" s="1552" t="s">
        <v>833</v>
      </c>
      <c r="P62" s="1553" t="s">
        <v>1299</v>
      </c>
      <c r="Q62" s="1554">
        <f ca="1">Q56+Q57</f>
        <v>271029</v>
      </c>
      <c r="R62" s="1554" t="s">
        <v>834</v>
      </c>
    </row>
    <row r="63" spans="1:18" s="1518" customFormat="1" ht="13.5" thickBot="1">
      <c r="A63" s="332"/>
      <c r="B63" s="1068"/>
      <c r="C63" s="29"/>
      <c r="D63" s="1078"/>
      <c r="E63" s="1062" t="s">
        <v>1223</v>
      </c>
      <c r="F63" s="309">
        <f t="shared" ca="1" si="0"/>
        <v>24498.84</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1065.0999999999999</v>
      </c>
      <c r="D64" s="1076" t="s">
        <v>1226</v>
      </c>
      <c r="E64" s="1062"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95.9</v>
      </c>
      <c r="D65" s="1076" t="s">
        <v>1178</v>
      </c>
      <c r="E65" s="1062" t="s">
        <v>1179</v>
      </c>
      <c r="F65" s="336">
        <f t="shared" ca="1" si="0"/>
        <v>1E-3</v>
      </c>
      <c r="I65" s="1596" t="s">
        <v>1303</v>
      </c>
      <c r="J65" s="1597">
        <v>40</v>
      </c>
      <c r="K65" s="1597">
        <v>30</v>
      </c>
      <c r="L65" s="1597">
        <v>50</v>
      </c>
      <c r="M65" s="1599">
        <v>0.02</v>
      </c>
      <c r="O65" s="1552" t="s">
        <v>827</v>
      </c>
      <c r="P65" s="1553" t="s">
        <v>1304</v>
      </c>
      <c r="Q65" s="1554">
        <f ca="1">C40+J29</f>
        <v>271029</v>
      </c>
      <c r="R65" s="1554" t="s">
        <v>1253</v>
      </c>
    </row>
    <row r="66" spans="1:18" s="1518" customFormat="1" ht="16.5" thickBot="1">
      <c r="A66" s="1094" t="s">
        <v>1228</v>
      </c>
      <c r="B66" s="1062" t="s">
        <v>1163</v>
      </c>
      <c r="C66" s="24">
        <f ca="1">ROUND(C48*F66,1)</f>
        <v>0</v>
      </c>
      <c r="D66" s="1076" t="s">
        <v>1229</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-10112</v>
      </c>
      <c r="D67" s="1075" t="s">
        <v>1188</v>
      </c>
      <c r="E67" s="1080"/>
      <c r="F67" s="1081"/>
      <c r="O67" s="1562" t="s">
        <v>829</v>
      </c>
      <c r="P67" s="1553" t="s">
        <v>1286</v>
      </c>
      <c r="Q67" s="1600">
        <f ca="1">L51</f>
        <v>140573</v>
      </c>
      <c r="R67" s="1554" t="s">
        <v>1306</v>
      </c>
    </row>
    <row r="68" spans="1:18" s="1518" customFormat="1" ht="16.5" thickBot="1">
      <c r="A68" s="1059" t="s">
        <v>819</v>
      </c>
      <c r="B68" s="1060" t="s">
        <v>1209</v>
      </c>
      <c r="C68" s="307">
        <f ca="1">ROUND(C67*(1-((1+F70)/(1+F68))^F69)/(F68-F70),0)</f>
        <v>-145351</v>
      </c>
      <c r="D68" s="1077" t="s">
        <v>1193</v>
      </c>
      <c r="E68" s="1062" t="s">
        <v>1194</v>
      </c>
      <c r="F68" s="318">
        <f ca="1">F40</f>
        <v>5.5E-2</v>
      </c>
      <c r="O68" s="1562" t="s">
        <v>830</v>
      </c>
      <c r="P68" s="1601" t="s">
        <v>1307</v>
      </c>
      <c r="Q68" s="1554">
        <f ca="1">ROUND(Q69-Q70*Q71,0)</f>
        <v>7572</v>
      </c>
      <c r="R68" s="1554" t="s">
        <v>838</v>
      </c>
    </row>
    <row r="69" spans="1:18" s="1518" customFormat="1" ht="13.5" thickBot="1">
      <c r="A69" s="1063"/>
      <c r="B69" s="1064"/>
      <c r="C69" s="312"/>
      <c r="D69" s="1082" t="s">
        <v>1197</v>
      </c>
      <c r="E69" s="1062" t="s">
        <v>1198</v>
      </c>
      <c r="F69" s="339">
        <f ca="1">F41</f>
        <v>29.2</v>
      </c>
      <c r="O69" s="1562" t="s">
        <v>835</v>
      </c>
      <c r="P69" s="1601" t="s">
        <v>1308</v>
      </c>
      <c r="Q69" s="1554">
        <f ca="1">C39</f>
        <v>14282</v>
      </c>
      <c r="R69" s="1554" t="s">
        <v>1253</v>
      </c>
    </row>
    <row r="70" spans="1:18" s="1518" customFormat="1" ht="13.5" thickBot="1">
      <c r="A70" s="1066"/>
      <c r="B70" s="1067"/>
      <c r="C70" s="316"/>
      <c r="D70" s="1078"/>
      <c r="E70" s="1062" t="s">
        <v>1201</v>
      </c>
      <c r="F70" s="1166"/>
      <c r="O70" s="1562" t="s">
        <v>836</v>
      </c>
      <c r="P70" s="1601" t="s">
        <v>1309</v>
      </c>
      <c r="Q70" s="1554">
        <f ca="1">C13</f>
        <v>95859</v>
      </c>
      <c r="R70" s="1554" t="s">
        <v>1253</v>
      </c>
    </row>
    <row r="71" spans="1:18" s="1518" customFormat="1" ht="13.5" thickBot="1">
      <c r="A71" s="1083" t="s">
        <v>820</v>
      </c>
      <c r="B71" s="1084" t="s">
        <v>1211</v>
      </c>
      <c r="C71" s="342">
        <f ca="1">ROUND(C68*10000/F71,0)</f>
        <v>-12116</v>
      </c>
      <c r="D71" s="1085" t="s">
        <v>1212</v>
      </c>
      <c r="E71" s="1086" t="s">
        <v>1213</v>
      </c>
      <c r="F71" s="345">
        <f ca="1">F43</f>
        <v>119963.53</v>
      </c>
      <c r="O71" s="1562" t="s">
        <v>837</v>
      </c>
      <c r="P71" s="1601" t="s">
        <v>1310</v>
      </c>
      <c r="Q71" s="1565">
        <f ca="1">C76</f>
        <v>7.0000000000000007E-2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6710</v>
      </c>
      <c r="D75" s="1518"/>
      <c r="E75" s="1518"/>
      <c r="F75" s="1518"/>
      <c r="K75" s="1536"/>
      <c r="L75" s="1518"/>
      <c r="O75" s="1552" t="s">
        <v>833</v>
      </c>
      <c r="P75" s="1553" t="s">
        <v>1273</v>
      </c>
      <c r="Q75" s="1554">
        <f ca="1">Q65+Q66</f>
        <v>271029</v>
      </c>
      <c r="R75" s="1554" t="s">
        <v>834</v>
      </c>
    </row>
    <row r="76" spans="1:18">
      <c r="B76" s="348" t="s">
        <v>1231</v>
      </c>
      <c r="C76" s="349">
        <f ca="1">INDIRECT("'数据-取费表'!j"&amp;$G$1)</f>
        <v>7.0000000000000007E-2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0.53</v>
      </c>
    </row>
    <row r="80" spans="1:18">
      <c r="B80" s="346" t="s">
        <v>1235</v>
      </c>
      <c r="C80" s="280">
        <f ca="1">ROUND(C75/C39,3)</f>
        <v>0.47</v>
      </c>
    </row>
    <row r="81" spans="2:3">
      <c r="B81" s="276" t="s">
        <v>1236</v>
      </c>
      <c r="C81" s="244"/>
    </row>
    <row r="82" spans="2:3">
      <c r="B82" s="279" t="s">
        <v>1237</v>
      </c>
      <c r="C82" s="281">
        <f ca="1">1-C83</f>
        <v>0.64600000000000002</v>
      </c>
    </row>
    <row r="83" spans="2:3">
      <c r="B83" s="279" t="s">
        <v>1238</v>
      </c>
      <c r="C83" s="280">
        <f ca="1">ROUND(C13/C40,3)</f>
        <v>0.35399999999999998</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0</v>
      </c>
      <c r="G1" s="1512">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458" t="s">
        <v>1127</v>
      </c>
      <c r="C6" s="1187">
        <f ca="1">ROUND(F6*F8*F7*(1-F9),0)</f>
        <v>0</v>
      </c>
      <c r="D6" s="160" t="s">
        <v>2605</v>
      </c>
      <c r="E6" s="308" t="s">
        <v>1129</v>
      </c>
      <c r="F6" s="309">
        <f ca="1">INDIRECT("'数据-取费表'!u"&amp;$G$1)</f>
        <v>0</v>
      </c>
      <c r="G6" s="1518"/>
      <c r="H6" s="1182" t="s">
        <v>822</v>
      </c>
      <c r="I6" s="3458" t="s">
        <v>1127</v>
      </c>
      <c r="J6" s="307">
        <f ca="1">ROUND(M6*M8*M7*(1-M9),0)</f>
        <v>0</v>
      </c>
      <c r="K6" s="1510" t="s">
        <v>2606</v>
      </c>
      <c r="L6" s="308" t="s">
        <v>1129</v>
      </c>
      <c r="M6" s="309">
        <f ca="1">INDIRECT("'数据-取费表'!z"&amp;$G$1)</f>
        <v>0</v>
      </c>
    </row>
    <row r="7" spans="1:37" ht="18" customHeight="1">
      <c r="A7" s="1186"/>
      <c r="B7" s="3459"/>
      <c r="C7" s="1188"/>
      <c r="D7" s="313"/>
      <c r="E7" s="1189" t="s">
        <v>1130</v>
      </c>
      <c r="F7" s="309">
        <f ca="1">IF(INDIRECT("'数据-取费表'!ah"&amp;$G$1)="",INDIRECT("'数据-取费表'!k"&amp;$G$1),INDIRECT("'数据-取费表'!ah"&amp;$G$1))</f>
        <v>0</v>
      </c>
      <c r="G7" s="1518"/>
      <c r="H7" s="310"/>
      <c r="I7" s="3459"/>
      <c r="J7" s="312"/>
      <c r="K7" s="313"/>
      <c r="L7" s="308" t="s">
        <v>1130</v>
      </c>
      <c r="M7" s="309">
        <f ca="1">F7</f>
        <v>0</v>
      </c>
    </row>
    <row r="8" spans="1:37" ht="18" customHeight="1">
      <c r="A8" s="310"/>
      <c r="B8" s="3459"/>
      <c r="C8" s="312"/>
      <c r="D8" s="313"/>
      <c r="E8" s="308" t="s">
        <v>1131</v>
      </c>
      <c r="F8" s="309">
        <f ca="1">INDIRECT("'数据-取费表'!ai"&amp;$G$1)</f>
        <v>0</v>
      </c>
      <c r="G8" s="1518"/>
      <c r="H8" s="310"/>
      <c r="I8" s="3459"/>
      <c r="J8" s="312"/>
      <c r="K8" s="313"/>
      <c r="L8" s="308" t="s">
        <v>1131</v>
      </c>
      <c r="M8" s="309">
        <f ca="1">INDIRECT("'数据-取费表'!ai"&amp;$G$1)</f>
        <v>0</v>
      </c>
    </row>
    <row r="9" spans="1:37" ht="18" customHeight="1">
      <c r="A9" s="310"/>
      <c r="B9" s="3460"/>
      <c r="C9" s="312"/>
      <c r="D9" s="313"/>
      <c r="E9" s="308" t="s">
        <v>1132</v>
      </c>
      <c r="F9" s="318">
        <f ca="1">INDIRECT("'数据-取费表'!w"&amp;$G$1)</f>
        <v>0</v>
      </c>
      <c r="G9" s="1518"/>
      <c r="H9" s="310"/>
      <c r="I9" s="3460"/>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2615</v>
      </c>
      <c r="E10" s="319" t="s">
        <v>1134</v>
      </c>
      <c r="F10" s="1229"/>
      <c r="G10" s="1518"/>
      <c r="H10" s="1182" t="s">
        <v>826</v>
      </c>
      <c r="I10" s="1499" t="s">
        <v>1133</v>
      </c>
      <c r="J10" s="307">
        <f ca="1">ROUND(IF(M10="押一",J6/12*M11,IF(M10="押二",J6/12*2*M11,IF(M10="押三",J6/12*3*M11,J11*M11))),0)</f>
        <v>0</v>
      </c>
      <c r="K10" s="1511" t="s">
        <v>2617</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4" t="s">
        <v>821</v>
      </c>
      <c r="B32" s="308" t="s">
        <v>1157</v>
      </c>
      <c r="C32" s="24">
        <f ca="1">IF(项目基本情况!B11="自然人","——",ROUND(C6*F32/(1+'数据-取费表'!C42),0))</f>
        <v>0</v>
      </c>
      <c r="D32" s="1478" t="s">
        <v>1158</v>
      </c>
      <c r="E32" s="308" t="s">
        <v>1146</v>
      </c>
      <c r="F32" s="337">
        <f>'数据-取费表'!B41</f>
        <v>5.5000000000000007E-2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2" t="s">
        <v>1113</v>
      </c>
      <c r="B34" s="160" t="s">
        <v>1165</v>
      </c>
      <c r="C34" s="25">
        <f ca="1">IF(项目基本情况!B11="自然人","——",ROUND(F34*F35,))</f>
        <v>0</v>
      </c>
      <c r="D34" s="330" t="s">
        <v>1166</v>
      </c>
      <c r="E34" s="308" t="s">
        <v>1167</v>
      </c>
      <c r="F34" s="331">
        <f>'数据-取费表'!B52</f>
        <v>1.5</v>
      </c>
      <c r="G34" s="1518"/>
      <c r="H34" s="2875"/>
      <c r="I34" s="1532"/>
      <c r="J34" s="1533"/>
      <c r="K34" s="2880"/>
      <c r="L34" s="2881"/>
      <c r="M34" s="2881"/>
    </row>
    <row r="35" spans="1:18" ht="18" customHeight="1">
      <c r="A35" s="1216"/>
      <c r="B35" s="1214"/>
      <c r="C35" s="29"/>
      <c r="D35" s="333"/>
      <c r="E35" s="308" t="s">
        <v>1171</v>
      </c>
      <c r="F35" s="309">
        <f ca="1">INDIRECT("'数据-取费表'!r"&amp;$G$1)</f>
        <v>0</v>
      </c>
      <c r="G35" s="1518"/>
      <c r="H35" s="2875"/>
      <c r="I35" s="1532"/>
      <c r="J35" s="1533"/>
      <c r="K35" s="2879"/>
      <c r="L35" s="2878"/>
      <c r="M35" s="2878"/>
    </row>
    <row r="36" spans="1:18" ht="18" customHeight="1">
      <c r="A36" s="1215" t="s">
        <v>826</v>
      </c>
      <c r="B36" s="308" t="s">
        <v>1173</v>
      </c>
      <c r="C36" s="24">
        <f ca="1">ROUND(C29*F36,0)</f>
        <v>0</v>
      </c>
      <c r="D36" s="1478" t="s">
        <v>1206</v>
      </c>
      <c r="E36" s="308" t="s">
        <v>1146</v>
      </c>
      <c r="F36" s="334">
        <f ca="1">INDIRECT("'数据-取费表'!Ak"&amp;$G$1)</f>
        <v>0</v>
      </c>
      <c r="G36" s="1518"/>
      <c r="H36" s="2878"/>
      <c r="I36" s="1532"/>
      <c r="J36" s="1533"/>
      <c r="K36" s="2719"/>
      <c r="L36" s="2878"/>
      <c r="M36" s="2878"/>
    </row>
    <row r="37" spans="1:18" ht="18" customHeight="1">
      <c r="A37" s="1094" t="s">
        <v>862</v>
      </c>
      <c r="B37" s="308" t="s">
        <v>1177</v>
      </c>
      <c r="C37" s="24">
        <f ca="1">ROUND(C13*F37,0)</f>
        <v>0</v>
      </c>
      <c r="D37" s="1478" t="s">
        <v>1178</v>
      </c>
      <c r="E37" s="308" t="s">
        <v>1179</v>
      </c>
      <c r="F37" s="336">
        <f ca="1">INDIRECT("'数据-取费表'!Al"&amp;$G$1)</f>
        <v>0</v>
      </c>
      <c r="G37" s="1518"/>
      <c r="H37" s="2878"/>
      <c r="I37" s="1532"/>
      <c r="J37" s="1533"/>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8"/>
      <c r="H38" s="2878"/>
      <c r="I38" s="1532"/>
      <c r="J38" s="1533"/>
      <c r="K38" s="2882"/>
      <c r="L38" s="2878"/>
      <c r="M38" s="2878"/>
    </row>
    <row r="39" spans="1:18" ht="24.6" customHeight="1" thickTop="1">
      <c r="A39" s="1192" t="s">
        <v>818</v>
      </c>
      <c r="B39" s="1207" t="s">
        <v>1207</v>
      </c>
      <c r="C39" s="316">
        <f ca="1">C5-C30</f>
        <v>0</v>
      </c>
      <c r="D39" s="1208" t="s">
        <v>1208</v>
      </c>
      <c r="E39" s="1209"/>
      <c r="F39" s="1210"/>
      <c r="G39" s="1518"/>
      <c r="H39" s="2878"/>
      <c r="I39" s="1532"/>
      <c r="J39" s="1533"/>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9"/>
      <c r="L41" s="1305"/>
      <c r="M41" s="1305"/>
    </row>
    <row r="42" spans="1:18" ht="18" customHeight="1">
      <c r="A42" s="314"/>
      <c r="B42" s="315"/>
      <c r="C42" s="316"/>
      <c r="D42" s="333"/>
      <c r="E42" s="308" t="s">
        <v>1201</v>
      </c>
      <c r="F42" s="318">
        <f ca="1">INDIRECT("'数据-取费表'!v"&amp;$G$1)</f>
        <v>0</v>
      </c>
      <c r="G42" s="1518"/>
      <c r="H42" s="1305"/>
      <c r="I42" s="1532"/>
      <c r="J42" s="1533"/>
      <c r="K42" s="2719"/>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0</v>
      </c>
      <c r="R52" s="1554" t="s">
        <v>1270</v>
      </c>
    </row>
    <row r="53" spans="1:18" s="1518" customFormat="1" ht="30.75" customHeight="1" thickBot="1">
      <c r="A53" s="1224" t="s">
        <v>865</v>
      </c>
      <c r="B53" s="329" t="s">
        <v>1133</v>
      </c>
      <c r="C53" s="322">
        <f ca="1">ROUND(IF(F53="押一",C49/12*F11,IF(F53="押二",C49/12*2*F11,IF(F53="押三",C49/12*3*F11,C54*F11))),0)</f>
        <v>0</v>
      </c>
      <c r="D53" s="1500" t="s">
        <v>2618</v>
      </c>
      <c r="E53" s="319" t="s">
        <v>1134</v>
      </c>
      <c r="F53" s="1229"/>
      <c r="I53" s="1573" t="s">
        <v>1271</v>
      </c>
      <c r="J53" s="2336">
        <f ca="1">IF(M47="住宅",IF(D1="——",MAX(J51,L48),MAX(J51,L48-'数据-取费表'!B24)),IF(D1="——",MIN(J51,L48),MIN(J51,L48-'数据-取费表'!B24)))</f>
        <v>0</v>
      </c>
      <c r="K53" s="3456" t="s">
        <v>1272</v>
      </c>
      <c r="L53" s="3457"/>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15" customHeight="1">
      <c r="A2" s="1519" t="s">
        <v>2819</v>
      </c>
      <c r="B2" s="3023" t="e">
        <f>C40</f>
        <v>#DIV/0!</v>
      </c>
      <c r="C2" s="3024" t="s">
        <v>2820</v>
      </c>
      <c r="D2" s="3024"/>
      <c r="E2" s="3025"/>
      <c r="F2" s="3026"/>
      <c r="G2" s="3027"/>
      <c r="H2" s="3028"/>
      <c r="I2" s="3029"/>
      <c r="J2" s="3467" t="s">
        <v>2821</v>
      </c>
      <c r="K2" s="3468"/>
      <c r="L2" s="3030" t="s">
        <v>2822</v>
      </c>
      <c r="M2" s="3030" t="s">
        <v>2823</v>
      </c>
      <c r="N2" s="3030" t="s">
        <v>2824</v>
      </c>
      <c r="O2" s="3030" t="s">
        <v>2825</v>
      </c>
      <c r="P2" s="3030" t="s">
        <v>2826</v>
      </c>
      <c r="Q2" s="3031" t="s">
        <v>2827</v>
      </c>
      <c r="R2" s="3032" t="s">
        <v>2828</v>
      </c>
      <c r="S2" s="3021"/>
      <c r="T2" s="3021"/>
      <c r="U2" s="3021"/>
      <c r="V2" s="3029"/>
    </row>
    <row r="3" spans="1:22" s="3033" customFormat="1" ht="13.15" customHeight="1">
      <c r="A3" s="3034" t="s">
        <v>2829</v>
      </c>
      <c r="B3" s="3035" t="e">
        <f>ROUND(B2*10000/B4,0)</f>
        <v>#DIV/0!</v>
      </c>
      <c r="C3" s="3024" t="s">
        <v>2830</v>
      </c>
      <c r="D3" s="3024"/>
      <c r="E3" s="3025"/>
      <c r="F3" s="3026"/>
      <c r="G3" s="3027"/>
      <c r="H3" s="3028"/>
      <c r="I3" s="3029"/>
      <c r="J3" s="3469" t="s">
        <v>2831</v>
      </c>
      <c r="K3" s="3470"/>
      <c r="L3" s="3036"/>
      <c r="M3" s="3036"/>
      <c r="N3" s="3036"/>
      <c r="O3" s="3036"/>
      <c r="P3" s="3036"/>
      <c r="Q3" s="3037"/>
      <c r="R3" s="3038">
        <f>SUM(L3:Q3)</f>
        <v>0</v>
      </c>
      <c r="S3" s="3021"/>
      <c r="T3" s="3021"/>
      <c r="U3" s="3021"/>
      <c r="V3" s="3029"/>
    </row>
    <row r="4" spans="1:22" s="3033" customFormat="1" ht="13.15" customHeight="1">
      <c r="A4" s="3039" t="s">
        <v>2832</v>
      </c>
      <c r="B4" s="3040"/>
      <c r="C4" s="3024"/>
      <c r="D4" s="3024"/>
      <c r="E4" s="3025"/>
      <c r="F4" s="3026"/>
      <c r="G4" s="3027"/>
      <c r="H4" s="3028"/>
      <c r="I4" s="3029"/>
      <c r="J4" s="3469" t="s">
        <v>2833</v>
      </c>
      <c r="K4" s="3470"/>
      <c r="L4" s="3041"/>
      <c r="M4" s="3041"/>
      <c r="N4" s="3041"/>
      <c r="O4" s="3041"/>
      <c r="P4" s="3041"/>
      <c r="Q4" s="3042"/>
      <c r="R4" s="3043">
        <f>SUM(L4:Q4)</f>
        <v>0</v>
      </c>
      <c r="S4" s="3021"/>
      <c r="T4" s="3021"/>
      <c r="U4" s="3021"/>
      <c r="V4" s="3029"/>
    </row>
    <row r="5" spans="1:22" s="3033" customFormat="1" ht="13.1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15" customHeight="1" thickBot="1">
      <c r="A6" s="3475" t="s">
        <v>2837</v>
      </c>
      <c r="B6" s="3476"/>
      <c r="C6" s="3477"/>
      <c r="D6" s="3050"/>
      <c r="E6" s="3051"/>
      <c r="F6" s="3052"/>
      <c r="G6" s="3053"/>
      <c r="H6" s="3028"/>
      <c r="I6" s="3029"/>
      <c r="J6" s="3461">
        <v>1</v>
      </c>
      <c r="K6" s="3462"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15" customHeight="1">
      <c r="A7" s="3056" t="s">
        <v>2847</v>
      </c>
      <c r="B7" s="3057"/>
      <c r="C7" s="3058"/>
      <c r="D7" s="3059">
        <f>SUM(D9,D10,D11,D17,0)</f>
        <v>0</v>
      </c>
      <c r="E7" s="3060" t="e">
        <f>E9+E10+E11+E17</f>
        <v>#DIV/0!</v>
      </c>
      <c r="F7" s="3061"/>
      <c r="G7" s="3062"/>
      <c r="H7" s="3028"/>
      <c r="I7" s="3029"/>
      <c r="J7" s="3461"/>
      <c r="K7" s="3463"/>
      <c r="L7" s="3063" t="s">
        <v>2848</v>
      </c>
      <c r="M7" s="3064"/>
      <c r="N7" s="3040"/>
      <c r="O7" s="3065"/>
      <c r="P7" s="3065"/>
      <c r="Q7" s="3066">
        <v>365</v>
      </c>
      <c r="R7" s="3067">
        <f>ROUND(M7*N7*O7*P7*Q7/10000,0)</f>
        <v>0</v>
      </c>
      <c r="S7" s="3021"/>
      <c r="T7" s="3021" t="s">
        <v>2849</v>
      </c>
      <c r="U7" s="3021"/>
      <c r="V7" s="3029"/>
    </row>
    <row r="8" spans="1:22" s="3033" customFormat="1" ht="13.15" customHeight="1">
      <c r="A8" s="3068" t="s">
        <v>2850</v>
      </c>
      <c r="B8" s="3478" t="s">
        <v>2851</v>
      </c>
      <c r="C8" s="3479"/>
      <c r="D8" s="3069" t="s">
        <v>2852</v>
      </c>
      <c r="E8" s="3070" t="s">
        <v>2853</v>
      </c>
      <c r="F8" s="3071" t="s">
        <v>2854</v>
      </c>
      <c r="G8" s="3072"/>
      <c r="H8" s="3028"/>
      <c r="I8" s="3029"/>
      <c r="J8" s="3461"/>
      <c r="K8" s="3463"/>
      <c r="L8" s="3063" t="s">
        <v>2855</v>
      </c>
      <c r="M8" s="3064"/>
      <c r="N8" s="3040"/>
      <c r="O8" s="3065"/>
      <c r="P8" s="3065"/>
      <c r="Q8" s="3066">
        <v>365</v>
      </c>
      <c r="R8" s="3067">
        <f t="shared" ref="R8:R13" si="0">ROUND(M8*N8*O8*P8*Q8/10000,0)</f>
        <v>0</v>
      </c>
      <c r="S8" s="3021"/>
      <c r="T8" s="3021" t="s">
        <v>2856</v>
      </c>
      <c r="U8" s="3021"/>
      <c r="V8" s="3029"/>
    </row>
    <row r="9" spans="1:22" s="3033" customFormat="1" ht="13.15" customHeight="1">
      <c r="A9" s="3068">
        <v>1</v>
      </c>
      <c r="B9" s="3478" t="s">
        <v>2857</v>
      </c>
      <c r="C9" s="3479"/>
      <c r="D9" s="3069">
        <f>ROUND(D6*E9,0)</f>
        <v>0</v>
      </c>
      <c r="E9" s="3073"/>
      <c r="F9" s="3074" t="s">
        <v>2858</v>
      </c>
      <c r="G9" s="3053"/>
      <c r="H9" s="3028"/>
      <c r="I9" s="3029"/>
      <c r="J9" s="3461"/>
      <c r="K9" s="3463"/>
      <c r="L9" s="3063" t="s">
        <v>2859</v>
      </c>
      <c r="M9" s="3064"/>
      <c r="N9" s="3040"/>
      <c r="O9" s="3065"/>
      <c r="P9" s="3065"/>
      <c r="Q9" s="3066">
        <v>365</v>
      </c>
      <c r="R9" s="3067">
        <f t="shared" si="0"/>
        <v>0</v>
      </c>
      <c r="S9" s="3021"/>
      <c r="T9" s="3021"/>
      <c r="U9" s="3021"/>
      <c r="V9" s="3029"/>
    </row>
    <row r="10" spans="1:22" s="3033" customFormat="1" ht="13.15" customHeight="1">
      <c r="A10" s="3068">
        <v>2</v>
      </c>
      <c r="B10" s="3478" t="s">
        <v>2860</v>
      </c>
      <c r="C10" s="3479"/>
      <c r="D10" s="3069">
        <f>ROUND(D6*E10,0)</f>
        <v>0</v>
      </c>
      <c r="E10" s="3073"/>
      <c r="F10" s="3074" t="s">
        <v>2861</v>
      </c>
      <c r="G10" s="3053"/>
      <c r="H10" s="3028"/>
      <c r="I10" s="3029"/>
      <c r="J10" s="3461"/>
      <c r="K10" s="3463"/>
      <c r="L10" s="3063" t="s">
        <v>2862</v>
      </c>
      <c r="M10" s="3064"/>
      <c r="N10" s="3040"/>
      <c r="O10" s="3065"/>
      <c r="P10" s="3065"/>
      <c r="Q10" s="3066">
        <v>365</v>
      </c>
      <c r="R10" s="3067">
        <f t="shared" si="0"/>
        <v>0</v>
      </c>
      <c r="S10" s="3021"/>
      <c r="T10" s="3021"/>
      <c r="U10" s="3021"/>
      <c r="V10" s="3029"/>
    </row>
    <row r="11" spans="1:22" s="3033" customFormat="1" ht="13.15" customHeight="1">
      <c r="A11" s="3068">
        <v>3</v>
      </c>
      <c r="B11" s="3478" t="s">
        <v>2863</v>
      </c>
      <c r="C11" s="3479"/>
      <c r="D11" s="3069">
        <f>D12+D14+D15+D16</f>
        <v>0</v>
      </c>
      <c r="E11" s="3075" t="e">
        <f>D11/D6</f>
        <v>#DIV/0!</v>
      </c>
      <c r="F11" s="3071"/>
      <c r="G11" s="3072"/>
      <c r="H11" s="3028"/>
      <c r="I11" s="3029"/>
      <c r="J11" s="3461"/>
      <c r="K11" s="3463"/>
      <c r="L11" s="3063" t="s">
        <v>2864</v>
      </c>
      <c r="M11" s="3064"/>
      <c r="N11" s="3040"/>
      <c r="O11" s="3065"/>
      <c r="P11" s="3065"/>
      <c r="Q11" s="3066">
        <v>365</v>
      </c>
      <c r="R11" s="3067">
        <f t="shared" si="0"/>
        <v>0</v>
      </c>
      <c r="S11" s="3021"/>
      <c r="T11" s="3021"/>
      <c r="U11" s="3021"/>
      <c r="V11" s="3029"/>
    </row>
    <row r="12" spans="1:22" s="3033" customFormat="1" ht="13.15" customHeight="1">
      <c r="A12" s="3076" t="s">
        <v>2865</v>
      </c>
      <c r="B12" s="3471" t="s">
        <v>2866</v>
      </c>
      <c r="C12" s="3472"/>
      <c r="D12" s="3077">
        <f>ROUND(D13*1.2%*(1-30%),0)</f>
        <v>0</v>
      </c>
      <c r="E12" s="3078">
        <v>1.2E-2</v>
      </c>
      <c r="F12" s="3071" t="s">
        <v>2867</v>
      </c>
      <c r="G12" s="3072"/>
      <c r="H12" s="3028"/>
      <c r="I12" s="3029"/>
      <c r="J12" s="3461"/>
      <c r="K12" s="3463"/>
      <c r="L12" s="3063" t="s">
        <v>2868</v>
      </c>
      <c r="M12" s="3064"/>
      <c r="N12" s="3040"/>
      <c r="O12" s="3065"/>
      <c r="P12" s="3065"/>
      <c r="Q12" s="3066">
        <v>365</v>
      </c>
      <c r="R12" s="3067">
        <f t="shared" si="0"/>
        <v>0</v>
      </c>
      <c r="S12" s="3021"/>
      <c r="T12" s="3021"/>
      <c r="U12" s="3021"/>
      <c r="V12" s="3029"/>
    </row>
    <row r="13" spans="1:22" s="3033" customFormat="1" ht="13.15" customHeight="1">
      <c r="A13" s="3076"/>
      <c r="B13" s="3079"/>
      <c r="C13" s="3080" t="s">
        <v>2869</v>
      </c>
      <c r="D13" s="3081"/>
      <c r="E13" s="3082"/>
      <c r="F13" s="3071"/>
      <c r="G13" s="3072"/>
      <c r="H13" s="3028"/>
      <c r="I13" s="3029"/>
      <c r="J13" s="3461"/>
      <c r="K13" s="3463"/>
      <c r="L13" s="3063" t="s">
        <v>2870</v>
      </c>
      <c r="M13" s="3064"/>
      <c r="N13" s="3040"/>
      <c r="O13" s="3065"/>
      <c r="P13" s="3065"/>
      <c r="Q13" s="3066">
        <v>365</v>
      </c>
      <c r="R13" s="3067">
        <f t="shared" si="0"/>
        <v>0</v>
      </c>
      <c r="S13" s="3021"/>
      <c r="T13" s="3021"/>
      <c r="U13" s="3021"/>
      <c r="V13" s="3029"/>
    </row>
    <row r="14" spans="1:22" s="3033" customFormat="1" ht="13.15" customHeight="1">
      <c r="A14" s="3076" t="s">
        <v>2871</v>
      </c>
      <c r="B14" s="3471" t="s">
        <v>2872</v>
      </c>
      <c r="C14" s="3472"/>
      <c r="D14" s="3077">
        <f>ROUND(E14*B5/10000,0)</f>
        <v>0</v>
      </c>
      <c r="E14" s="3066"/>
      <c r="F14" s="3071" t="s">
        <v>2873</v>
      </c>
      <c r="G14" s="3072"/>
      <c r="H14" s="3028"/>
      <c r="I14" s="3029"/>
      <c r="J14" s="3461"/>
      <c r="K14" s="3464"/>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2875</v>
      </c>
      <c r="B15" s="3471" t="s">
        <v>2876</v>
      </c>
      <c r="C15" s="3472"/>
      <c r="D15" s="3077">
        <f>ROUND(D6*E15,0)</f>
        <v>0</v>
      </c>
      <c r="E15" s="3078">
        <v>5.5E-2</v>
      </c>
      <c r="F15" s="3071" t="s">
        <v>2877</v>
      </c>
      <c r="G15" s="3053"/>
      <c r="H15" s="3028"/>
      <c r="I15" s="3029"/>
      <c r="J15" s="3461">
        <v>2</v>
      </c>
      <c r="K15" s="3462"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15" customHeight="1">
      <c r="A16" s="3076" t="s">
        <v>2884</v>
      </c>
      <c r="B16" s="3471" t="s">
        <v>2885</v>
      </c>
      <c r="C16" s="3472"/>
      <c r="D16" s="3088">
        <f>D6*E16</f>
        <v>0</v>
      </c>
      <c r="E16" s="3089"/>
      <c r="F16" s="3074" t="s">
        <v>2886</v>
      </c>
      <c r="G16" s="3053"/>
      <c r="H16" s="3028"/>
      <c r="I16" s="3029"/>
      <c r="J16" s="3461"/>
      <c r="K16" s="3463"/>
      <c r="L16" s="3063" t="s">
        <v>2887</v>
      </c>
      <c r="M16" s="3064"/>
      <c r="N16" s="3064"/>
      <c r="O16" s="3065"/>
      <c r="P16" s="3066">
        <v>365</v>
      </c>
      <c r="Q16" s="3040"/>
      <c r="R16" s="3087">
        <f>ROUND(M16*N16*O16*P16/10000,0)</f>
        <v>0</v>
      </c>
      <c r="S16" s="3021"/>
      <c r="T16" s="3021"/>
      <c r="U16" s="3021"/>
      <c r="V16" s="3029"/>
    </row>
    <row r="17" spans="1:22" s="3033" customFormat="1" ht="13.15" customHeight="1" thickBot="1">
      <c r="A17" s="3090">
        <v>4</v>
      </c>
      <c r="B17" s="3473" t="s">
        <v>2888</v>
      </c>
      <c r="C17" s="3474"/>
      <c r="D17" s="3091">
        <f>ROUND(D6*E17,0)</f>
        <v>0</v>
      </c>
      <c r="E17" s="3092"/>
      <c r="F17" s="3093" t="s">
        <v>2889</v>
      </c>
      <c r="G17" s="3053"/>
      <c r="H17" s="3028"/>
      <c r="I17" s="3029"/>
      <c r="J17" s="3461"/>
      <c r="K17" s="3463"/>
      <c r="L17" s="3063" t="s">
        <v>2890</v>
      </c>
      <c r="M17" s="3064"/>
      <c r="N17" s="3064"/>
      <c r="O17" s="3065"/>
      <c r="P17" s="3066">
        <v>365</v>
      </c>
      <c r="Q17" s="3040"/>
      <c r="R17" s="3087">
        <f>ROUND(M17*N17*O17*P17/10000,0)</f>
        <v>0</v>
      </c>
      <c r="S17" s="3021"/>
      <c r="T17" s="3021"/>
      <c r="U17" s="3021"/>
      <c r="V17" s="3029"/>
    </row>
    <row r="18" spans="1:22" s="3033" customFormat="1" ht="13.15" customHeight="1" thickBot="1">
      <c r="A18" s="3056" t="s">
        <v>2891</v>
      </c>
      <c r="B18" s="3057"/>
      <c r="C18" s="3057"/>
      <c r="D18" s="3094">
        <f>ROUND(D6*E18,0)</f>
        <v>0</v>
      </c>
      <c r="E18" s="3095"/>
      <c r="F18" s="3096" t="s">
        <v>2892</v>
      </c>
      <c r="G18" s="3053"/>
      <c r="H18" s="3028"/>
      <c r="I18" s="3029"/>
      <c r="J18" s="3461"/>
      <c r="K18" s="3463"/>
      <c r="L18" s="3063" t="s">
        <v>2893</v>
      </c>
      <c r="M18" s="3064"/>
      <c r="N18" s="3064"/>
      <c r="O18" s="3065"/>
      <c r="P18" s="3066">
        <v>365</v>
      </c>
      <c r="Q18" s="3040"/>
      <c r="R18" s="3087">
        <f>ROUND(M18*N18*O18*P18/10000,0)</f>
        <v>0</v>
      </c>
      <c r="S18" s="3021"/>
      <c r="T18" s="3021"/>
      <c r="U18" s="3021"/>
      <c r="V18" s="3029"/>
    </row>
    <row r="19" spans="1:22" s="3033" customFormat="1" ht="13.15" customHeight="1" thickBot="1">
      <c r="A19" s="3097" t="s">
        <v>2894</v>
      </c>
      <c r="B19" s="3051"/>
      <c r="C19" s="3051"/>
      <c r="D19" s="3051"/>
      <c r="E19" s="3051"/>
      <c r="F19" s="3052"/>
      <c r="G19" s="3072"/>
      <c r="H19" s="3028"/>
      <c r="I19" s="3029"/>
      <c r="J19" s="3461"/>
      <c r="K19" s="3464"/>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61">
        <v>3</v>
      </c>
      <c r="K20" s="3462"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15" customHeight="1">
      <c r="A21" s="3056"/>
      <c r="B21" s="3057"/>
      <c r="C21" s="3103" t="s">
        <v>2903</v>
      </c>
      <c r="D21" s="3104" t="s">
        <v>2904</v>
      </c>
      <c r="E21" s="3105" t="s">
        <v>2905</v>
      </c>
      <c r="F21" s="3100"/>
      <c r="G21" s="3072"/>
      <c r="H21" s="3028"/>
      <c r="I21" s="3029"/>
      <c r="J21" s="3461"/>
      <c r="K21" s="3463"/>
      <c r="L21" s="3063" t="s">
        <v>2906</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2907</v>
      </c>
      <c r="D22" s="3108" t="s">
        <v>2908</v>
      </c>
      <c r="E22" s="3109" t="s">
        <v>2909</v>
      </c>
      <c r="F22" s="3100"/>
      <c r="G22" s="3110"/>
      <c r="H22" s="3028"/>
      <c r="I22" s="3029"/>
      <c r="J22" s="3461"/>
      <c r="K22" s="3463"/>
      <c r="L22" s="3063" t="s">
        <v>2910</v>
      </c>
      <c r="M22" s="3064"/>
      <c r="N22" s="3064"/>
      <c r="O22" s="3065"/>
      <c r="P22" s="3066">
        <v>365</v>
      </c>
      <c r="Q22" s="3040"/>
      <c r="R22" s="3106">
        <f>ROUND(M22*N22*O22*P22/10000,0)</f>
        <v>0</v>
      </c>
      <c r="S22" s="3102"/>
      <c r="T22" s="3102"/>
      <c r="U22" s="3102"/>
      <c r="V22" s="3029"/>
    </row>
    <row r="23" spans="1:22" s="3033" customFormat="1" ht="13.15" customHeight="1">
      <c r="A23" s="3111">
        <v>1</v>
      </c>
      <c r="B23" s="3112" t="s">
        <v>2911</v>
      </c>
      <c r="C23" s="3113">
        <f>D6</f>
        <v>0</v>
      </c>
      <c r="D23" s="3114">
        <f>C23*(1+D24)</f>
        <v>0</v>
      </c>
      <c r="E23" s="3115">
        <f>D23*(1+E24)</f>
        <v>0</v>
      </c>
      <c r="F23" s="3116"/>
      <c r="G23" s="3117"/>
      <c r="H23" s="3028"/>
      <c r="I23" s="3029"/>
      <c r="J23" s="3461"/>
      <c r="K23" s="3463"/>
      <c r="L23" s="3063" t="s">
        <v>2912</v>
      </c>
      <c r="M23" s="3064"/>
      <c r="N23" s="3064"/>
      <c r="O23" s="3065"/>
      <c r="P23" s="3066">
        <v>365</v>
      </c>
      <c r="Q23" s="3040"/>
      <c r="R23" s="3106">
        <f>ROUND(M23*N23*O23*P23/10000,0)</f>
        <v>0</v>
      </c>
      <c r="S23" s="3021"/>
      <c r="T23" s="3021"/>
      <c r="U23" s="3021"/>
      <c r="V23" s="3029"/>
    </row>
    <row r="24" spans="1:22" s="3033" customFormat="1" ht="13.15" customHeight="1">
      <c r="A24" s="3118"/>
      <c r="B24" s="3119" t="s">
        <v>2913</v>
      </c>
      <c r="C24" s="3120"/>
      <c r="D24" s="3121"/>
      <c r="E24" s="3122"/>
      <c r="F24" s="3123"/>
      <c r="G24" s="3117"/>
      <c r="H24" s="3028"/>
      <c r="I24" s="3029"/>
      <c r="J24" s="3461"/>
      <c r="K24" s="3464"/>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15" customHeight="1">
      <c r="A26" s="3111">
        <v>2</v>
      </c>
      <c r="B26" s="3112" t="s">
        <v>2915</v>
      </c>
      <c r="C26" s="3113">
        <f>D7</f>
        <v>0</v>
      </c>
      <c r="D26" s="3114">
        <f>D23*D27</f>
        <v>0</v>
      </c>
      <c r="E26" s="3115">
        <f>E23*E27</f>
        <v>0</v>
      </c>
      <c r="F26" s="3116"/>
      <c r="G26" s="3117"/>
      <c r="H26" s="3028"/>
      <c r="I26" s="3029"/>
      <c r="J26" s="3465">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15" customHeight="1">
      <c r="A27" s="3118"/>
      <c r="B27" s="3119" t="s">
        <v>2921</v>
      </c>
      <c r="C27" s="3137" t="e">
        <f>E7</f>
        <v>#DIV/0!</v>
      </c>
      <c r="D27" s="3121"/>
      <c r="E27" s="3122"/>
      <c r="F27" s="3123"/>
      <c r="G27" s="3117"/>
      <c r="H27" s="3138"/>
      <c r="I27" s="3129"/>
      <c r="J27" s="3466"/>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1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15" customHeight="1">
      <c r="A32" s="3111">
        <v>4</v>
      </c>
      <c r="B32" s="3112" t="s">
        <v>2929</v>
      </c>
      <c r="C32" s="3113">
        <f>C23-C26-C29</f>
        <v>0</v>
      </c>
      <c r="D32" s="3114">
        <f>D23-D26-D29</f>
        <v>0</v>
      </c>
      <c r="E32" s="3115">
        <f>E23-E26-E29</f>
        <v>0</v>
      </c>
      <c r="F32" s="3116"/>
      <c r="G32" s="3110"/>
      <c r="H32" s="3028"/>
      <c r="I32" s="3029"/>
      <c r="J32" s="3467" t="s">
        <v>2821</v>
      </c>
      <c r="K32" s="3468"/>
      <c r="L32" s="3030" t="s">
        <v>2822</v>
      </c>
      <c r="M32" s="3030" t="s">
        <v>2823</v>
      </c>
      <c r="N32" s="3030" t="s">
        <v>2824</v>
      </c>
      <c r="O32" s="3030" t="s">
        <v>2825</v>
      </c>
      <c r="P32" s="3030" t="s">
        <v>2826</v>
      </c>
      <c r="Q32" s="3031" t="s">
        <v>2827</v>
      </c>
      <c r="R32" s="3153" t="s">
        <v>2828</v>
      </c>
      <c r="S32" s="3102"/>
      <c r="T32" s="3021"/>
      <c r="U32" s="3021"/>
      <c r="V32" s="3129"/>
    </row>
    <row r="33" spans="1:23" s="3033" customFormat="1" ht="13.15" customHeight="1">
      <c r="A33" s="3111"/>
      <c r="B33" s="3112"/>
      <c r="C33" s="3113"/>
      <c r="D33" s="3154"/>
      <c r="E33" s="3155"/>
      <c r="F33" s="3116"/>
      <c r="G33" s="3110"/>
      <c r="H33" s="3138"/>
      <c r="I33" s="3129"/>
      <c r="J33" s="3469" t="s">
        <v>2831</v>
      </c>
      <c r="K33" s="3470"/>
      <c r="L33" s="3036"/>
      <c r="M33" s="3036"/>
      <c r="N33" s="3036"/>
      <c r="O33" s="3036"/>
      <c r="P33" s="3036"/>
      <c r="Q33" s="3037"/>
      <c r="R33" s="3156">
        <f>SUM(L33:Q33)</f>
        <v>0</v>
      </c>
      <c r="S33" s="3102"/>
      <c r="T33" s="3021"/>
      <c r="U33" s="3021"/>
      <c r="V33" s="3029"/>
    </row>
    <row r="34" spans="1:23" s="3033" customFormat="1" ht="13.15" customHeight="1">
      <c r="A34" s="3111">
        <v>5</v>
      </c>
      <c r="B34" s="3112" t="s">
        <v>2930</v>
      </c>
      <c r="C34" s="3157"/>
      <c r="D34" s="3158"/>
      <c r="E34" s="3159"/>
      <c r="F34" s="3116"/>
      <c r="G34" s="3110"/>
      <c r="H34" s="3138"/>
      <c r="I34" s="3129"/>
      <c r="J34" s="3469" t="s">
        <v>2833</v>
      </c>
      <c r="K34" s="3470"/>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15" customHeight="1" thickBot="1">
      <c r="A36" s="3111">
        <v>7</v>
      </c>
      <c r="B36" s="3166" t="s">
        <v>2932</v>
      </c>
      <c r="C36" s="3167"/>
      <c r="D36" s="3168"/>
      <c r="E36" s="3169"/>
      <c r="F36" s="3170">
        <f>C36+D36+E36</f>
        <v>0</v>
      </c>
      <c r="G36" s="3110"/>
      <c r="H36" s="3028"/>
      <c r="I36" s="3029"/>
      <c r="J36" s="3461">
        <v>1</v>
      </c>
      <c r="K36" s="3462" t="s">
        <v>2933</v>
      </c>
      <c r="L36" s="3054"/>
      <c r="M36" s="3055"/>
      <c r="N36" s="3055"/>
      <c r="O36" s="3055"/>
      <c r="P36" s="3055"/>
      <c r="Q36" s="3055"/>
      <c r="R36" s="3038" t="s">
        <v>2845</v>
      </c>
      <c r="S36" s="3102"/>
      <c r="T36" s="3021" t="s">
        <v>2846</v>
      </c>
      <c r="U36" s="3021"/>
      <c r="V36" s="3029"/>
    </row>
    <row r="37" spans="1:23" s="3033" customFormat="1" ht="13.15" customHeight="1">
      <c r="A37" s="3111"/>
      <c r="B37" s="3112"/>
      <c r="C37" s="3112"/>
      <c r="D37" s="3112"/>
      <c r="E37" s="3112"/>
      <c r="F37" s="3116"/>
      <c r="G37" s="3110"/>
      <c r="H37" s="3028"/>
      <c r="I37" s="3029"/>
      <c r="J37" s="3461"/>
      <c r="K37" s="3463"/>
      <c r="L37" s="3063"/>
      <c r="M37" s="3064"/>
      <c r="N37" s="3040"/>
      <c r="O37" s="3065"/>
      <c r="P37" s="3065"/>
      <c r="Q37" s="3066"/>
      <c r="R37" s="3067"/>
      <c r="S37" s="3102"/>
      <c r="T37" s="3021" t="s">
        <v>2849</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61"/>
      <c r="K38" s="3463"/>
      <c r="L38" s="3063"/>
      <c r="M38" s="3064"/>
      <c r="N38" s="3040"/>
      <c r="O38" s="3065"/>
      <c r="P38" s="3065"/>
      <c r="Q38" s="3066"/>
      <c r="R38" s="3067"/>
      <c r="S38" s="3102"/>
      <c r="T38" s="3021" t="s">
        <v>2856</v>
      </c>
      <c r="U38" s="3021"/>
      <c r="V38" s="3029"/>
    </row>
    <row r="39" spans="1:23" s="3033" customFormat="1" ht="13.15" customHeight="1">
      <c r="A39" s="3111">
        <v>9</v>
      </c>
      <c r="B39" s="3112" t="s">
        <v>2934</v>
      </c>
      <c r="C39" s="3077" t="e">
        <f>C38</f>
        <v>#DIV/0!</v>
      </c>
      <c r="D39" s="3112">
        <f>D38/(1+D34)^C36</f>
        <v>0</v>
      </c>
      <c r="E39" s="3112">
        <f>E38/(1+E34)^(C36+D36)</f>
        <v>0</v>
      </c>
      <c r="F39" s="3116"/>
      <c r="G39" s="3171"/>
      <c r="H39" s="3028"/>
      <c r="I39" s="3029"/>
      <c r="J39" s="3461"/>
      <c r="K39" s="3463"/>
      <c r="L39" s="3063"/>
      <c r="M39" s="3064"/>
      <c r="N39" s="3040"/>
      <c r="O39" s="3065"/>
      <c r="P39" s="3065"/>
      <c r="Q39" s="3066"/>
      <c r="R39" s="3067"/>
      <c r="S39" s="3102"/>
      <c r="T39" s="3021"/>
      <c r="U39" s="3021"/>
      <c r="V39" s="3029"/>
    </row>
    <row r="40" spans="1:23" s="3033" customFormat="1" ht="13.15" customHeight="1">
      <c r="A40" s="3172">
        <v>10</v>
      </c>
      <c r="B40" s="3112" t="s">
        <v>2935</v>
      </c>
      <c r="C40" s="3173" t="e">
        <f>C39+D39+E39</f>
        <v>#DIV/0!</v>
      </c>
      <c r="D40" s="3174"/>
      <c r="E40" s="3174"/>
      <c r="F40" s="3175"/>
      <c r="G40" s="3110"/>
      <c r="H40" s="3028"/>
      <c r="I40" s="3029"/>
      <c r="J40" s="3461"/>
      <c r="K40" s="3464"/>
      <c r="L40" s="3083" t="s">
        <v>2874</v>
      </c>
      <c r="M40" s="3084"/>
      <c r="N40" s="3084"/>
      <c r="O40" s="3085"/>
      <c r="P40" s="3085"/>
      <c r="Q40" s="3086"/>
      <c r="R40" s="3032">
        <f>SUM(R37:R39)</f>
        <v>0</v>
      </c>
      <c r="S40" s="3102"/>
      <c r="T40" s="3021"/>
      <c r="U40" s="3021"/>
      <c r="V40" s="3029"/>
    </row>
    <row r="41" spans="1:23" s="3033" customFormat="1" ht="13.1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15" customHeight="1">
      <c r="G42" s="3180"/>
      <c r="H42" s="3028"/>
      <c r="I42" s="3029"/>
      <c r="J42" s="3465">
        <v>3</v>
      </c>
      <c r="K42" s="3131" t="s">
        <v>2916</v>
      </c>
      <c r="L42" s="3132"/>
      <c r="M42" s="3133"/>
      <c r="N42" s="3134" t="s">
        <v>2917</v>
      </c>
      <c r="O42" s="3134" t="s">
        <v>2918</v>
      </c>
      <c r="P42" s="3135" t="s">
        <v>2919</v>
      </c>
      <c r="Q42" s="3135" t="s">
        <v>2920</v>
      </c>
      <c r="R42" s="3038" t="s">
        <v>2845</v>
      </c>
      <c r="S42" s="3136"/>
      <c r="T42" s="3136"/>
      <c r="U42" s="3021"/>
      <c r="V42" s="3029"/>
    </row>
    <row r="43" spans="1:23" ht="13.15" customHeight="1">
      <c r="A43" s="3033"/>
      <c r="B43" s="3033"/>
      <c r="C43" s="3033"/>
      <c r="D43" s="3033"/>
      <c r="E43" s="3033"/>
      <c r="F43" s="3033"/>
      <c r="I43" s="3016"/>
      <c r="J43" s="3466"/>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276353</v>
      </c>
      <c r="C2" s="2008" t="s">
        <v>2099</v>
      </c>
      <c r="D2" s="2009" t="s">
        <v>2100</v>
      </c>
      <c r="E2" s="2782">
        <f>SUM(E6:E13)</f>
        <v>119963.53</v>
      </c>
      <c r="F2" s="2885"/>
      <c r="G2" s="1624"/>
      <c r="H2" s="1624"/>
      <c r="I2" s="1624"/>
      <c r="J2" s="1624"/>
      <c r="K2" s="1624"/>
      <c r="L2" s="1624"/>
      <c r="M2" s="1624"/>
      <c r="N2" s="1624"/>
      <c r="O2" s="1624"/>
      <c r="P2" s="1624"/>
      <c r="Q2" s="1624"/>
      <c r="R2" s="1624"/>
      <c r="S2" s="1624"/>
    </row>
    <row r="3" spans="1:22" ht="15.75">
      <c r="A3" s="2006" t="s">
        <v>1119</v>
      </c>
      <c r="B3" s="2776">
        <f ca="1">ROUND(B2*10000/E2,0)</f>
        <v>23036</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480" t="s">
        <v>2102</v>
      </c>
      <c r="C5" s="3481"/>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276353</v>
      </c>
      <c r="C6" s="2008" t="s">
        <v>2099</v>
      </c>
      <c r="D6" s="2887"/>
      <c r="E6" s="2781">
        <f>IF(OR(A6=0,F6="否"),0,'数据-取费表'!K6+'数据-取费表'!S6)</f>
        <v>119963.53</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7"/>
      <c r="D2" s="1228" t="e">
        <f ca="1">SUMIF(INDIRECT("'"&amp;F2&amp;"'"&amp;"!A:A"),"承租人权益价值",INDIRECT("'"&amp;F2&amp;"'"&amp;"!c:c"))</f>
        <v>#REF!</v>
      </c>
      <c r="E2" s="2018" t="s">
        <v>2113</v>
      </c>
      <c r="F2" s="2019"/>
      <c r="G2" s="1019"/>
      <c r="H2" s="1019"/>
      <c r="I2" s="1019"/>
      <c r="J2" s="1019"/>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119963.53</v>
      </c>
      <c r="E3" s="1019"/>
      <c r="F3" s="2024"/>
      <c r="G3" s="1019"/>
      <c r="H3" s="1019"/>
      <c r="I3" s="1019"/>
      <c r="J3" s="1019"/>
      <c r="K3" s="2020"/>
      <c r="L3" s="2891"/>
      <c r="M3" s="2892"/>
      <c r="N3" s="2892"/>
      <c r="O3" s="2892"/>
      <c r="P3" s="2021"/>
      <c r="Q3" s="2022"/>
      <c r="R3" s="2022"/>
      <c r="S3" s="2022"/>
      <c r="T3" s="2022"/>
      <c r="U3" s="2022"/>
      <c r="V3" s="2022"/>
      <c r="W3" s="2022"/>
      <c r="X3" s="2022"/>
      <c r="Y3" s="2022"/>
      <c r="Z3" s="2022"/>
      <c r="AA3" s="2022"/>
      <c r="AB3" s="2022"/>
      <c r="AC3" s="1173"/>
    </row>
    <row r="4" spans="1:29" ht="15">
      <c r="A4" s="361" t="s">
        <v>2115</v>
      </c>
      <c r="B4" s="362"/>
      <c r="C4" s="3500" t="s">
        <v>2116</v>
      </c>
      <c r="D4" s="3501"/>
      <c r="E4" s="3502" t="s">
        <v>2117</v>
      </c>
      <c r="F4" s="3503"/>
      <c r="G4" s="3500" t="s">
        <v>2118</v>
      </c>
      <c r="H4" s="3501"/>
      <c r="I4" s="3500" t="s">
        <v>2119</v>
      </c>
      <c r="J4" s="3501"/>
      <c r="K4" s="2025" t="s">
        <v>2120</v>
      </c>
      <c r="L4" s="2893"/>
      <c r="M4" s="2894"/>
      <c r="N4" s="2894"/>
      <c r="O4" s="2894"/>
      <c r="P4" s="3504" t="s">
        <v>2121</v>
      </c>
      <c r="Q4" s="3505"/>
      <c r="R4" s="3510" t="s">
        <v>2117</v>
      </c>
      <c r="S4" s="3511"/>
      <c r="T4" s="3510" t="s">
        <v>2118</v>
      </c>
      <c r="U4" s="3511"/>
      <c r="V4" s="3516" t="s">
        <v>2119</v>
      </c>
      <c r="W4" s="3516"/>
      <c r="X4" s="1489"/>
      <c r="Y4" s="3510" t="s">
        <v>2121</v>
      </c>
      <c r="Z4" s="3511"/>
      <c r="AA4" s="3497" t="s">
        <v>2117</v>
      </c>
      <c r="AB4" s="3497" t="s">
        <v>2118</v>
      </c>
      <c r="AC4" s="3497" t="s">
        <v>2119</v>
      </c>
    </row>
    <row r="5" spans="1:29" ht="15">
      <c r="A5" s="364"/>
      <c r="B5" s="365"/>
      <c r="C5" s="3519" t="s">
        <v>2122</v>
      </c>
      <c r="D5" s="3520"/>
      <c r="E5" s="3526" t="s">
        <v>2123</v>
      </c>
      <c r="F5" s="3527"/>
      <c r="G5" s="3519" t="s">
        <v>2124</v>
      </c>
      <c r="H5" s="3520"/>
      <c r="I5" s="3519" t="s">
        <v>2125</v>
      </c>
      <c r="J5" s="3520"/>
      <c r="K5" s="2026"/>
      <c r="L5" s="2893"/>
      <c r="M5" s="2894"/>
      <c r="N5" s="2894"/>
      <c r="O5" s="2894"/>
      <c r="P5" s="3506"/>
      <c r="Q5" s="3507"/>
      <c r="R5" s="3512"/>
      <c r="S5" s="3513"/>
      <c r="T5" s="3512"/>
      <c r="U5" s="3513"/>
      <c r="V5" s="3516"/>
      <c r="W5" s="3516"/>
      <c r="X5" s="1489"/>
      <c r="Y5" s="3512"/>
      <c r="Z5" s="3513"/>
      <c r="AA5" s="3498"/>
      <c r="AB5" s="3498"/>
      <c r="AC5" s="3498"/>
    </row>
    <row r="6" spans="1:29" ht="15.75" thickBot="1">
      <c r="A6" s="366"/>
      <c r="B6" s="367"/>
      <c r="C6" s="3517" t="s">
        <v>2126</v>
      </c>
      <c r="D6" s="3518"/>
      <c r="E6" s="3524" t="s">
        <v>2126</v>
      </c>
      <c r="F6" s="3525"/>
      <c r="G6" s="3517" t="s">
        <v>2126</v>
      </c>
      <c r="H6" s="3518"/>
      <c r="I6" s="3517" t="s">
        <v>2126</v>
      </c>
      <c r="J6" s="3518"/>
      <c r="K6" s="2026" t="s">
        <v>2127</v>
      </c>
      <c r="L6" s="2893"/>
      <c r="M6" s="2894"/>
      <c r="N6" s="2894"/>
      <c r="O6" s="2894"/>
      <c r="P6" s="3508"/>
      <c r="Q6" s="3509"/>
      <c r="R6" s="3512"/>
      <c r="S6" s="3513"/>
      <c r="T6" s="3514"/>
      <c r="U6" s="3515"/>
      <c r="V6" s="3516"/>
      <c r="W6" s="3516"/>
      <c r="X6" s="1489"/>
      <c r="Y6" s="3514"/>
      <c r="Z6" s="3515"/>
      <c r="AA6" s="3499"/>
      <c r="AB6" s="3499"/>
      <c r="AC6" s="3499"/>
    </row>
    <row r="7" spans="1:29" s="113" customFormat="1" ht="15.75" thickBot="1">
      <c r="A7" s="368" t="s">
        <v>2128</v>
      </c>
      <c r="B7" s="369"/>
      <c r="C7" s="370">
        <f>'数据-取费表'!B2</f>
        <v>44827</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521" t="s">
        <v>2129</v>
      </c>
      <c r="Q7" s="3523"/>
      <c r="R7" s="710" t="s">
        <v>23</v>
      </c>
      <c r="S7" s="711">
        <f t="shared" ref="S7:S15" si="0">F7</f>
        <v>0</v>
      </c>
      <c r="T7" s="710" t="s">
        <v>23</v>
      </c>
      <c r="U7" s="711">
        <f t="shared" ref="U7:U15" si="1">H7</f>
        <v>0</v>
      </c>
      <c r="V7" s="710" t="s">
        <v>23</v>
      </c>
      <c r="W7" s="711">
        <f t="shared" ref="W7:W15" si="2">J7</f>
        <v>0</v>
      </c>
      <c r="X7" s="712"/>
      <c r="Y7" s="3521" t="s">
        <v>2129</v>
      </c>
      <c r="Z7" s="3522"/>
      <c r="AA7" s="713" t="e">
        <f>D7/F7</f>
        <v>#DIV/0!</v>
      </c>
      <c r="AB7" s="713" t="e">
        <f>D7/H7</f>
        <v>#DIV/0!</v>
      </c>
      <c r="AC7" s="713"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521" t="s">
        <v>2132</v>
      </c>
      <c r="Q8" s="3522"/>
      <c r="R8" s="710" t="s">
        <v>23</v>
      </c>
      <c r="S8" s="711">
        <f t="shared" si="0"/>
        <v>0</v>
      </c>
      <c r="T8" s="710" t="s">
        <v>23</v>
      </c>
      <c r="U8" s="711">
        <f t="shared" si="1"/>
        <v>0</v>
      </c>
      <c r="V8" s="710" t="s">
        <v>23</v>
      </c>
      <c r="W8" s="711">
        <f t="shared" si="2"/>
        <v>0</v>
      </c>
      <c r="X8" s="712"/>
      <c r="Y8" s="3521" t="s">
        <v>2132</v>
      </c>
      <c r="Z8" s="3522"/>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96" t="s">
        <v>2135</v>
      </c>
      <c r="Q9" s="1477" t="str">
        <f t="shared" ref="Q9:Q15" si="6">B9</f>
        <v>用途</v>
      </c>
      <c r="R9" s="710" t="s">
        <v>17</v>
      </c>
      <c r="S9" s="711">
        <f t="shared" si="0"/>
        <v>100</v>
      </c>
      <c r="T9" s="710" t="s">
        <v>17</v>
      </c>
      <c r="U9" s="711">
        <f t="shared" si="1"/>
        <v>100</v>
      </c>
      <c r="V9" s="710" t="s">
        <v>17</v>
      </c>
      <c r="W9" s="711">
        <f t="shared" si="2"/>
        <v>100</v>
      </c>
      <c r="X9" s="712"/>
      <c r="Y9" s="335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96"/>
      <c r="Q10" s="1477" t="str">
        <f t="shared" si="6"/>
        <v>土地使用年限（年）</v>
      </c>
      <c r="R10" s="710" t="s">
        <v>17</v>
      </c>
      <c r="S10" s="711">
        <f t="shared" si="0"/>
        <v>100</v>
      </c>
      <c r="T10" s="710" t="s">
        <v>17</v>
      </c>
      <c r="U10" s="711">
        <f t="shared" si="1"/>
        <v>100</v>
      </c>
      <c r="V10" s="710" t="s">
        <v>17</v>
      </c>
      <c r="W10" s="711">
        <f t="shared" si="2"/>
        <v>100</v>
      </c>
      <c r="X10" s="712"/>
      <c r="Y10" s="335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96"/>
      <c r="Q11" s="1477" t="str">
        <f t="shared" si="6"/>
        <v>容积率</v>
      </c>
      <c r="R11" s="710" t="s">
        <v>21</v>
      </c>
      <c r="S11" s="711" t="e">
        <f t="shared" si="0"/>
        <v>#N/A</v>
      </c>
      <c r="T11" s="710" t="s">
        <v>21</v>
      </c>
      <c r="U11" s="711" t="e">
        <f t="shared" si="1"/>
        <v>#N/A</v>
      </c>
      <c r="V11" s="710" t="s">
        <v>21</v>
      </c>
      <c r="W11" s="711" t="e">
        <f t="shared" si="2"/>
        <v>#N/A</v>
      </c>
      <c r="X11" s="712"/>
      <c r="Y11" s="3357"/>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96"/>
      <c r="Q12" s="1477">
        <f t="shared" si="6"/>
        <v>111</v>
      </c>
      <c r="R12" s="710" t="s">
        <v>21</v>
      </c>
      <c r="S12" s="711">
        <f t="shared" si="0"/>
        <v>100</v>
      </c>
      <c r="T12" s="710" t="s">
        <v>21</v>
      </c>
      <c r="U12" s="711">
        <f t="shared" si="1"/>
        <v>100</v>
      </c>
      <c r="V12" s="710" t="s">
        <v>21</v>
      </c>
      <c r="W12" s="711">
        <f t="shared" si="2"/>
        <v>100</v>
      </c>
      <c r="X12" s="712"/>
      <c r="Y12" s="3357"/>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96"/>
      <c r="Q13" s="1477">
        <f t="shared" si="6"/>
        <v>111</v>
      </c>
      <c r="R13" s="710" t="s">
        <v>21</v>
      </c>
      <c r="S13" s="711">
        <f t="shared" si="0"/>
        <v>100</v>
      </c>
      <c r="T13" s="710" t="s">
        <v>21</v>
      </c>
      <c r="U13" s="711">
        <f t="shared" si="1"/>
        <v>100</v>
      </c>
      <c r="V13" s="710" t="s">
        <v>21</v>
      </c>
      <c r="W13" s="711">
        <f t="shared" si="2"/>
        <v>100</v>
      </c>
      <c r="X13" s="712"/>
      <c r="Y13" s="3357"/>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96"/>
      <c r="Q14" s="1477">
        <f t="shared" si="6"/>
        <v>111</v>
      </c>
      <c r="R14" s="710" t="s">
        <v>21</v>
      </c>
      <c r="S14" s="711">
        <f t="shared" si="0"/>
        <v>100</v>
      </c>
      <c r="T14" s="710" t="s">
        <v>21</v>
      </c>
      <c r="U14" s="711">
        <f t="shared" si="1"/>
        <v>100</v>
      </c>
      <c r="V14" s="710" t="s">
        <v>21</v>
      </c>
      <c r="W14" s="711">
        <f t="shared" si="2"/>
        <v>100</v>
      </c>
      <c r="X14" s="712"/>
      <c r="Y14" s="3357"/>
      <c r="Z14" s="55">
        <f t="shared" si="7"/>
        <v>111</v>
      </c>
      <c r="AA14" s="713">
        <f t="shared" si="3"/>
        <v>1</v>
      </c>
      <c r="AB14" s="713">
        <f t="shared" si="4"/>
        <v>1</v>
      </c>
      <c r="AC14" s="713">
        <f t="shared" si="5"/>
        <v>1</v>
      </c>
    </row>
    <row r="15" spans="1:29" ht="99.7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94" t="s">
        <v>2140</v>
      </c>
      <c r="Q15" s="1486" t="str">
        <f t="shared" si="6"/>
        <v>居住社区成熟度</v>
      </c>
      <c r="R15" s="714" t="s">
        <v>21</v>
      </c>
      <c r="S15" s="715">
        <f t="shared" si="0"/>
        <v>100</v>
      </c>
      <c r="T15" s="714" t="s">
        <v>21</v>
      </c>
      <c r="U15" s="715">
        <f t="shared" si="1"/>
        <v>100</v>
      </c>
      <c r="V15" s="714" t="s">
        <v>21</v>
      </c>
      <c r="W15" s="715">
        <f t="shared" si="2"/>
        <v>100</v>
      </c>
      <c r="X15" s="1489"/>
      <c r="Y15" s="3487" t="s">
        <v>2140</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900"/>
      <c r="M16" s="2894"/>
      <c r="N16" s="2894"/>
      <c r="O16" s="2894"/>
      <c r="P16" s="3495"/>
      <c r="Q16" s="1486"/>
      <c r="R16" s="714"/>
      <c r="S16" s="715"/>
      <c r="T16" s="714"/>
      <c r="U16" s="715"/>
      <c r="V16" s="714"/>
      <c r="W16" s="715"/>
      <c r="X16" s="1489"/>
      <c r="Y16" s="3488"/>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95"/>
      <c r="Q17" s="1486" t="str">
        <f>B17</f>
        <v>交通便捷度</v>
      </c>
      <c r="R17" s="714" t="s">
        <v>21</v>
      </c>
      <c r="S17" s="715">
        <f>F17</f>
        <v>100</v>
      </c>
      <c r="T17" s="714" t="s">
        <v>21</v>
      </c>
      <c r="U17" s="715">
        <f>H17</f>
        <v>100</v>
      </c>
      <c r="V17" s="714" t="s">
        <v>21</v>
      </c>
      <c r="W17" s="715">
        <f>J17</f>
        <v>100</v>
      </c>
      <c r="X17" s="1489"/>
      <c r="Y17" s="3488"/>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900"/>
      <c r="M18" s="2894"/>
      <c r="N18" s="2894"/>
      <c r="O18" s="2894"/>
      <c r="P18" s="3495"/>
      <c r="Q18" s="1486"/>
      <c r="R18" s="714"/>
      <c r="S18" s="715"/>
      <c r="T18" s="714"/>
      <c r="U18" s="715"/>
      <c r="V18" s="714"/>
      <c r="W18" s="715"/>
      <c r="X18" s="1489"/>
      <c r="Y18" s="3488"/>
      <c r="Z18" s="1490"/>
      <c r="AA18" s="1487">
        <v>1</v>
      </c>
      <c r="AB18" s="1487">
        <v>1</v>
      </c>
      <c r="AC18" s="1487">
        <v>1</v>
      </c>
    </row>
    <row r="19" spans="1:29" ht="42.7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95"/>
      <c r="Q19" s="1486" t="str">
        <f>B19</f>
        <v>公共配套设施</v>
      </c>
      <c r="R19" s="714" t="s">
        <v>21</v>
      </c>
      <c r="S19" s="715">
        <f>F19</f>
        <v>100</v>
      </c>
      <c r="T19" s="714" t="s">
        <v>21</v>
      </c>
      <c r="U19" s="715">
        <f>H19</f>
        <v>100</v>
      </c>
      <c r="V19" s="714" t="s">
        <v>21</v>
      </c>
      <c r="W19" s="715">
        <f>J19</f>
        <v>100</v>
      </c>
      <c r="X19" s="1489"/>
      <c r="Y19" s="3488"/>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900"/>
      <c r="M20" s="2894"/>
      <c r="N20" s="2894"/>
      <c r="O20" s="2894"/>
      <c r="P20" s="3495"/>
      <c r="Q20" s="1486"/>
      <c r="R20" s="714"/>
      <c r="S20" s="715"/>
      <c r="T20" s="714"/>
      <c r="U20" s="715"/>
      <c r="V20" s="714"/>
      <c r="W20" s="715"/>
      <c r="X20" s="1489"/>
      <c r="Y20" s="3488"/>
      <c r="Z20" s="1490"/>
      <c r="AA20" s="1487">
        <v>1</v>
      </c>
      <c r="AB20" s="1487">
        <v>1</v>
      </c>
      <c r="AC20" s="1487">
        <v>1</v>
      </c>
    </row>
    <row r="21" spans="1:29" ht="28.5">
      <c r="A21" s="387"/>
      <c r="B21" s="1246"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95"/>
      <c r="Q21" s="1486" t="str">
        <f>B21</f>
        <v>基础设施水平</v>
      </c>
      <c r="R21" s="714" t="s">
        <v>17</v>
      </c>
      <c r="S21" s="715">
        <f>F21</f>
        <v>100</v>
      </c>
      <c r="T21" s="714" t="s">
        <v>17</v>
      </c>
      <c r="U21" s="715">
        <f>H21</f>
        <v>100</v>
      </c>
      <c r="V21" s="714" t="s">
        <v>17</v>
      </c>
      <c r="W21" s="715">
        <f>J21</f>
        <v>100</v>
      </c>
      <c r="X21" s="1489"/>
      <c r="Y21" s="3488"/>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7"/>
      <c r="G22" s="2040"/>
      <c r="H22" s="407"/>
      <c r="I22" s="406"/>
      <c r="J22" s="407"/>
      <c r="K22" s="2041"/>
      <c r="L22" s="2900"/>
      <c r="M22" s="2894"/>
      <c r="N22" s="2894"/>
      <c r="O22" s="2894"/>
      <c r="P22" s="3495"/>
      <c r="Q22" s="1486"/>
      <c r="R22" s="714"/>
      <c r="S22" s="715"/>
      <c r="T22" s="714"/>
      <c r="U22" s="715"/>
      <c r="V22" s="714"/>
      <c r="W22" s="715"/>
      <c r="X22" s="1489"/>
      <c r="Y22" s="3488"/>
      <c r="Z22" s="1490"/>
      <c r="AA22" s="1487">
        <v>1</v>
      </c>
      <c r="AB22" s="1487">
        <v>1</v>
      </c>
      <c r="AC22" s="1487">
        <v>1</v>
      </c>
    </row>
    <row r="23" spans="1:29" ht="57">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95"/>
      <c r="Q23" s="1486" t="str">
        <f>B23</f>
        <v>自然及人文环境</v>
      </c>
      <c r="R23" s="714" t="s">
        <v>21</v>
      </c>
      <c r="S23" s="715">
        <f>F23</f>
        <v>100</v>
      </c>
      <c r="T23" s="714" t="s">
        <v>21</v>
      </c>
      <c r="U23" s="715">
        <f>H23</f>
        <v>100</v>
      </c>
      <c r="V23" s="714" t="s">
        <v>21</v>
      </c>
      <c r="W23" s="715">
        <f>J23</f>
        <v>100</v>
      </c>
      <c r="X23" s="1489"/>
      <c r="Y23" s="3488"/>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900"/>
      <c r="M24" s="2894"/>
      <c r="N24" s="2894"/>
      <c r="O24" s="2894"/>
      <c r="P24" s="3495"/>
      <c r="Q24" s="1486"/>
      <c r="R24" s="714"/>
      <c r="S24" s="715"/>
      <c r="T24" s="714"/>
      <c r="U24" s="715"/>
      <c r="V24" s="714"/>
      <c r="W24" s="715"/>
      <c r="X24" s="1489"/>
      <c r="Y24" s="3488"/>
      <c r="Z24" s="1490"/>
      <c r="AA24" s="1487">
        <v>1</v>
      </c>
      <c r="AB24" s="1487">
        <v>1</v>
      </c>
      <c r="AC24" s="1487">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495"/>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88"/>
      <c r="Z25" s="1490" t="str">
        <f>Q25</f>
        <v>楼层-1</v>
      </c>
      <c r="AA25" s="1487">
        <f t="shared" ref="AA25:AA46" si="15">D25/F25</f>
        <v>1</v>
      </c>
      <c r="AB25" s="1487">
        <f t="shared" ref="AB25:AB46" si="16">D25/H25</f>
        <v>1</v>
      </c>
      <c r="AC25" s="1487">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495"/>
      <c r="Q26" s="1486" t="str">
        <f t="shared" si="11"/>
        <v>朝向</v>
      </c>
      <c r="R26" s="714" t="s">
        <v>21</v>
      </c>
      <c r="S26" s="715">
        <f t="shared" si="12"/>
        <v>100</v>
      </c>
      <c r="T26" s="714" t="s">
        <v>21</v>
      </c>
      <c r="U26" s="715">
        <f t="shared" si="13"/>
        <v>100</v>
      </c>
      <c r="V26" s="714" t="s">
        <v>21</v>
      </c>
      <c r="W26" s="715">
        <f t="shared" si="14"/>
        <v>100</v>
      </c>
      <c r="X26" s="1489"/>
      <c r="Y26" s="3488"/>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495"/>
      <c r="Q27" s="1477">
        <f t="shared" si="11"/>
        <v>111</v>
      </c>
      <c r="R27" s="710" t="s">
        <v>21</v>
      </c>
      <c r="S27" s="711">
        <f t="shared" si="12"/>
        <v>100</v>
      </c>
      <c r="T27" s="710" t="s">
        <v>21</v>
      </c>
      <c r="U27" s="711">
        <f t="shared" si="13"/>
        <v>100</v>
      </c>
      <c r="V27" s="710" t="s">
        <v>21</v>
      </c>
      <c r="W27" s="711">
        <f t="shared" si="14"/>
        <v>100</v>
      </c>
      <c r="X27" s="712"/>
      <c r="Y27" s="3488"/>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495"/>
      <c r="Q28" s="1486">
        <f t="shared" si="11"/>
        <v>111</v>
      </c>
      <c r="R28" s="714" t="s">
        <v>21</v>
      </c>
      <c r="S28" s="715">
        <f t="shared" si="12"/>
        <v>100</v>
      </c>
      <c r="T28" s="714" t="s">
        <v>21</v>
      </c>
      <c r="U28" s="715">
        <f t="shared" si="13"/>
        <v>100</v>
      </c>
      <c r="V28" s="714" t="s">
        <v>21</v>
      </c>
      <c r="W28" s="715">
        <f t="shared" si="14"/>
        <v>100</v>
      </c>
      <c r="X28" s="1489"/>
      <c r="Y28" s="3488"/>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495"/>
      <c r="Q29" s="1486">
        <f t="shared" si="11"/>
        <v>111</v>
      </c>
      <c r="R29" s="714" t="s">
        <v>21</v>
      </c>
      <c r="S29" s="715">
        <f t="shared" si="12"/>
        <v>100</v>
      </c>
      <c r="T29" s="714" t="s">
        <v>21</v>
      </c>
      <c r="U29" s="715">
        <f t="shared" si="13"/>
        <v>100</v>
      </c>
      <c r="V29" s="714" t="s">
        <v>21</v>
      </c>
      <c r="W29" s="715">
        <f t="shared" si="14"/>
        <v>100</v>
      </c>
      <c r="X29" s="1489"/>
      <c r="Y29" s="3488"/>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495"/>
      <c r="Q30" s="1486">
        <f t="shared" si="11"/>
        <v>111</v>
      </c>
      <c r="R30" s="714" t="s">
        <v>21</v>
      </c>
      <c r="S30" s="715">
        <f t="shared" si="12"/>
        <v>100</v>
      </c>
      <c r="T30" s="714" t="s">
        <v>21</v>
      </c>
      <c r="U30" s="715">
        <f t="shared" si="13"/>
        <v>100</v>
      </c>
      <c r="V30" s="714" t="s">
        <v>21</v>
      </c>
      <c r="W30" s="715">
        <f t="shared" si="14"/>
        <v>100</v>
      </c>
      <c r="X30" s="1489"/>
      <c r="Y30" s="3488"/>
      <c r="Z30" s="1490">
        <f t="shared" si="18"/>
        <v>111</v>
      </c>
      <c r="AA30" s="1487">
        <f t="shared" si="15"/>
        <v>1</v>
      </c>
      <c r="AB30" s="1487">
        <f t="shared" si="16"/>
        <v>1</v>
      </c>
      <c r="AC30" s="1487">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495"/>
      <c r="Q31" s="1486">
        <f t="shared" si="11"/>
        <v>111</v>
      </c>
      <c r="R31" s="714" t="s">
        <v>21</v>
      </c>
      <c r="S31" s="715">
        <f t="shared" si="12"/>
        <v>100</v>
      </c>
      <c r="T31" s="714" t="s">
        <v>21</v>
      </c>
      <c r="U31" s="715">
        <f t="shared" si="13"/>
        <v>100</v>
      </c>
      <c r="V31" s="714" t="s">
        <v>21</v>
      </c>
      <c r="W31" s="715">
        <f t="shared" si="14"/>
        <v>100</v>
      </c>
      <c r="X31" s="1489"/>
      <c r="Y31" s="3488"/>
      <c r="Z31" s="1490">
        <f t="shared" si="18"/>
        <v>111</v>
      </c>
      <c r="AA31" s="1487">
        <f t="shared" si="15"/>
        <v>1</v>
      </c>
      <c r="AB31" s="1487">
        <f t="shared" si="16"/>
        <v>1</v>
      </c>
      <c r="AC31" s="1487">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489" t="s">
        <v>2145</v>
      </c>
      <c r="Q32" s="1486" t="str">
        <f t="shared" si="11"/>
        <v>建筑类型</v>
      </c>
      <c r="R32" s="714" t="s">
        <v>21</v>
      </c>
      <c r="S32" s="715">
        <f t="shared" si="12"/>
        <v>100</v>
      </c>
      <c r="T32" s="714" t="s">
        <v>21</v>
      </c>
      <c r="U32" s="715">
        <f t="shared" si="13"/>
        <v>100</v>
      </c>
      <c r="V32" s="714" t="s">
        <v>21</v>
      </c>
      <c r="W32" s="715">
        <f t="shared" si="14"/>
        <v>100</v>
      </c>
      <c r="X32" s="1489"/>
      <c r="Y32" s="3492" t="s">
        <v>2145</v>
      </c>
      <c r="Z32" s="1490" t="str">
        <f t="shared" si="18"/>
        <v>建筑类型</v>
      </c>
      <c r="AA32" s="1487">
        <f t="shared" si="15"/>
        <v>1</v>
      </c>
      <c r="AB32" s="1487">
        <f t="shared" si="16"/>
        <v>1</v>
      </c>
      <c r="AC32" s="1487">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490"/>
      <c r="Q33" s="716" t="str">
        <f t="shared" si="11"/>
        <v>项目建筑规模</v>
      </c>
      <c r="R33" s="717" t="s">
        <v>21</v>
      </c>
      <c r="S33" s="718" t="e">
        <f t="shared" si="12"/>
        <v>#N/A</v>
      </c>
      <c r="T33" s="717" t="s">
        <v>21</v>
      </c>
      <c r="U33" s="718" t="e">
        <f t="shared" si="13"/>
        <v>#N/A</v>
      </c>
      <c r="V33" s="717" t="s">
        <v>21</v>
      </c>
      <c r="W33" s="718" t="e">
        <f t="shared" si="14"/>
        <v>#N/A</v>
      </c>
      <c r="X33" s="719"/>
      <c r="Y33" s="3492"/>
      <c r="Z33" s="720" t="str">
        <f t="shared" si="18"/>
        <v>项目建筑规模</v>
      </c>
      <c r="AA33" s="1487" t="e">
        <f t="shared" si="15"/>
        <v>#N/A</v>
      </c>
      <c r="AB33" s="1487" t="e">
        <f t="shared" si="16"/>
        <v>#N/A</v>
      </c>
      <c r="AC33" s="1487"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490"/>
      <c r="Q34" s="1486" t="str">
        <f t="shared" si="11"/>
        <v>建筑结构</v>
      </c>
      <c r="R34" s="714" t="s">
        <v>21</v>
      </c>
      <c r="S34" s="715">
        <f t="shared" si="12"/>
        <v>100</v>
      </c>
      <c r="T34" s="714" t="s">
        <v>21</v>
      </c>
      <c r="U34" s="715">
        <f t="shared" si="13"/>
        <v>100</v>
      </c>
      <c r="V34" s="714" t="s">
        <v>21</v>
      </c>
      <c r="W34" s="715">
        <f t="shared" si="14"/>
        <v>100</v>
      </c>
      <c r="X34" s="1489"/>
      <c r="Y34" s="3492"/>
      <c r="Z34" s="1490" t="str">
        <f t="shared" si="18"/>
        <v>建筑结构</v>
      </c>
      <c r="AA34" s="1487">
        <f t="shared" si="15"/>
        <v>1</v>
      </c>
      <c r="AB34" s="1487">
        <f t="shared" si="16"/>
        <v>1</v>
      </c>
      <c r="AC34" s="1487">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490"/>
      <c r="Q35" s="1486" t="str">
        <f t="shared" si="11"/>
        <v>建筑品质</v>
      </c>
      <c r="R35" s="714" t="s">
        <v>21</v>
      </c>
      <c r="S35" s="715">
        <f t="shared" si="12"/>
        <v>100</v>
      </c>
      <c r="T35" s="714" t="s">
        <v>21</v>
      </c>
      <c r="U35" s="715">
        <f t="shared" si="13"/>
        <v>100</v>
      </c>
      <c r="V35" s="714" t="s">
        <v>21</v>
      </c>
      <c r="W35" s="715">
        <f t="shared" si="14"/>
        <v>100</v>
      </c>
      <c r="X35" s="1489"/>
      <c r="Y35" s="3492"/>
      <c r="Z35" s="1490" t="str">
        <f t="shared" si="18"/>
        <v>建筑品质</v>
      </c>
      <c r="AA35" s="1487">
        <f t="shared" si="15"/>
        <v>1</v>
      </c>
      <c r="AB35" s="1487">
        <f t="shared" si="16"/>
        <v>1</v>
      </c>
      <c r="AC35" s="1487">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490"/>
      <c r="Q36" s="1486" t="str">
        <f t="shared" si="11"/>
        <v>公共部分装修</v>
      </c>
      <c r="R36" s="714" t="s">
        <v>21</v>
      </c>
      <c r="S36" s="715">
        <f t="shared" si="12"/>
        <v>100</v>
      </c>
      <c r="T36" s="714" t="s">
        <v>21</v>
      </c>
      <c r="U36" s="715">
        <f t="shared" si="13"/>
        <v>100</v>
      </c>
      <c r="V36" s="714" t="s">
        <v>21</v>
      </c>
      <c r="W36" s="715">
        <f t="shared" si="14"/>
        <v>100</v>
      </c>
      <c r="X36" s="1489"/>
      <c r="Y36" s="3492"/>
      <c r="Z36" s="1490" t="str">
        <f t="shared" si="18"/>
        <v>公共部分装修</v>
      </c>
      <c r="AA36" s="1487">
        <f t="shared" si="15"/>
        <v>1</v>
      </c>
      <c r="AB36" s="1487">
        <f t="shared" si="16"/>
        <v>1</v>
      </c>
      <c r="AC36" s="1487">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90"/>
      <c r="Q37" s="1477" t="str">
        <f t="shared" si="11"/>
        <v>成新度</v>
      </c>
      <c r="R37" s="710" t="s">
        <v>21</v>
      </c>
      <c r="S37" s="711" t="e">
        <f t="shared" si="12"/>
        <v>#N/A</v>
      </c>
      <c r="T37" s="710" t="s">
        <v>21</v>
      </c>
      <c r="U37" s="711" t="e">
        <f t="shared" si="13"/>
        <v>#N/A</v>
      </c>
      <c r="V37" s="710" t="s">
        <v>21</v>
      </c>
      <c r="W37" s="711" t="e">
        <f t="shared" si="14"/>
        <v>#N/A</v>
      </c>
      <c r="X37" s="712"/>
      <c r="Y37" s="3492"/>
      <c r="Z37" s="55" t="str">
        <f t="shared" si="18"/>
        <v>成新度</v>
      </c>
      <c r="AA37" s="713" t="e">
        <f t="shared" si="15"/>
        <v>#N/A</v>
      </c>
      <c r="AB37" s="713" t="e">
        <f t="shared" si="16"/>
        <v>#N/A</v>
      </c>
      <c r="AC37" s="713"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490" t="s">
        <v>2145</v>
      </c>
      <c r="Q38" s="1486" t="str">
        <f t="shared" si="11"/>
        <v>物业管理</v>
      </c>
      <c r="R38" s="714" t="s">
        <v>21</v>
      </c>
      <c r="S38" s="715">
        <f t="shared" si="12"/>
        <v>100</v>
      </c>
      <c r="T38" s="714" t="s">
        <v>21</v>
      </c>
      <c r="U38" s="715">
        <f t="shared" si="13"/>
        <v>100</v>
      </c>
      <c r="V38" s="714" t="s">
        <v>21</v>
      </c>
      <c r="W38" s="715">
        <f t="shared" si="14"/>
        <v>100</v>
      </c>
      <c r="X38" s="1489"/>
      <c r="Y38" s="3492" t="s">
        <v>2145</v>
      </c>
      <c r="Z38" s="1490" t="str">
        <f t="shared" si="18"/>
        <v>物业管理</v>
      </c>
      <c r="AA38" s="1487">
        <f t="shared" si="15"/>
        <v>1</v>
      </c>
      <c r="AB38" s="1487">
        <f t="shared" si="16"/>
        <v>1</v>
      </c>
      <c r="AC38" s="1487">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490"/>
      <c r="Q39" s="1486" t="str">
        <f t="shared" si="11"/>
        <v>市政基础设施</v>
      </c>
      <c r="R39" s="714" t="s">
        <v>21</v>
      </c>
      <c r="S39" s="715">
        <f t="shared" si="12"/>
        <v>100</v>
      </c>
      <c r="T39" s="714" t="s">
        <v>21</v>
      </c>
      <c r="U39" s="715">
        <f t="shared" si="13"/>
        <v>100</v>
      </c>
      <c r="V39" s="714" t="s">
        <v>21</v>
      </c>
      <c r="W39" s="715">
        <f t="shared" si="14"/>
        <v>100</v>
      </c>
      <c r="X39" s="1489"/>
      <c r="Y39" s="3492"/>
      <c r="Z39" s="1490" t="str">
        <f t="shared" si="18"/>
        <v>市政基础设施</v>
      </c>
      <c r="AA39" s="1487">
        <f t="shared" si="15"/>
        <v>1</v>
      </c>
      <c r="AB39" s="1487">
        <f t="shared" si="16"/>
        <v>1</v>
      </c>
      <c r="AC39" s="1487">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490"/>
      <c r="Q40" s="1486" t="str">
        <f t="shared" si="11"/>
        <v>房型</v>
      </c>
      <c r="R40" s="714" t="s">
        <v>21</v>
      </c>
      <c r="S40" s="715">
        <f t="shared" si="12"/>
        <v>100</v>
      </c>
      <c r="T40" s="714" t="s">
        <v>21</v>
      </c>
      <c r="U40" s="715">
        <f t="shared" si="13"/>
        <v>100</v>
      </c>
      <c r="V40" s="714" t="s">
        <v>21</v>
      </c>
      <c r="W40" s="715">
        <f t="shared" si="14"/>
        <v>100</v>
      </c>
      <c r="X40" s="1489"/>
      <c r="Y40" s="3492"/>
      <c r="Z40" s="1490" t="str">
        <f t="shared" si="18"/>
        <v>房型</v>
      </c>
      <c r="AA40" s="1487">
        <f t="shared" si="15"/>
        <v>1</v>
      </c>
      <c r="AB40" s="1487">
        <f t="shared" si="16"/>
        <v>1</v>
      </c>
      <c r="AC40" s="1487">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490"/>
      <c r="Q41" s="716" t="str">
        <f t="shared" si="11"/>
        <v>单套/主力户型建筑面积</v>
      </c>
      <c r="R41" s="717" t="s">
        <v>21</v>
      </c>
      <c r="S41" s="718">
        <f t="shared" si="12"/>
        <v>100</v>
      </c>
      <c r="T41" s="717" t="s">
        <v>21</v>
      </c>
      <c r="U41" s="718">
        <f t="shared" si="13"/>
        <v>100</v>
      </c>
      <c r="V41" s="717" t="s">
        <v>21</v>
      </c>
      <c r="W41" s="718">
        <f t="shared" si="14"/>
        <v>100</v>
      </c>
      <c r="X41" s="719"/>
      <c r="Y41" s="3492"/>
      <c r="Z41" s="720" t="str">
        <f t="shared" si="18"/>
        <v>单套/主力户型建筑面积</v>
      </c>
      <c r="AA41" s="1487">
        <f t="shared" si="15"/>
        <v>1</v>
      </c>
      <c r="AB41" s="1487">
        <f t="shared" si="16"/>
        <v>1</v>
      </c>
      <c r="AC41" s="1487">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490"/>
      <c r="Q42" s="1486" t="str">
        <f t="shared" si="11"/>
        <v>内部装修</v>
      </c>
      <c r="R42" s="714" t="s">
        <v>21</v>
      </c>
      <c r="S42" s="715">
        <f t="shared" si="12"/>
        <v>100</v>
      </c>
      <c r="T42" s="714" t="s">
        <v>21</v>
      </c>
      <c r="U42" s="715">
        <f t="shared" si="13"/>
        <v>100</v>
      </c>
      <c r="V42" s="714" t="s">
        <v>21</v>
      </c>
      <c r="W42" s="715">
        <f t="shared" si="14"/>
        <v>100</v>
      </c>
      <c r="X42" s="1489"/>
      <c r="Y42" s="3492"/>
      <c r="Z42" s="1490" t="str">
        <f t="shared" si="18"/>
        <v>内部装修</v>
      </c>
      <c r="AA42" s="1487">
        <f t="shared" si="15"/>
        <v>1</v>
      </c>
      <c r="AB42" s="1487">
        <f t="shared" si="16"/>
        <v>1</v>
      </c>
      <c r="AC42" s="1487">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490"/>
      <c r="Q43" s="1486" t="str">
        <f t="shared" si="11"/>
        <v>内部装修维护情况</v>
      </c>
      <c r="R43" s="714" t="s">
        <v>21</v>
      </c>
      <c r="S43" s="715">
        <f t="shared" si="12"/>
        <v>100</v>
      </c>
      <c r="T43" s="714" t="s">
        <v>21</v>
      </c>
      <c r="U43" s="715">
        <f t="shared" si="13"/>
        <v>100</v>
      </c>
      <c r="V43" s="714" t="s">
        <v>21</v>
      </c>
      <c r="W43" s="715">
        <f t="shared" si="14"/>
        <v>100</v>
      </c>
      <c r="X43" s="1489"/>
      <c r="Y43" s="3492"/>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490"/>
      <c r="Q44" s="1477">
        <f t="shared" si="11"/>
        <v>111</v>
      </c>
      <c r="R44" s="710" t="s">
        <v>21</v>
      </c>
      <c r="S44" s="711">
        <f t="shared" si="12"/>
        <v>100</v>
      </c>
      <c r="T44" s="710" t="s">
        <v>21</v>
      </c>
      <c r="U44" s="711">
        <f t="shared" si="13"/>
        <v>100</v>
      </c>
      <c r="V44" s="710" t="s">
        <v>21</v>
      </c>
      <c r="W44" s="711">
        <f t="shared" si="14"/>
        <v>100</v>
      </c>
      <c r="X44" s="712"/>
      <c r="Y44" s="3492"/>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490"/>
      <c r="Q45" s="1486">
        <f t="shared" si="11"/>
        <v>111</v>
      </c>
      <c r="R45" s="714" t="s">
        <v>21</v>
      </c>
      <c r="S45" s="715">
        <f t="shared" si="12"/>
        <v>100</v>
      </c>
      <c r="T45" s="714" t="s">
        <v>21</v>
      </c>
      <c r="U45" s="715">
        <f t="shared" si="13"/>
        <v>100</v>
      </c>
      <c r="V45" s="714" t="s">
        <v>21</v>
      </c>
      <c r="W45" s="715">
        <f t="shared" si="14"/>
        <v>100</v>
      </c>
      <c r="X45" s="1489"/>
      <c r="Y45" s="3492"/>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491"/>
      <c r="Q46" s="1486">
        <f t="shared" si="11"/>
        <v>111</v>
      </c>
      <c r="R46" s="714" t="s">
        <v>20</v>
      </c>
      <c r="S46" s="715">
        <f t="shared" si="12"/>
        <v>100</v>
      </c>
      <c r="T46" s="714" t="s">
        <v>20</v>
      </c>
      <c r="U46" s="715">
        <f t="shared" si="13"/>
        <v>100</v>
      </c>
      <c r="V46" s="714" t="s">
        <v>20</v>
      </c>
      <c r="W46" s="715">
        <f t="shared" si="14"/>
        <v>100</v>
      </c>
      <c r="X46" s="1489"/>
      <c r="Y46" s="3493"/>
      <c r="Z46" s="1490">
        <f t="shared" si="18"/>
        <v>111</v>
      </c>
      <c r="AA46" s="1487">
        <f t="shared" si="15"/>
        <v>1</v>
      </c>
      <c r="AB46" s="1487">
        <f t="shared" si="16"/>
        <v>1</v>
      </c>
      <c r="AC46" s="1487">
        <f t="shared" si="17"/>
        <v>1</v>
      </c>
    </row>
    <row r="47" spans="1:29" ht="15">
      <c r="A47" s="438" t="s">
        <v>2157</v>
      </c>
      <c r="B47" s="439"/>
      <c r="C47" s="1269" t="s">
        <v>19</v>
      </c>
      <c r="D47" s="1270"/>
      <c r="E47" s="1271"/>
      <c r="F47" s="1272"/>
      <c r="G47" s="1273"/>
      <c r="H47" s="1274"/>
      <c r="I47" s="1271"/>
      <c r="J47" s="1274"/>
      <c r="K47" s="2050"/>
      <c r="L47" s="2902"/>
      <c r="M47" s="2903"/>
      <c r="N47" s="2894"/>
      <c r="O47" s="2903"/>
      <c r="P47" s="3485" t="str">
        <f>A47</f>
        <v>成交单价（元/平方米）</v>
      </c>
      <c r="Q47" s="3485"/>
      <c r="R47" s="3486">
        <f>E47</f>
        <v>0</v>
      </c>
      <c r="S47" s="3486"/>
      <c r="T47" s="3486">
        <f>G47</f>
        <v>0</v>
      </c>
      <c r="U47" s="3486"/>
      <c r="V47" s="3486">
        <f>I47</f>
        <v>0</v>
      </c>
      <c r="W47" s="3486"/>
      <c r="X47" s="699"/>
      <c r="Y47" s="721"/>
      <c r="Z47" s="699"/>
      <c r="AA47" s="699"/>
      <c r="AB47" s="699"/>
      <c r="AC47" s="699"/>
    </row>
    <row r="48" spans="1:29" ht="15.75" thickBot="1">
      <c r="A48" s="445" t="s">
        <v>2158</v>
      </c>
      <c r="B48" s="446"/>
      <c r="C48" s="1275" t="e">
        <f>R49</f>
        <v>#DIV/0!</v>
      </c>
      <c r="D48" s="2488" t="s">
        <v>2638</v>
      </c>
      <c r="E48" s="1276" t="e">
        <f>R48</f>
        <v>#DIV/0!</v>
      </c>
      <c r="F48" s="2489"/>
      <c r="G48" s="1275" t="e">
        <f>T48</f>
        <v>#DIV/0!</v>
      </c>
      <c r="H48" s="2489"/>
      <c r="I48" s="1276" t="e">
        <f>V48</f>
        <v>#DIV/0!</v>
      </c>
      <c r="J48" s="2489"/>
      <c r="K48" s="2490">
        <f>F48+H48+J48</f>
        <v>0</v>
      </c>
      <c r="L48" s="2902"/>
      <c r="M48" s="2903"/>
      <c r="N48" s="2903"/>
      <c r="O48" s="2903"/>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1"/>
      <c r="L49" s="2902"/>
      <c r="M49" s="2903"/>
      <c r="N49" s="2903"/>
      <c r="O49" s="2903"/>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4"/>
      <c r="Q57" s="461"/>
    </row>
    <row r="58" spans="1:29" s="465" customFormat="1" ht="15">
      <c r="A58" s="462" t="s">
        <v>2164</v>
      </c>
      <c r="B58" s="463"/>
      <c r="C58" s="1300" t="str">
        <f>YEAR(C7)&amp;"-"&amp;MONTH(C7)</f>
        <v>2022-9</v>
      </c>
      <c r="D58" s="1299">
        <f>EDATE(C58,-1)</f>
        <v>44774</v>
      </c>
      <c r="E58" s="1299">
        <f>EDATE(D58,-1)</f>
        <v>44743</v>
      </c>
      <c r="F58" s="1299">
        <f t="shared" ref="F58:O58" si="19">EDATE(E58,-1)</f>
        <v>44713</v>
      </c>
      <c r="G58" s="1299">
        <f t="shared" si="19"/>
        <v>44682</v>
      </c>
      <c r="H58" s="1299">
        <f t="shared" si="19"/>
        <v>44652</v>
      </c>
      <c r="I58" s="1299">
        <f t="shared" si="19"/>
        <v>44621</v>
      </c>
      <c r="J58" s="1299">
        <f t="shared" si="19"/>
        <v>44593</v>
      </c>
      <c r="K58" s="1299">
        <f t="shared" si="19"/>
        <v>44562</v>
      </c>
      <c r="L58" s="1299">
        <f t="shared" si="19"/>
        <v>44531</v>
      </c>
      <c r="M58" s="1299">
        <f t="shared" si="19"/>
        <v>44501</v>
      </c>
      <c r="N58" s="1299">
        <f t="shared" si="19"/>
        <v>44470</v>
      </c>
      <c r="O58" s="1299">
        <f t="shared" si="19"/>
        <v>44440</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2168</v>
      </c>
      <c r="B63" s="485" t="s">
        <v>2134</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2190</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2191</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2143</v>
      </c>
      <c r="B100" s="485" t="s">
        <v>2192</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2194</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2195</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2196</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2197</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2198</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2199</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2200</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9">
        <v>6</v>
      </c>
      <c r="C139" s="980">
        <v>96</v>
      </c>
      <c r="D139" s="2076" t="s">
        <v>2211</v>
      </c>
      <c r="E139" s="981">
        <v>100</v>
      </c>
      <c r="F139" s="982">
        <v>102.5</v>
      </c>
      <c r="G139" s="2076" t="s">
        <v>2211</v>
      </c>
      <c r="H139" s="983">
        <v>105</v>
      </c>
      <c r="I139" s="2077" t="s">
        <v>2212</v>
      </c>
      <c r="J139" s="980">
        <v>20</v>
      </c>
      <c r="K139" s="984">
        <f>C145/(J139-2)</f>
        <v>4.0555555555555553E-3</v>
      </c>
    </row>
    <row r="140" spans="1:17" ht="15">
      <c r="B140" s="985">
        <v>5</v>
      </c>
      <c r="C140" s="986">
        <v>100</v>
      </c>
      <c r="D140" s="986"/>
      <c r="E140" s="987"/>
      <c r="F140" s="988">
        <v>102</v>
      </c>
      <c r="G140" s="986"/>
      <c r="H140" s="989"/>
      <c r="I140" s="2078" t="s">
        <v>2213</v>
      </c>
      <c r="J140" s="277">
        <f>ROUNDUP((J139-1)/2,0)</f>
        <v>10</v>
      </c>
      <c r="K140" s="990">
        <v>100</v>
      </c>
    </row>
    <row r="141" spans="1:17" ht="15">
      <c r="B141" s="985">
        <v>4</v>
      </c>
      <c r="C141" s="986">
        <v>102</v>
      </c>
      <c r="D141" s="986"/>
      <c r="E141" s="987"/>
      <c r="F141" s="988">
        <v>101.5</v>
      </c>
      <c r="G141" s="986"/>
      <c r="H141" s="989"/>
      <c r="I141" s="2078" t="s">
        <v>2214</v>
      </c>
      <c r="J141" s="277">
        <v>1</v>
      </c>
      <c r="K141" s="991">
        <f>ROUND(100+(J141-J140)*K139*100,1)</f>
        <v>96.4</v>
      </c>
    </row>
    <row r="142" spans="1:17" ht="15">
      <c r="B142" s="985">
        <v>3</v>
      </c>
      <c r="C142" s="986">
        <v>103</v>
      </c>
      <c r="D142" s="986"/>
      <c r="E142" s="987"/>
      <c r="F142" s="988">
        <v>101</v>
      </c>
      <c r="G142" s="986"/>
      <c r="H142" s="989"/>
      <c r="I142" s="2078" t="s">
        <v>2215</v>
      </c>
      <c r="J142" s="277">
        <f>J139</f>
        <v>20</v>
      </c>
      <c r="K142" s="992">
        <v>95</v>
      </c>
    </row>
    <row r="143" spans="1:17" ht="15">
      <c r="B143" s="985">
        <v>2</v>
      </c>
      <c r="C143" s="986">
        <v>100</v>
      </c>
      <c r="D143" s="986"/>
      <c r="E143" s="987"/>
      <c r="F143" s="988">
        <v>100.5</v>
      </c>
      <c r="G143" s="986"/>
      <c r="H143" s="989"/>
      <c r="I143" s="2078" t="s">
        <v>2216</v>
      </c>
      <c r="J143" s="986">
        <v>15</v>
      </c>
      <c r="K143" s="991">
        <f>ROUND(100+(J143-J140)*K139*100,1)</f>
        <v>102</v>
      </c>
    </row>
    <row r="144" spans="1:17" ht="15">
      <c r="B144" s="985">
        <v>1</v>
      </c>
      <c r="C144" s="986">
        <v>98</v>
      </c>
      <c r="D144" s="2079" t="s">
        <v>2217</v>
      </c>
      <c r="E144" s="987">
        <v>102</v>
      </c>
      <c r="F144" s="993">
        <v>100</v>
      </c>
      <c r="G144" s="2079" t="s">
        <v>2217</v>
      </c>
      <c r="H144" s="989">
        <v>105</v>
      </c>
      <c r="I144" s="2078" t="s">
        <v>2216</v>
      </c>
      <c r="J144" s="986">
        <v>18</v>
      </c>
      <c r="K144" s="991">
        <f>ROUND(100+(J144-J140)*K139*100,1)</f>
        <v>103.2</v>
      </c>
    </row>
    <row r="145" spans="2:11" ht="15.75" thickBot="1">
      <c r="B145" s="2080" t="s">
        <v>2218</v>
      </c>
      <c r="C145" s="994">
        <f>ROUND(MAX(C139:C144)/MIN(C139:C144)-1,3)</f>
        <v>7.2999999999999995E-2</v>
      </c>
      <c r="D145" s="995"/>
      <c r="E145" s="995"/>
      <c r="F145" s="2081" t="s">
        <v>2219</v>
      </c>
      <c r="G145" s="2082"/>
      <c r="H145" s="2083"/>
      <c r="I145" s="2084" t="s">
        <v>2216</v>
      </c>
      <c r="J145" s="996">
        <v>8</v>
      </c>
      <c r="K145" s="997">
        <f>ROUND(100+(J145-J140)*K139*100,1)</f>
        <v>99.2</v>
      </c>
    </row>
    <row r="147" spans="2:11">
      <c r="B147" s="2065" t="s">
        <v>2220</v>
      </c>
    </row>
    <row r="148" spans="2:11">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9" t="e">
        <f ca="1">IF(C2="——",ROUND(C49*D3/10000,0),ROUND(C49*D3/10000,0)-D2)</f>
        <v>#DIV/0!</v>
      </c>
      <c r="C2" s="2017"/>
      <c r="D2" s="1228" t="e">
        <f ca="1">SUMIF(INDIRECT("'"&amp;F2&amp;"'"&amp;"!A:A"),"承租人权益价值",INDIRECT("'"&amp;F2&amp;"'"&amp;"!c:c"))</f>
        <v>#REF!</v>
      </c>
      <c r="E2" s="2018" t="s">
        <v>1908</v>
      </c>
      <c r="F2" s="2019"/>
      <c r="G2" s="1020"/>
      <c r="H2" s="1020"/>
      <c r="I2" s="1020"/>
      <c r="J2" s="1020"/>
      <c r="K2" s="1020"/>
      <c r="L2" s="2912"/>
      <c r="M2" s="2913"/>
      <c r="N2" s="2913"/>
      <c r="O2" s="2913"/>
      <c r="P2" s="2088"/>
      <c r="Q2" s="1024"/>
      <c r="R2" s="1024"/>
      <c r="S2" s="1024"/>
      <c r="T2" s="1024"/>
      <c r="U2" s="1024"/>
      <c r="V2" s="1024"/>
      <c r="W2" s="1024"/>
      <c r="X2" s="1024"/>
      <c r="Y2" s="1024"/>
      <c r="Z2" s="1024"/>
      <c r="AA2" s="1024"/>
      <c r="AB2" s="1024"/>
      <c r="AC2" s="2089"/>
    </row>
    <row r="3" spans="1:29" s="358" customFormat="1" ht="28.5" customHeight="1" thickBot="1">
      <c r="A3" s="209" t="s">
        <v>1909</v>
      </c>
      <c r="B3" s="566" t="e">
        <f ca="1">IF(C2="——",C49,ROUND(B2*10000/D3,0))</f>
        <v>#DIV/0!</v>
      </c>
      <c r="C3" s="360" t="s">
        <v>2224</v>
      </c>
      <c r="D3" s="359">
        <f>IF(D1="",'数据-汇总表'!E3,SUMIF('数据-汇总表'!$C19:$C33,D1,'数据-汇总表'!$E19:$E33))</f>
        <v>119963.53</v>
      </c>
      <c r="E3" s="2090"/>
      <c r="F3" s="1021"/>
      <c r="G3" s="1020"/>
      <c r="H3" s="1020"/>
      <c r="I3" s="1020"/>
      <c r="J3" s="1020"/>
      <c r="K3" s="1022"/>
      <c r="L3" s="2912"/>
      <c r="M3" s="2913"/>
      <c r="N3" s="2913"/>
      <c r="O3" s="2913"/>
      <c r="P3" s="2088"/>
      <c r="Q3" s="1024"/>
      <c r="R3" s="1024"/>
      <c r="S3" s="1024"/>
      <c r="T3" s="1024"/>
      <c r="U3" s="1024"/>
      <c r="V3" s="1024"/>
      <c r="W3" s="1024"/>
      <c r="X3" s="1024"/>
      <c r="Y3" s="1024"/>
      <c r="Z3" s="1024"/>
      <c r="AA3" s="1024"/>
      <c r="AB3" s="1024"/>
      <c r="AC3" s="2090"/>
    </row>
    <row r="4" spans="1:29" ht="15">
      <c r="A4" s="361" t="s">
        <v>2225</v>
      </c>
      <c r="B4" s="362"/>
      <c r="C4" s="3500" t="s">
        <v>2226</v>
      </c>
      <c r="D4" s="3501"/>
      <c r="E4" s="3502" t="s">
        <v>2227</v>
      </c>
      <c r="F4" s="3503"/>
      <c r="G4" s="3500" t="s">
        <v>2228</v>
      </c>
      <c r="H4" s="3501"/>
      <c r="I4" s="3500" t="s">
        <v>2229</v>
      </c>
      <c r="J4" s="3501"/>
      <c r="K4" s="567" t="s">
        <v>2230</v>
      </c>
      <c r="L4" s="2893"/>
      <c r="M4" s="2894"/>
      <c r="N4" s="2894"/>
      <c r="O4" s="2894"/>
      <c r="P4" s="3504" t="s">
        <v>2231</v>
      </c>
      <c r="Q4" s="3505"/>
      <c r="R4" s="3510" t="s">
        <v>2227</v>
      </c>
      <c r="S4" s="3511"/>
      <c r="T4" s="3510" t="s">
        <v>2228</v>
      </c>
      <c r="U4" s="3511"/>
      <c r="V4" s="3516" t="s">
        <v>2229</v>
      </c>
      <c r="W4" s="3516"/>
      <c r="X4" s="1489"/>
      <c r="Y4" s="3510" t="s">
        <v>2231</v>
      </c>
      <c r="Z4" s="3511"/>
      <c r="AA4" s="3497" t="s">
        <v>2227</v>
      </c>
      <c r="AB4" s="3516" t="s">
        <v>2228</v>
      </c>
      <c r="AC4" s="3497" t="s">
        <v>2229</v>
      </c>
    </row>
    <row r="5" spans="1:29" ht="15">
      <c r="A5" s="364"/>
      <c r="B5" s="365"/>
      <c r="C5" s="3519" t="s">
        <v>2122</v>
      </c>
      <c r="D5" s="3520"/>
      <c r="E5" s="3526" t="s">
        <v>2123</v>
      </c>
      <c r="F5" s="3527"/>
      <c r="G5" s="3519" t="s">
        <v>2124</v>
      </c>
      <c r="H5" s="3520"/>
      <c r="I5" s="3519" t="s">
        <v>2125</v>
      </c>
      <c r="J5" s="3520"/>
      <c r="K5" s="567"/>
      <c r="L5" s="2893"/>
      <c r="M5" s="2894"/>
      <c r="N5" s="2894"/>
      <c r="O5" s="2894"/>
      <c r="P5" s="3506"/>
      <c r="Q5" s="3507"/>
      <c r="R5" s="3512"/>
      <c r="S5" s="3513"/>
      <c r="T5" s="3512"/>
      <c r="U5" s="3513"/>
      <c r="V5" s="3516"/>
      <c r="W5" s="3516"/>
      <c r="X5" s="1489"/>
      <c r="Y5" s="3512"/>
      <c r="Z5" s="3513"/>
      <c r="AA5" s="3498"/>
      <c r="AB5" s="3516"/>
      <c r="AC5" s="3498"/>
    </row>
    <row r="6" spans="1:29" ht="15.75" thickBot="1">
      <c r="A6" s="366"/>
      <c r="B6" s="367"/>
      <c r="C6" s="3517" t="s">
        <v>2126</v>
      </c>
      <c r="D6" s="3518"/>
      <c r="E6" s="3524" t="s">
        <v>2126</v>
      </c>
      <c r="F6" s="3525"/>
      <c r="G6" s="3517" t="s">
        <v>2126</v>
      </c>
      <c r="H6" s="3518"/>
      <c r="I6" s="3517" t="s">
        <v>2126</v>
      </c>
      <c r="J6" s="3518"/>
      <c r="K6" s="567" t="s">
        <v>2127</v>
      </c>
      <c r="L6" s="2893"/>
      <c r="M6" s="2894"/>
      <c r="N6" s="2894"/>
      <c r="O6" s="2894"/>
      <c r="P6" s="3508"/>
      <c r="Q6" s="3509"/>
      <c r="R6" s="3512"/>
      <c r="S6" s="3513"/>
      <c r="T6" s="3514"/>
      <c r="U6" s="3515"/>
      <c r="V6" s="3516"/>
      <c r="W6" s="3516"/>
      <c r="X6" s="1489"/>
      <c r="Y6" s="3514"/>
      <c r="Z6" s="3515"/>
      <c r="AA6" s="3499"/>
      <c r="AB6" s="3516"/>
      <c r="AC6" s="3499"/>
    </row>
    <row r="7" spans="1:29" s="113" customFormat="1" ht="15.75" thickBot="1">
      <c r="A7" s="368" t="s">
        <v>2128</v>
      </c>
      <c r="B7" s="369"/>
      <c r="C7" s="370">
        <f>'数据-取费表'!B2</f>
        <v>44827</v>
      </c>
      <c r="D7" s="371">
        <v>100</v>
      </c>
      <c r="E7" s="372"/>
      <c r="F7" s="373">
        <f>SUMIF(58:58,YEAR(E7)&amp;"-"&amp;MONTH(E7),59:59)</f>
        <v>0</v>
      </c>
      <c r="G7" s="372"/>
      <c r="H7" s="371">
        <f>SUMIF(58:58,YEAR(G7)&amp;"-"&amp;MONTH(G7),59:59)</f>
        <v>0</v>
      </c>
      <c r="I7" s="372"/>
      <c r="J7" s="371">
        <f>SUMIF(58:58,YEAR(I7)&amp;"-"&amp;MONTH(I7),59:59)</f>
        <v>0</v>
      </c>
      <c r="K7" s="568"/>
      <c r="L7" s="2895"/>
      <c r="M7" s="2896"/>
      <c r="N7" s="2896"/>
      <c r="O7" s="2896"/>
      <c r="P7" s="3521" t="s">
        <v>2129</v>
      </c>
      <c r="Q7" s="3523"/>
      <c r="R7" s="710" t="s">
        <v>17</v>
      </c>
      <c r="S7" s="711">
        <f t="shared" ref="S7:S15" si="0">F7</f>
        <v>0</v>
      </c>
      <c r="T7" s="710" t="s">
        <v>17</v>
      </c>
      <c r="U7" s="711">
        <f t="shared" ref="U7:U15" si="1">H7</f>
        <v>0</v>
      </c>
      <c r="V7" s="710" t="s">
        <v>17</v>
      </c>
      <c r="W7" s="711">
        <f t="shared" ref="W7:W15" si="2">J7</f>
        <v>0</v>
      </c>
      <c r="X7" s="712"/>
      <c r="Y7" s="3521" t="s">
        <v>2129</v>
      </c>
      <c r="Z7" s="3522"/>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521" t="s">
        <v>2132</v>
      </c>
      <c r="Q8" s="3522"/>
      <c r="R8" s="710" t="s">
        <v>17</v>
      </c>
      <c r="S8" s="711">
        <f t="shared" si="0"/>
        <v>0</v>
      </c>
      <c r="T8" s="710" t="s">
        <v>17</v>
      </c>
      <c r="U8" s="711">
        <f t="shared" si="1"/>
        <v>0</v>
      </c>
      <c r="V8" s="710" t="s">
        <v>17</v>
      </c>
      <c r="W8" s="711">
        <f t="shared" si="2"/>
        <v>0</v>
      </c>
      <c r="X8" s="712"/>
      <c r="Y8" s="3521" t="s">
        <v>2132</v>
      </c>
      <c r="Z8" s="3522"/>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96" t="s">
        <v>2135</v>
      </c>
      <c r="Q9" s="1477" t="str">
        <f t="shared" ref="Q9:Q15" si="6">B9</f>
        <v>用途</v>
      </c>
      <c r="R9" s="710" t="s">
        <v>17</v>
      </c>
      <c r="S9" s="711">
        <f t="shared" si="0"/>
        <v>100</v>
      </c>
      <c r="T9" s="710" t="s">
        <v>17</v>
      </c>
      <c r="U9" s="711">
        <f t="shared" si="1"/>
        <v>100</v>
      </c>
      <c r="V9" s="710" t="s">
        <v>17</v>
      </c>
      <c r="W9" s="711">
        <f t="shared" si="2"/>
        <v>100</v>
      </c>
      <c r="X9" s="712"/>
      <c r="Y9" s="335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96"/>
      <c r="Q10" s="1477" t="str">
        <f t="shared" si="6"/>
        <v>土地使用年限（年）</v>
      </c>
      <c r="R10" s="710" t="s">
        <v>17</v>
      </c>
      <c r="S10" s="711">
        <f t="shared" si="0"/>
        <v>100</v>
      </c>
      <c r="T10" s="710" t="s">
        <v>17</v>
      </c>
      <c r="U10" s="711">
        <f t="shared" si="1"/>
        <v>100</v>
      </c>
      <c r="V10" s="710" t="s">
        <v>17</v>
      </c>
      <c r="W10" s="711">
        <f t="shared" si="2"/>
        <v>100</v>
      </c>
      <c r="X10" s="712"/>
      <c r="Y10" s="335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96"/>
      <c r="Q11" s="1477" t="str">
        <f t="shared" si="6"/>
        <v>容积率</v>
      </c>
      <c r="R11" s="710" t="s">
        <v>17</v>
      </c>
      <c r="S11" s="711" t="e">
        <f t="shared" si="0"/>
        <v>#N/A</v>
      </c>
      <c r="T11" s="710" t="s">
        <v>17</v>
      </c>
      <c r="U11" s="711" t="e">
        <f t="shared" si="1"/>
        <v>#N/A</v>
      </c>
      <c r="V11" s="710" t="s">
        <v>17</v>
      </c>
      <c r="W11" s="711" t="e">
        <f t="shared" si="2"/>
        <v>#N/A</v>
      </c>
      <c r="X11" s="712"/>
      <c r="Y11" s="3357"/>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96"/>
      <c r="Q12" s="1477">
        <f t="shared" si="6"/>
        <v>111</v>
      </c>
      <c r="R12" s="710" t="s">
        <v>17</v>
      </c>
      <c r="S12" s="711">
        <f t="shared" si="0"/>
        <v>100</v>
      </c>
      <c r="T12" s="710" t="s">
        <v>17</v>
      </c>
      <c r="U12" s="711">
        <f t="shared" si="1"/>
        <v>100</v>
      </c>
      <c r="V12" s="710" t="s">
        <v>17</v>
      </c>
      <c r="W12" s="711">
        <f t="shared" si="2"/>
        <v>100</v>
      </c>
      <c r="X12" s="712"/>
      <c r="Y12" s="3357"/>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96"/>
      <c r="Q13" s="1477">
        <f t="shared" si="6"/>
        <v>111</v>
      </c>
      <c r="R13" s="710" t="s">
        <v>17</v>
      </c>
      <c r="S13" s="711">
        <f t="shared" si="0"/>
        <v>100</v>
      </c>
      <c r="T13" s="710" t="s">
        <v>17</v>
      </c>
      <c r="U13" s="711">
        <f t="shared" si="1"/>
        <v>100</v>
      </c>
      <c r="V13" s="710" t="s">
        <v>17</v>
      </c>
      <c r="W13" s="711">
        <f t="shared" si="2"/>
        <v>100</v>
      </c>
      <c r="X13" s="712"/>
      <c r="Y13" s="3357"/>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96"/>
      <c r="Q14" s="1477">
        <f t="shared" si="6"/>
        <v>111</v>
      </c>
      <c r="R14" s="710" t="s">
        <v>17</v>
      </c>
      <c r="S14" s="711">
        <f t="shared" si="0"/>
        <v>100</v>
      </c>
      <c r="T14" s="710" t="s">
        <v>17</v>
      </c>
      <c r="U14" s="711">
        <f t="shared" si="1"/>
        <v>100</v>
      </c>
      <c r="V14" s="710" t="s">
        <v>17</v>
      </c>
      <c r="W14" s="711">
        <f t="shared" si="2"/>
        <v>100</v>
      </c>
      <c r="X14" s="712"/>
      <c r="Y14" s="3357"/>
      <c r="Z14" s="55">
        <f t="shared" si="7"/>
        <v>111</v>
      </c>
      <c r="AA14" s="713">
        <f t="shared" si="3"/>
        <v>1</v>
      </c>
      <c r="AB14" s="713">
        <f t="shared" si="4"/>
        <v>1</v>
      </c>
      <c r="AC14" s="713">
        <f t="shared" si="5"/>
        <v>1</v>
      </c>
    </row>
    <row r="15" spans="1:29" ht="71.2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94" t="s">
        <v>2140</v>
      </c>
      <c r="Q15" s="1486" t="str">
        <f t="shared" si="6"/>
        <v>商业繁华度</v>
      </c>
      <c r="R15" s="714" t="s">
        <v>17</v>
      </c>
      <c r="S15" s="715">
        <f t="shared" si="0"/>
        <v>100</v>
      </c>
      <c r="T15" s="714" t="s">
        <v>17</v>
      </c>
      <c r="U15" s="715">
        <f t="shared" si="1"/>
        <v>100</v>
      </c>
      <c r="V15" s="714" t="s">
        <v>17</v>
      </c>
      <c r="W15" s="715">
        <f t="shared" si="2"/>
        <v>100</v>
      </c>
      <c r="X15" s="1489"/>
      <c r="Y15" s="3487" t="s">
        <v>2140</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900"/>
      <c r="M16" s="2894"/>
      <c r="N16" s="2894"/>
      <c r="O16" s="2894"/>
      <c r="P16" s="3495"/>
      <c r="Q16" s="1486"/>
      <c r="R16" s="714"/>
      <c r="S16" s="715"/>
      <c r="T16" s="714"/>
      <c r="U16" s="715"/>
      <c r="V16" s="714"/>
      <c r="W16" s="715"/>
      <c r="X16" s="1489"/>
      <c r="Y16" s="3488"/>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95"/>
      <c r="Q17" s="1486" t="str">
        <f>B17</f>
        <v>交通便捷度</v>
      </c>
      <c r="R17" s="714" t="s">
        <v>17</v>
      </c>
      <c r="S17" s="715">
        <f>F17</f>
        <v>100</v>
      </c>
      <c r="T17" s="714" t="s">
        <v>17</v>
      </c>
      <c r="U17" s="715">
        <f>H17</f>
        <v>100</v>
      </c>
      <c r="V17" s="714" t="s">
        <v>17</v>
      </c>
      <c r="W17" s="715">
        <f>J17</f>
        <v>100</v>
      </c>
      <c r="X17" s="1489"/>
      <c r="Y17" s="3488"/>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2900"/>
      <c r="M18" s="2894"/>
      <c r="N18" s="2894"/>
      <c r="O18" s="2894"/>
      <c r="P18" s="3495"/>
      <c r="Q18" s="1486"/>
      <c r="R18" s="714"/>
      <c r="S18" s="715"/>
      <c r="T18" s="714"/>
      <c r="U18" s="715"/>
      <c r="V18" s="714"/>
      <c r="W18" s="715"/>
      <c r="X18" s="1489"/>
      <c r="Y18" s="3488"/>
      <c r="Z18" s="1490"/>
      <c r="AA18" s="1487">
        <v>1</v>
      </c>
      <c r="AB18" s="1487">
        <v>1</v>
      </c>
      <c r="AC18" s="1487">
        <v>1</v>
      </c>
    </row>
    <row r="19" spans="1:29" ht="42.7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95"/>
      <c r="Q19" s="1486" t="str">
        <f>B19</f>
        <v>公共配套设施</v>
      </c>
      <c r="R19" s="714" t="s">
        <v>17</v>
      </c>
      <c r="S19" s="715">
        <f>F19</f>
        <v>100</v>
      </c>
      <c r="T19" s="714" t="s">
        <v>17</v>
      </c>
      <c r="U19" s="715">
        <f>H19</f>
        <v>100</v>
      </c>
      <c r="V19" s="714" t="s">
        <v>17</v>
      </c>
      <c r="W19" s="715">
        <f>J19</f>
        <v>100</v>
      </c>
      <c r="X19" s="1489"/>
      <c r="Y19" s="3488"/>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2900"/>
      <c r="M20" s="2894"/>
      <c r="N20" s="2894"/>
      <c r="O20" s="2894"/>
      <c r="P20" s="3495"/>
      <c r="Q20" s="1486"/>
      <c r="R20" s="714"/>
      <c r="S20" s="715"/>
      <c r="T20" s="714"/>
      <c r="U20" s="715"/>
      <c r="V20" s="714"/>
      <c r="W20" s="715"/>
      <c r="X20" s="1489"/>
      <c r="Y20" s="3488"/>
      <c r="Z20" s="1490"/>
      <c r="AA20" s="1487">
        <v>1</v>
      </c>
      <c r="AB20" s="1487">
        <v>1</v>
      </c>
      <c r="AC20" s="1487">
        <v>1</v>
      </c>
    </row>
    <row r="21" spans="1:29" ht="28.5">
      <c r="A21" s="387"/>
      <c r="B21" s="1246"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95"/>
      <c r="Q21" s="1486" t="str">
        <f>B21</f>
        <v>基础设施水平</v>
      </c>
      <c r="R21" s="714" t="s">
        <v>17</v>
      </c>
      <c r="S21" s="715">
        <f>F21</f>
        <v>100</v>
      </c>
      <c r="T21" s="714" t="s">
        <v>17</v>
      </c>
      <c r="U21" s="715">
        <f>H21</f>
        <v>100</v>
      </c>
      <c r="V21" s="714" t="s">
        <v>17</v>
      </c>
      <c r="W21" s="715">
        <f>J21</f>
        <v>100</v>
      </c>
      <c r="X21" s="1489"/>
      <c r="Y21" s="3488"/>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2900"/>
      <c r="M22" s="2894"/>
      <c r="N22" s="2894"/>
      <c r="O22" s="2894"/>
      <c r="P22" s="3495"/>
      <c r="Q22" s="1486"/>
      <c r="R22" s="714"/>
      <c r="S22" s="715"/>
      <c r="T22" s="714"/>
      <c r="U22" s="715"/>
      <c r="V22" s="714"/>
      <c r="W22" s="715"/>
      <c r="X22" s="1489"/>
      <c r="Y22" s="3488"/>
      <c r="Z22" s="1490"/>
      <c r="AA22" s="1487">
        <v>1</v>
      </c>
      <c r="AB22" s="1487">
        <v>1</v>
      </c>
      <c r="AC22" s="1487">
        <v>1</v>
      </c>
    </row>
    <row r="23" spans="1:29" ht="57">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95"/>
      <c r="Q23" s="1486" t="str">
        <f>B23</f>
        <v>自然及人文环境</v>
      </c>
      <c r="R23" s="714" t="s">
        <v>17</v>
      </c>
      <c r="S23" s="715">
        <f>F23</f>
        <v>100</v>
      </c>
      <c r="T23" s="714" t="s">
        <v>17</v>
      </c>
      <c r="U23" s="715">
        <f>H23</f>
        <v>100</v>
      </c>
      <c r="V23" s="714" t="s">
        <v>17</v>
      </c>
      <c r="W23" s="715">
        <f>J23</f>
        <v>100</v>
      </c>
      <c r="X23" s="1489"/>
      <c r="Y23" s="3488"/>
      <c r="Z23" s="1490" t="str">
        <f>Q23</f>
        <v>自然及人文环境</v>
      </c>
      <c r="AA23" s="1487">
        <f t="shared" si="3"/>
        <v>1</v>
      </c>
      <c r="AB23" s="1487">
        <f t="shared" si="4"/>
        <v>1</v>
      </c>
      <c r="AC23" s="1487">
        <f t="shared" si="5"/>
        <v>1</v>
      </c>
    </row>
    <row r="24" spans="1:29" ht="15">
      <c r="A24" s="387"/>
      <c r="B24" s="415"/>
      <c r="C24" s="406"/>
      <c r="D24" s="407"/>
      <c r="E24" s="2034"/>
      <c r="F24" s="408"/>
      <c r="G24" s="2033"/>
      <c r="H24" s="407"/>
      <c r="I24" s="2034"/>
      <c r="J24" s="407"/>
      <c r="K24" s="572"/>
      <c r="L24" s="2900"/>
      <c r="M24" s="2894"/>
      <c r="N24" s="2894"/>
      <c r="O24" s="2894"/>
      <c r="P24" s="3495"/>
      <c r="Q24" s="1486"/>
      <c r="R24" s="714"/>
      <c r="S24" s="715"/>
      <c r="T24" s="714"/>
      <c r="U24" s="715"/>
      <c r="V24" s="714"/>
      <c r="W24" s="715"/>
      <c r="X24" s="1489"/>
      <c r="Y24" s="3488"/>
      <c r="Z24" s="1490"/>
      <c r="AA24" s="1487">
        <v>1</v>
      </c>
      <c r="AB24" s="1487">
        <v>1</v>
      </c>
      <c r="AC24" s="1487">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95"/>
      <c r="Q25" s="1486" t="str">
        <f t="shared" ref="Q25:Q46" si="11">B25</f>
        <v>临街状况</v>
      </c>
      <c r="R25" s="714" t="s">
        <v>17</v>
      </c>
      <c r="S25" s="715">
        <f>F25</f>
        <v>100</v>
      </c>
      <c r="T25" s="714" t="s">
        <v>17</v>
      </c>
      <c r="U25" s="715">
        <f>H25</f>
        <v>100</v>
      </c>
      <c r="V25" s="714" t="s">
        <v>17</v>
      </c>
      <c r="W25" s="715">
        <f>J25</f>
        <v>100</v>
      </c>
      <c r="X25" s="1489"/>
      <c r="Y25" s="3488"/>
      <c r="Z25" s="1490" t="str">
        <f>Q25</f>
        <v>临街状况</v>
      </c>
      <c r="AA25" s="1487">
        <f t="shared" si="3"/>
        <v>1</v>
      </c>
      <c r="AB25" s="1487">
        <f t="shared" si="4"/>
        <v>1</v>
      </c>
      <c r="AC25" s="1487">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95"/>
      <c r="Q26" s="1486" t="str">
        <f t="shared" si="11"/>
        <v>平面位置/可视性</v>
      </c>
      <c r="R26" s="714" t="s">
        <v>17</v>
      </c>
      <c r="S26" s="715">
        <f>F26</f>
        <v>100</v>
      </c>
      <c r="T26" s="714" t="s">
        <v>17</v>
      </c>
      <c r="U26" s="715">
        <f>H26</f>
        <v>100</v>
      </c>
      <c r="V26" s="714" t="s">
        <v>17</v>
      </c>
      <c r="W26" s="715">
        <f>J26</f>
        <v>100</v>
      </c>
      <c r="X26" s="1489"/>
      <c r="Y26" s="3488"/>
      <c r="Z26" s="1490" t="str">
        <f>Q26</f>
        <v>平面位置/可视性</v>
      </c>
      <c r="AA26" s="1487">
        <f t="shared" si="3"/>
        <v>1</v>
      </c>
      <c r="AB26" s="1487">
        <f t="shared" si="4"/>
        <v>1</v>
      </c>
      <c r="AC26" s="1487">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495"/>
      <c r="Q27" s="1477" t="str">
        <f t="shared" si="11"/>
        <v>人流量</v>
      </c>
      <c r="R27" s="710" t="s">
        <v>17</v>
      </c>
      <c r="S27" s="711">
        <f>F27</f>
        <v>100</v>
      </c>
      <c r="T27" s="710" t="s">
        <v>17</v>
      </c>
      <c r="U27" s="711">
        <f>H27</f>
        <v>100</v>
      </c>
      <c r="V27" s="710" t="s">
        <v>17</v>
      </c>
      <c r="W27" s="711">
        <f>J27</f>
        <v>100</v>
      </c>
      <c r="X27" s="712"/>
      <c r="Y27" s="3488"/>
      <c r="Z27" s="55" t="str">
        <f>Q27</f>
        <v>人流量</v>
      </c>
      <c r="AA27" s="1487">
        <f>D27/F27</f>
        <v>1</v>
      </c>
      <c r="AB27" s="1487">
        <f>D27/H27</f>
        <v>1</v>
      </c>
      <c r="AC27" s="1487">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95"/>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88"/>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95"/>
      <c r="Q29" s="1486">
        <f t="shared" si="11"/>
        <v>111</v>
      </c>
      <c r="R29" s="714" t="s">
        <v>17</v>
      </c>
      <c r="S29" s="715">
        <f t="shared" si="12"/>
        <v>100</v>
      </c>
      <c r="T29" s="714" t="s">
        <v>17</v>
      </c>
      <c r="U29" s="715">
        <f t="shared" si="13"/>
        <v>100</v>
      </c>
      <c r="V29" s="714" t="s">
        <v>17</v>
      </c>
      <c r="W29" s="715">
        <f t="shared" si="14"/>
        <v>100</v>
      </c>
      <c r="X29" s="1489"/>
      <c r="Y29" s="3488"/>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95"/>
      <c r="Q30" s="1486">
        <f t="shared" si="11"/>
        <v>111</v>
      </c>
      <c r="R30" s="714" t="s">
        <v>17</v>
      </c>
      <c r="S30" s="715">
        <f t="shared" si="12"/>
        <v>100</v>
      </c>
      <c r="T30" s="714" t="s">
        <v>17</v>
      </c>
      <c r="U30" s="715">
        <f t="shared" si="13"/>
        <v>100</v>
      </c>
      <c r="V30" s="714" t="s">
        <v>17</v>
      </c>
      <c r="W30" s="715">
        <f t="shared" si="14"/>
        <v>100</v>
      </c>
      <c r="X30" s="1489"/>
      <c r="Y30" s="3488"/>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95"/>
      <c r="Q31" s="1486">
        <f t="shared" si="11"/>
        <v>111</v>
      </c>
      <c r="R31" s="714" t="s">
        <v>17</v>
      </c>
      <c r="S31" s="715">
        <f t="shared" si="12"/>
        <v>100</v>
      </c>
      <c r="T31" s="714" t="s">
        <v>17</v>
      </c>
      <c r="U31" s="715">
        <f t="shared" si="13"/>
        <v>100</v>
      </c>
      <c r="V31" s="714" t="s">
        <v>17</v>
      </c>
      <c r="W31" s="715">
        <f t="shared" si="14"/>
        <v>100</v>
      </c>
      <c r="X31" s="1489"/>
      <c r="Y31" s="3488"/>
      <c r="Z31" s="1490">
        <f t="shared" si="15"/>
        <v>111</v>
      </c>
      <c r="AA31" s="1487">
        <f t="shared" si="3"/>
        <v>1</v>
      </c>
      <c r="AB31" s="1487">
        <f t="shared" si="4"/>
        <v>1</v>
      </c>
      <c r="AC31" s="1487">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489" t="s">
        <v>2145</v>
      </c>
      <c r="Q32" s="1486" t="str">
        <f t="shared" si="11"/>
        <v>商业类型</v>
      </c>
      <c r="R32" s="714" t="s">
        <v>17</v>
      </c>
      <c r="S32" s="715">
        <f t="shared" si="12"/>
        <v>100</v>
      </c>
      <c r="T32" s="714" t="s">
        <v>17</v>
      </c>
      <c r="U32" s="715">
        <f t="shared" si="13"/>
        <v>100</v>
      </c>
      <c r="V32" s="714" t="s">
        <v>17</v>
      </c>
      <c r="W32" s="715">
        <f t="shared" si="14"/>
        <v>100</v>
      </c>
      <c r="X32" s="1489"/>
      <c r="Y32" s="3492" t="s">
        <v>2145</v>
      </c>
      <c r="Z32" s="1490" t="str">
        <f t="shared" si="15"/>
        <v>商业类型</v>
      </c>
      <c r="AA32" s="1487">
        <f t="shared" si="3"/>
        <v>1</v>
      </c>
      <c r="AB32" s="1487">
        <f t="shared" si="4"/>
        <v>1</v>
      </c>
      <c r="AC32" s="1487">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90"/>
      <c r="Q33" s="716" t="str">
        <f t="shared" si="11"/>
        <v>项目建筑规模</v>
      </c>
      <c r="R33" s="717" t="s">
        <v>17</v>
      </c>
      <c r="S33" s="718" t="e">
        <f t="shared" si="12"/>
        <v>#N/A</v>
      </c>
      <c r="T33" s="717" t="s">
        <v>17</v>
      </c>
      <c r="U33" s="718" t="e">
        <f t="shared" si="13"/>
        <v>#N/A</v>
      </c>
      <c r="V33" s="717" t="s">
        <v>17</v>
      </c>
      <c r="W33" s="718" t="e">
        <f t="shared" si="14"/>
        <v>#N/A</v>
      </c>
      <c r="X33" s="719"/>
      <c r="Y33" s="3492"/>
      <c r="Z33" s="720" t="str">
        <f t="shared" si="15"/>
        <v>项目建筑规模</v>
      </c>
      <c r="AA33" s="1487" t="e">
        <f t="shared" si="3"/>
        <v>#N/A</v>
      </c>
      <c r="AB33" s="1487" t="e">
        <f t="shared" si="4"/>
        <v>#N/A</v>
      </c>
      <c r="AC33" s="1487" t="e">
        <f t="shared" si="5"/>
        <v>#N/A</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490"/>
      <c r="Q34" s="1486" t="str">
        <f t="shared" si="11"/>
        <v>建筑结构</v>
      </c>
      <c r="R34" s="714" t="s">
        <v>17</v>
      </c>
      <c r="S34" s="715">
        <f t="shared" si="12"/>
        <v>100</v>
      </c>
      <c r="T34" s="714" t="s">
        <v>17</v>
      </c>
      <c r="U34" s="715">
        <f t="shared" si="13"/>
        <v>100</v>
      </c>
      <c r="V34" s="714" t="s">
        <v>17</v>
      </c>
      <c r="W34" s="715">
        <f t="shared" si="14"/>
        <v>100</v>
      </c>
      <c r="X34" s="1489"/>
      <c r="Y34" s="3492"/>
      <c r="Z34" s="1490" t="str">
        <f t="shared" si="15"/>
        <v>建筑结构</v>
      </c>
      <c r="AA34" s="1487">
        <f t="shared" si="3"/>
        <v>1</v>
      </c>
      <c r="AB34" s="1487">
        <f t="shared" si="4"/>
        <v>1</v>
      </c>
      <c r="AC34" s="1487">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490"/>
      <c r="Q35" s="1486" t="str">
        <f t="shared" si="11"/>
        <v>公共部分装修</v>
      </c>
      <c r="R35" s="714" t="s">
        <v>17</v>
      </c>
      <c r="S35" s="715">
        <f t="shared" si="12"/>
        <v>100</v>
      </c>
      <c r="T35" s="714" t="s">
        <v>17</v>
      </c>
      <c r="U35" s="715">
        <f t="shared" si="13"/>
        <v>100</v>
      </c>
      <c r="V35" s="714" t="s">
        <v>17</v>
      </c>
      <c r="W35" s="715">
        <f t="shared" si="14"/>
        <v>100</v>
      </c>
      <c r="X35" s="1489"/>
      <c r="Y35" s="3492"/>
      <c r="Z35" s="1490" t="str">
        <f t="shared" si="15"/>
        <v>公共部分装修</v>
      </c>
      <c r="AA35" s="1487">
        <f t="shared" si="3"/>
        <v>1</v>
      </c>
      <c r="AB35" s="1487">
        <f t="shared" si="4"/>
        <v>1</v>
      </c>
      <c r="AC35" s="1487">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90"/>
      <c r="Q36" s="1486" t="str">
        <f t="shared" si="11"/>
        <v>成新度</v>
      </c>
      <c r="R36" s="714" t="s">
        <v>17</v>
      </c>
      <c r="S36" s="715" t="e">
        <f t="shared" si="12"/>
        <v>#N/A</v>
      </c>
      <c r="T36" s="714" t="s">
        <v>17</v>
      </c>
      <c r="U36" s="715" t="e">
        <f t="shared" si="13"/>
        <v>#N/A</v>
      </c>
      <c r="V36" s="714" t="s">
        <v>17</v>
      </c>
      <c r="W36" s="715" t="e">
        <f t="shared" si="14"/>
        <v>#N/A</v>
      </c>
      <c r="X36" s="1489"/>
      <c r="Y36" s="3492"/>
      <c r="Z36" s="1490" t="str">
        <f t="shared" si="15"/>
        <v>成新度</v>
      </c>
      <c r="AA36" s="1487" t="e">
        <f t="shared" si="3"/>
        <v>#N/A</v>
      </c>
      <c r="AB36" s="1487" t="e">
        <f t="shared" si="4"/>
        <v>#N/A</v>
      </c>
      <c r="AC36" s="1487" t="e">
        <f t="shared" si="5"/>
        <v>#N/A</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490"/>
      <c r="Q37" s="1477" t="str">
        <f t="shared" si="11"/>
        <v>市政基础设施</v>
      </c>
      <c r="R37" s="710" t="s">
        <v>17</v>
      </c>
      <c r="S37" s="711">
        <f t="shared" si="12"/>
        <v>100</v>
      </c>
      <c r="T37" s="710" t="s">
        <v>17</v>
      </c>
      <c r="U37" s="711">
        <f t="shared" si="13"/>
        <v>100</v>
      </c>
      <c r="V37" s="710" t="s">
        <v>17</v>
      </c>
      <c r="W37" s="711">
        <f t="shared" si="14"/>
        <v>100</v>
      </c>
      <c r="X37" s="712"/>
      <c r="Y37" s="3492"/>
      <c r="Z37" s="55" t="str">
        <f t="shared" si="15"/>
        <v>市政基础设施</v>
      </c>
      <c r="AA37" s="713">
        <f t="shared" si="3"/>
        <v>1</v>
      </c>
      <c r="AB37" s="713">
        <f t="shared" si="4"/>
        <v>1</v>
      </c>
      <c r="AC37" s="713">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490" t="s">
        <v>2145</v>
      </c>
      <c r="Q38" s="1486" t="str">
        <f t="shared" si="11"/>
        <v>业态</v>
      </c>
      <c r="R38" s="714" t="s">
        <v>17</v>
      </c>
      <c r="S38" s="715">
        <f t="shared" si="12"/>
        <v>100</v>
      </c>
      <c r="T38" s="714" t="s">
        <v>17</v>
      </c>
      <c r="U38" s="715">
        <f t="shared" si="13"/>
        <v>100</v>
      </c>
      <c r="V38" s="714" t="s">
        <v>17</v>
      </c>
      <c r="W38" s="715">
        <f t="shared" si="14"/>
        <v>100</v>
      </c>
      <c r="X38" s="1489"/>
      <c r="Y38" s="3492" t="s">
        <v>2145</v>
      </c>
      <c r="Z38" s="1490" t="str">
        <f t="shared" si="15"/>
        <v>业态</v>
      </c>
      <c r="AA38" s="1487">
        <f t="shared" si="3"/>
        <v>1</v>
      </c>
      <c r="AB38" s="1487">
        <f t="shared" si="4"/>
        <v>1</v>
      </c>
      <c r="AC38" s="1487">
        <f t="shared" si="5"/>
        <v>1</v>
      </c>
    </row>
    <row r="39" spans="1:29" ht="15">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490"/>
      <c r="Q39" s="1486" t="str">
        <f t="shared" si="11"/>
        <v>层高</v>
      </c>
      <c r="R39" s="714" t="s">
        <v>17</v>
      </c>
      <c r="S39" s="715">
        <f t="shared" si="12"/>
        <v>100</v>
      </c>
      <c r="T39" s="714" t="s">
        <v>17</v>
      </c>
      <c r="U39" s="715">
        <f t="shared" si="13"/>
        <v>100</v>
      </c>
      <c r="V39" s="714" t="s">
        <v>17</v>
      </c>
      <c r="W39" s="715">
        <f t="shared" si="14"/>
        <v>100</v>
      </c>
      <c r="X39" s="1489"/>
      <c r="Y39" s="3492"/>
      <c r="Z39" s="1490" t="str">
        <f t="shared" si="15"/>
        <v>层高</v>
      </c>
      <c r="AA39" s="1487">
        <f t="shared" si="3"/>
        <v>1</v>
      </c>
      <c r="AB39" s="1487">
        <f t="shared" si="4"/>
        <v>1</v>
      </c>
      <c r="AC39" s="1487">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90"/>
      <c r="Q40" s="1486" t="str">
        <f t="shared" si="11"/>
        <v>单套建筑面积</v>
      </c>
      <c r="R40" s="714" t="s">
        <v>17</v>
      </c>
      <c r="S40" s="715">
        <f t="shared" si="12"/>
        <v>100</v>
      </c>
      <c r="T40" s="714" t="s">
        <v>17</v>
      </c>
      <c r="U40" s="715">
        <f t="shared" si="13"/>
        <v>100</v>
      </c>
      <c r="V40" s="714" t="s">
        <v>17</v>
      </c>
      <c r="W40" s="715">
        <f t="shared" si="14"/>
        <v>100</v>
      </c>
      <c r="X40" s="1489"/>
      <c r="Y40" s="3492"/>
      <c r="Z40" s="1490" t="str">
        <f t="shared" si="15"/>
        <v>单套建筑面积</v>
      </c>
      <c r="AA40" s="1487">
        <f t="shared" si="3"/>
        <v>1</v>
      </c>
      <c r="AB40" s="1487">
        <f t="shared" si="4"/>
        <v>1</v>
      </c>
      <c r="AC40" s="1487">
        <f t="shared" si="5"/>
        <v>1</v>
      </c>
    </row>
    <row r="41" spans="1:29" s="430" customFormat="1" ht="15">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90"/>
      <c r="Q41" s="716" t="str">
        <f t="shared" si="11"/>
        <v>进深比</v>
      </c>
      <c r="R41" s="717" t="s">
        <v>17</v>
      </c>
      <c r="S41" s="718">
        <f t="shared" si="12"/>
        <v>100</v>
      </c>
      <c r="T41" s="717" t="s">
        <v>17</v>
      </c>
      <c r="U41" s="718">
        <f t="shared" si="13"/>
        <v>100</v>
      </c>
      <c r="V41" s="717" t="s">
        <v>17</v>
      </c>
      <c r="W41" s="718">
        <f t="shared" si="14"/>
        <v>100</v>
      </c>
      <c r="X41" s="719"/>
      <c r="Y41" s="3492"/>
      <c r="Z41" s="720" t="str">
        <f t="shared" si="15"/>
        <v>进深比</v>
      </c>
      <c r="AA41" s="1487">
        <f t="shared" si="3"/>
        <v>1</v>
      </c>
      <c r="AB41" s="1487">
        <f t="shared" si="4"/>
        <v>1</v>
      </c>
      <c r="AC41" s="1487">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490"/>
      <c r="Q42" s="1486" t="str">
        <f t="shared" si="11"/>
        <v>内部装修</v>
      </c>
      <c r="R42" s="714" t="s">
        <v>17</v>
      </c>
      <c r="S42" s="715">
        <f t="shared" si="12"/>
        <v>100</v>
      </c>
      <c r="T42" s="714" t="s">
        <v>17</v>
      </c>
      <c r="U42" s="715">
        <f t="shared" si="13"/>
        <v>100</v>
      </c>
      <c r="V42" s="714" t="s">
        <v>17</v>
      </c>
      <c r="W42" s="715">
        <f t="shared" si="14"/>
        <v>100</v>
      </c>
      <c r="X42" s="1489"/>
      <c r="Y42" s="3492"/>
      <c r="Z42" s="1490" t="str">
        <f t="shared" si="15"/>
        <v>内部装修</v>
      </c>
      <c r="AA42" s="1487">
        <f t="shared" si="3"/>
        <v>1</v>
      </c>
      <c r="AB42" s="1487">
        <f t="shared" si="4"/>
        <v>1</v>
      </c>
      <c r="AC42" s="1487">
        <f t="shared" si="5"/>
        <v>1</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490"/>
      <c r="Q43" s="1486" t="str">
        <f t="shared" si="11"/>
        <v>内部装修维护情况</v>
      </c>
      <c r="R43" s="714" t="s">
        <v>17</v>
      </c>
      <c r="S43" s="715">
        <f t="shared" si="12"/>
        <v>100</v>
      </c>
      <c r="T43" s="714" t="s">
        <v>17</v>
      </c>
      <c r="U43" s="715">
        <f t="shared" si="13"/>
        <v>100</v>
      </c>
      <c r="V43" s="714" t="s">
        <v>17</v>
      </c>
      <c r="W43" s="715">
        <f t="shared" si="14"/>
        <v>100</v>
      </c>
      <c r="X43" s="1489"/>
      <c r="Y43" s="3492"/>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90"/>
      <c r="Q44" s="1477">
        <f t="shared" si="11"/>
        <v>111</v>
      </c>
      <c r="R44" s="710" t="s">
        <v>17</v>
      </c>
      <c r="S44" s="711">
        <f t="shared" si="12"/>
        <v>100</v>
      </c>
      <c r="T44" s="710" t="s">
        <v>17</v>
      </c>
      <c r="U44" s="711">
        <f t="shared" si="13"/>
        <v>100</v>
      </c>
      <c r="V44" s="710" t="s">
        <v>17</v>
      </c>
      <c r="W44" s="711">
        <f t="shared" si="14"/>
        <v>100</v>
      </c>
      <c r="X44" s="712"/>
      <c r="Y44" s="3492"/>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90"/>
      <c r="Q45" s="1486">
        <f t="shared" si="11"/>
        <v>111</v>
      </c>
      <c r="R45" s="714" t="s">
        <v>17</v>
      </c>
      <c r="S45" s="715">
        <f t="shared" si="12"/>
        <v>100</v>
      </c>
      <c r="T45" s="714" t="s">
        <v>17</v>
      </c>
      <c r="U45" s="715">
        <f t="shared" si="13"/>
        <v>100</v>
      </c>
      <c r="V45" s="714" t="s">
        <v>17</v>
      </c>
      <c r="W45" s="715">
        <f t="shared" si="14"/>
        <v>100</v>
      </c>
      <c r="X45" s="1489"/>
      <c r="Y45" s="3492"/>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91"/>
      <c r="Q46" s="1486">
        <f t="shared" si="11"/>
        <v>111</v>
      </c>
      <c r="R46" s="714" t="s">
        <v>17</v>
      </c>
      <c r="S46" s="715">
        <f t="shared" si="12"/>
        <v>100</v>
      </c>
      <c r="T46" s="714" t="s">
        <v>17</v>
      </c>
      <c r="U46" s="715">
        <f t="shared" si="13"/>
        <v>100</v>
      </c>
      <c r="V46" s="714" t="s">
        <v>17</v>
      </c>
      <c r="W46" s="715">
        <f t="shared" si="14"/>
        <v>100</v>
      </c>
      <c r="X46" s="1489"/>
      <c r="Y46" s="3493"/>
      <c r="Z46" s="1490">
        <f t="shared" si="15"/>
        <v>111</v>
      </c>
      <c r="AA46" s="1487">
        <f t="shared" si="3"/>
        <v>1</v>
      </c>
      <c r="AB46" s="1487">
        <f t="shared" si="4"/>
        <v>1</v>
      </c>
      <c r="AC46" s="1487">
        <f t="shared" si="5"/>
        <v>1</v>
      </c>
    </row>
    <row r="47" spans="1:29" ht="15">
      <c r="A47" s="438" t="s">
        <v>2157</v>
      </c>
      <c r="B47" s="439"/>
      <c r="C47" s="1269" t="s">
        <v>1</v>
      </c>
      <c r="D47" s="1270"/>
      <c r="E47" s="1271"/>
      <c r="F47" s="1272"/>
      <c r="G47" s="1273"/>
      <c r="H47" s="1274"/>
      <c r="I47" s="1271"/>
      <c r="J47" s="1274"/>
      <c r="K47" s="723"/>
      <c r="L47" s="2902"/>
      <c r="M47" s="2903"/>
      <c r="N47" s="2894"/>
      <c r="O47" s="2903"/>
      <c r="P47" s="3485" t="str">
        <f>A47</f>
        <v>成交单价（元/平方米）</v>
      </c>
      <c r="Q47" s="3485"/>
      <c r="R47" s="3516">
        <f>E47</f>
        <v>0</v>
      </c>
      <c r="S47" s="3516"/>
      <c r="T47" s="3516">
        <f>G47</f>
        <v>0</v>
      </c>
      <c r="U47" s="3516"/>
      <c r="V47" s="3516">
        <f>I47</f>
        <v>0</v>
      </c>
      <c r="W47" s="3516"/>
      <c r="X47" s="699"/>
      <c r="Y47" s="721"/>
      <c r="Z47" s="699"/>
      <c r="AA47" s="699"/>
      <c r="AB47" s="699"/>
      <c r="AC47" s="699"/>
    </row>
    <row r="48" spans="1:29" ht="15.75" thickBot="1">
      <c r="A48" s="445" t="s">
        <v>2249</v>
      </c>
      <c r="B48" s="446"/>
      <c r="C48" s="1275" t="e">
        <f>R49</f>
        <v>#DIV/0!</v>
      </c>
      <c r="D48" s="2488" t="s">
        <v>2638</v>
      </c>
      <c r="E48" s="1276" t="e">
        <f>R48</f>
        <v>#DIV/0!</v>
      </c>
      <c r="F48" s="2489"/>
      <c r="G48" s="1275" t="e">
        <f>T48</f>
        <v>#DIV/0!</v>
      </c>
      <c r="H48" s="2489"/>
      <c r="I48" s="1276" t="e">
        <f>V48</f>
        <v>#DIV/0!</v>
      </c>
      <c r="J48" s="2489"/>
      <c r="K48" s="2491">
        <f>F48+H48+J48</f>
        <v>0</v>
      </c>
      <c r="L48" s="2902"/>
      <c r="M48" s="2903"/>
      <c r="N48" s="2894"/>
      <c r="O48" s="2903"/>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8" t="str">
        <f>YEAR(C7)&amp;"-"&amp;MONTH(C7)</f>
        <v>2022-9</v>
      </c>
      <c r="D58" s="1299">
        <f>EDATE(C58,-1)</f>
        <v>44774</v>
      </c>
      <c r="E58" s="1299">
        <f t="shared" ref="E58:N58" si="16">EDATE(D58,-1)</f>
        <v>44743</v>
      </c>
      <c r="F58" s="1299">
        <f t="shared" si="16"/>
        <v>44713</v>
      </c>
      <c r="G58" s="1299">
        <f t="shared" si="16"/>
        <v>44682</v>
      </c>
      <c r="H58" s="1299">
        <f t="shared" si="16"/>
        <v>44652</v>
      </c>
      <c r="I58" s="1299">
        <f t="shared" si="16"/>
        <v>44621</v>
      </c>
      <c r="J58" s="1299">
        <f t="shared" si="16"/>
        <v>44593</v>
      </c>
      <c r="K58" s="1299">
        <f t="shared" si="16"/>
        <v>44562</v>
      </c>
      <c r="L58" s="1299">
        <f t="shared" si="16"/>
        <v>44531</v>
      </c>
      <c r="M58" s="1299">
        <f t="shared" si="16"/>
        <v>44501</v>
      </c>
      <c r="N58" s="1299">
        <f t="shared" si="16"/>
        <v>44470</v>
      </c>
      <c r="O58" s="1299">
        <f>EDATE(N58,-1)</f>
        <v>44440</v>
      </c>
      <c r="P58" s="2918"/>
      <c r="Q58" s="2919"/>
      <c r="R58" s="2919"/>
      <c r="S58" s="2919"/>
      <c r="T58" s="2919"/>
      <c r="U58" s="2919"/>
      <c r="V58" s="2919"/>
      <c r="W58" s="2919"/>
      <c r="X58" s="2919"/>
      <c r="Y58" s="2919"/>
      <c r="Z58" s="2919"/>
      <c r="AA58" s="2919"/>
      <c r="AB58" s="2919"/>
      <c r="AC58" s="2919"/>
    </row>
    <row r="59" spans="1:29" s="113" customFormat="1" ht="15">
      <c r="A59" s="466"/>
      <c r="B59" s="467"/>
      <c r="C59" s="129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IF(C2="——",ROUND(C50*D3/10000,0),ROUND(C50*D3/10000,0)-D2)</f>
        <v>#DIV/0!</v>
      </c>
      <c r="C2" s="2017"/>
      <c r="D2" s="1228" t="e">
        <f ca="1">SUMIF(INDIRECT("'"&amp;F2&amp;"'"&amp;"!A:A"),"承租人权益价值",INDIRECT("'"&amp;F2&amp;"'"&amp;"!c:c"))</f>
        <v>#REF!</v>
      </c>
      <c r="E2" s="2018" t="s">
        <v>1908</v>
      </c>
      <c r="F2" s="2019"/>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119963.53</v>
      </c>
      <c r="E3" s="2090"/>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500" t="s">
        <v>2226</v>
      </c>
      <c r="D4" s="3501"/>
      <c r="E4" s="3502" t="s">
        <v>2227</v>
      </c>
      <c r="F4" s="3503"/>
      <c r="G4" s="3500" t="s">
        <v>2228</v>
      </c>
      <c r="H4" s="3501"/>
      <c r="I4" s="3500" t="s">
        <v>2229</v>
      </c>
      <c r="J4" s="3501"/>
      <c r="K4" s="567" t="s">
        <v>2230</v>
      </c>
      <c r="L4" s="2893"/>
      <c r="M4" s="2894"/>
      <c r="N4" s="2894"/>
      <c r="O4" s="2894"/>
      <c r="P4" s="3534" t="s">
        <v>2231</v>
      </c>
      <c r="Q4" s="3535"/>
      <c r="R4" s="3538" t="s">
        <v>2227</v>
      </c>
      <c r="S4" s="3539"/>
      <c r="T4" s="3538" t="s">
        <v>2228</v>
      </c>
      <c r="U4" s="3539"/>
      <c r="V4" s="3540" t="s">
        <v>2229</v>
      </c>
      <c r="W4" s="3540"/>
      <c r="X4" s="2094"/>
      <c r="Y4" s="3538" t="s">
        <v>2231</v>
      </c>
      <c r="Z4" s="3539"/>
      <c r="AA4" s="3542" t="s">
        <v>2227</v>
      </c>
      <c r="AB4" s="3542" t="s">
        <v>2228</v>
      </c>
      <c r="AC4" s="3531" t="s">
        <v>2229</v>
      </c>
    </row>
    <row r="5" spans="1:29" ht="15">
      <c r="A5" s="364"/>
      <c r="B5" s="365"/>
      <c r="C5" s="3519" t="s">
        <v>2122</v>
      </c>
      <c r="D5" s="3520"/>
      <c r="E5" s="3526" t="s">
        <v>2123</v>
      </c>
      <c r="F5" s="3527"/>
      <c r="G5" s="3519" t="s">
        <v>2124</v>
      </c>
      <c r="H5" s="3520"/>
      <c r="I5" s="3519" t="s">
        <v>2125</v>
      </c>
      <c r="J5" s="3520"/>
      <c r="K5" s="567"/>
      <c r="L5" s="2893"/>
      <c r="M5" s="2894"/>
      <c r="N5" s="2894"/>
      <c r="O5" s="2894"/>
      <c r="P5" s="3536"/>
      <c r="Q5" s="3507"/>
      <c r="R5" s="3512"/>
      <c r="S5" s="3513"/>
      <c r="T5" s="3512"/>
      <c r="U5" s="3513"/>
      <c r="V5" s="3516"/>
      <c r="W5" s="3516"/>
      <c r="X5" s="1489"/>
      <c r="Y5" s="3512"/>
      <c r="Z5" s="3513"/>
      <c r="AA5" s="3498"/>
      <c r="AB5" s="3498"/>
      <c r="AC5" s="3532"/>
    </row>
    <row r="6" spans="1:29" ht="15.75" thickBot="1">
      <c r="A6" s="366"/>
      <c r="B6" s="367"/>
      <c r="C6" s="3517" t="s">
        <v>2126</v>
      </c>
      <c r="D6" s="3518"/>
      <c r="E6" s="3524" t="s">
        <v>2126</v>
      </c>
      <c r="F6" s="3525"/>
      <c r="G6" s="3517" t="s">
        <v>2126</v>
      </c>
      <c r="H6" s="3518"/>
      <c r="I6" s="3517" t="s">
        <v>2126</v>
      </c>
      <c r="J6" s="3518"/>
      <c r="K6" s="567" t="s">
        <v>2127</v>
      </c>
      <c r="L6" s="2893"/>
      <c r="M6" s="2894"/>
      <c r="N6" s="2894"/>
      <c r="O6" s="2894"/>
      <c r="P6" s="3537"/>
      <c r="Q6" s="3509"/>
      <c r="R6" s="3512"/>
      <c r="S6" s="3513"/>
      <c r="T6" s="3514"/>
      <c r="U6" s="3515"/>
      <c r="V6" s="3516"/>
      <c r="W6" s="3516"/>
      <c r="X6" s="1489"/>
      <c r="Y6" s="3514"/>
      <c r="Z6" s="3515"/>
      <c r="AA6" s="3499"/>
      <c r="AB6" s="3499"/>
      <c r="AC6" s="3533"/>
    </row>
    <row r="7" spans="1:29" s="113" customFormat="1" ht="15.75" thickBot="1">
      <c r="A7" s="368" t="s">
        <v>2128</v>
      </c>
      <c r="B7" s="369"/>
      <c r="C7" s="370">
        <f>'数据-取费表'!B2</f>
        <v>44827</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41" t="s">
        <v>2129</v>
      </c>
      <c r="Q7" s="3523"/>
      <c r="R7" s="710" t="s">
        <v>17</v>
      </c>
      <c r="S7" s="711">
        <f t="shared" ref="S7:S15" si="0">F7</f>
        <v>0</v>
      </c>
      <c r="T7" s="710" t="s">
        <v>17</v>
      </c>
      <c r="U7" s="711">
        <f t="shared" ref="U7:U15" si="1">H7</f>
        <v>0</v>
      </c>
      <c r="V7" s="710" t="s">
        <v>17</v>
      </c>
      <c r="W7" s="711">
        <f t="shared" ref="W7:W15" si="2">J7</f>
        <v>0</v>
      </c>
      <c r="X7" s="712"/>
      <c r="Y7" s="3521" t="s">
        <v>2129</v>
      </c>
      <c r="Z7" s="3522"/>
      <c r="AA7" s="713" t="e">
        <f>D7/F7</f>
        <v>#DIV/0!</v>
      </c>
      <c r="AB7" s="713"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41" t="s">
        <v>2132</v>
      </c>
      <c r="Q8" s="3522"/>
      <c r="R8" s="710" t="s">
        <v>17</v>
      </c>
      <c r="S8" s="711">
        <f t="shared" si="0"/>
        <v>0</v>
      </c>
      <c r="T8" s="710" t="s">
        <v>17</v>
      </c>
      <c r="U8" s="711">
        <f t="shared" si="1"/>
        <v>0</v>
      </c>
      <c r="V8" s="710" t="s">
        <v>17</v>
      </c>
      <c r="W8" s="711">
        <f t="shared" si="2"/>
        <v>0</v>
      </c>
      <c r="X8" s="712"/>
      <c r="Y8" s="3521" t="s">
        <v>2132</v>
      </c>
      <c r="Z8" s="3522"/>
      <c r="AA8" s="713" t="e">
        <f t="shared" ref="AA8:AA47" si="3">D8/F8</f>
        <v>#DIV/0!</v>
      </c>
      <c r="AB8" s="713"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96" t="s">
        <v>2135</v>
      </c>
      <c r="Q9" s="1477" t="str">
        <f t="shared" ref="Q9:Q15" si="6">B9</f>
        <v>用途</v>
      </c>
      <c r="R9" s="710" t="s">
        <v>17</v>
      </c>
      <c r="S9" s="711">
        <f t="shared" si="0"/>
        <v>100</v>
      </c>
      <c r="T9" s="710" t="s">
        <v>17</v>
      </c>
      <c r="U9" s="711">
        <f t="shared" si="1"/>
        <v>100</v>
      </c>
      <c r="V9" s="710" t="s">
        <v>17</v>
      </c>
      <c r="W9" s="711">
        <f t="shared" si="2"/>
        <v>100</v>
      </c>
      <c r="X9" s="712"/>
      <c r="Y9" s="3357" t="s">
        <v>2136</v>
      </c>
      <c r="Z9" s="55" t="str">
        <f t="shared" ref="Z9:Z15" si="7">Q9</f>
        <v>用途</v>
      </c>
      <c r="AA9" s="713">
        <f t="shared" si="3"/>
        <v>1</v>
      </c>
      <c r="AB9" s="713">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96"/>
      <c r="Q10" s="1477" t="str">
        <f t="shared" si="6"/>
        <v>土地使用年限（年）</v>
      </c>
      <c r="R10" s="710" t="s">
        <v>17</v>
      </c>
      <c r="S10" s="711">
        <f t="shared" si="0"/>
        <v>100</v>
      </c>
      <c r="T10" s="710" t="s">
        <v>17</v>
      </c>
      <c r="U10" s="711">
        <f t="shared" si="1"/>
        <v>100</v>
      </c>
      <c r="V10" s="710" t="s">
        <v>17</v>
      </c>
      <c r="W10" s="711">
        <f t="shared" si="2"/>
        <v>100</v>
      </c>
      <c r="X10" s="712"/>
      <c r="Y10" s="3357"/>
      <c r="Z10" s="55" t="str">
        <f t="shared" si="7"/>
        <v>土地使用年限（年）</v>
      </c>
      <c r="AA10" s="713">
        <f t="shared" si="3"/>
        <v>1</v>
      </c>
      <c r="AB10" s="713">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96"/>
      <c r="Q11" s="1477" t="str">
        <f t="shared" si="6"/>
        <v>容积率</v>
      </c>
      <c r="R11" s="710" t="s">
        <v>17</v>
      </c>
      <c r="S11" s="711" t="e">
        <f t="shared" si="0"/>
        <v>#N/A</v>
      </c>
      <c r="T11" s="710" t="s">
        <v>17</v>
      </c>
      <c r="U11" s="711" t="e">
        <f t="shared" si="1"/>
        <v>#N/A</v>
      </c>
      <c r="V11" s="710" t="s">
        <v>17</v>
      </c>
      <c r="W11" s="711" t="e">
        <f t="shared" si="2"/>
        <v>#N/A</v>
      </c>
      <c r="X11" s="712"/>
      <c r="Y11" s="3357"/>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96"/>
      <c r="Q12" s="1477">
        <f t="shared" si="6"/>
        <v>111</v>
      </c>
      <c r="R12" s="710" t="s">
        <v>17</v>
      </c>
      <c r="S12" s="711">
        <f t="shared" si="0"/>
        <v>100</v>
      </c>
      <c r="T12" s="710" t="s">
        <v>17</v>
      </c>
      <c r="U12" s="711">
        <f t="shared" si="1"/>
        <v>100</v>
      </c>
      <c r="V12" s="710" t="s">
        <v>17</v>
      </c>
      <c r="W12" s="711">
        <f t="shared" si="2"/>
        <v>100</v>
      </c>
      <c r="X12" s="712"/>
      <c r="Y12" s="3357"/>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96"/>
      <c r="Q13" s="1477">
        <f t="shared" si="6"/>
        <v>111</v>
      </c>
      <c r="R13" s="710" t="s">
        <v>17</v>
      </c>
      <c r="S13" s="711">
        <f t="shared" si="0"/>
        <v>100</v>
      </c>
      <c r="T13" s="710" t="s">
        <v>17</v>
      </c>
      <c r="U13" s="711">
        <f t="shared" si="1"/>
        <v>100</v>
      </c>
      <c r="V13" s="710" t="s">
        <v>17</v>
      </c>
      <c r="W13" s="711">
        <f t="shared" si="2"/>
        <v>100</v>
      </c>
      <c r="X13" s="712"/>
      <c r="Y13" s="3357"/>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96"/>
      <c r="Q14" s="1477">
        <f t="shared" si="6"/>
        <v>111</v>
      </c>
      <c r="R14" s="710" t="s">
        <v>17</v>
      </c>
      <c r="S14" s="711">
        <f t="shared" si="0"/>
        <v>100</v>
      </c>
      <c r="T14" s="710" t="s">
        <v>17</v>
      </c>
      <c r="U14" s="711">
        <f t="shared" si="1"/>
        <v>100</v>
      </c>
      <c r="V14" s="710" t="s">
        <v>17</v>
      </c>
      <c r="W14" s="711">
        <f t="shared" si="2"/>
        <v>100</v>
      </c>
      <c r="X14" s="712"/>
      <c r="Y14" s="3357"/>
      <c r="Z14" s="55">
        <f t="shared" si="7"/>
        <v>111</v>
      </c>
      <c r="AA14" s="713">
        <f t="shared" si="3"/>
        <v>1</v>
      </c>
      <c r="AB14" s="713">
        <f t="shared" si="4"/>
        <v>1</v>
      </c>
      <c r="AC14" s="2095">
        <f t="shared" si="5"/>
        <v>1</v>
      </c>
    </row>
    <row r="15" spans="1:29" ht="71.2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94" t="s">
        <v>2140</v>
      </c>
      <c r="Q15" s="1486" t="str">
        <f t="shared" si="6"/>
        <v>办公集聚程度</v>
      </c>
      <c r="R15" s="714" t="s">
        <v>17</v>
      </c>
      <c r="S15" s="715">
        <f t="shared" si="0"/>
        <v>100</v>
      </c>
      <c r="T15" s="714" t="s">
        <v>17</v>
      </c>
      <c r="U15" s="715">
        <f t="shared" si="1"/>
        <v>100</v>
      </c>
      <c r="V15" s="714" t="s">
        <v>17</v>
      </c>
      <c r="W15" s="715">
        <f t="shared" si="2"/>
        <v>100</v>
      </c>
      <c r="X15" s="1489"/>
      <c r="Y15" s="3487" t="s">
        <v>2140</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900"/>
      <c r="M16" s="2894"/>
      <c r="N16" s="2894"/>
      <c r="O16" s="2894"/>
      <c r="P16" s="3495"/>
      <c r="Q16" s="1486"/>
      <c r="R16" s="714"/>
      <c r="S16" s="715"/>
      <c r="T16" s="714"/>
      <c r="U16" s="715"/>
      <c r="V16" s="714"/>
      <c r="W16" s="715"/>
      <c r="X16" s="1489"/>
      <c r="Y16" s="3488"/>
      <c r="Z16" s="1490"/>
      <c r="AA16" s="1487">
        <v>1</v>
      </c>
      <c r="AB16" s="1487">
        <v>1</v>
      </c>
      <c r="AC16" s="2098">
        <v>1</v>
      </c>
    </row>
    <row r="17" spans="1:29" ht="71.2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95"/>
      <c r="Q17" s="1486" t="str">
        <f>B17</f>
        <v>交通便捷度</v>
      </c>
      <c r="R17" s="714" t="s">
        <v>17</v>
      </c>
      <c r="S17" s="715">
        <f>F17</f>
        <v>100</v>
      </c>
      <c r="T17" s="714" t="s">
        <v>17</v>
      </c>
      <c r="U17" s="715">
        <f>H17</f>
        <v>100</v>
      </c>
      <c r="V17" s="714" t="s">
        <v>17</v>
      </c>
      <c r="W17" s="715">
        <f>J17</f>
        <v>100</v>
      </c>
      <c r="X17" s="1489"/>
      <c r="Y17" s="3488"/>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900"/>
      <c r="M18" s="2894"/>
      <c r="N18" s="2894"/>
      <c r="O18" s="2894"/>
      <c r="P18" s="3495"/>
      <c r="Q18" s="1486"/>
      <c r="R18" s="714"/>
      <c r="S18" s="715"/>
      <c r="T18" s="714"/>
      <c r="U18" s="715"/>
      <c r="V18" s="714"/>
      <c r="W18" s="715"/>
      <c r="X18" s="1489"/>
      <c r="Y18" s="3488"/>
      <c r="Z18" s="1490"/>
      <c r="AA18" s="1487">
        <v>1</v>
      </c>
      <c r="AB18" s="1487">
        <v>1</v>
      </c>
      <c r="AC18" s="2098">
        <v>1</v>
      </c>
    </row>
    <row r="19" spans="1:29" ht="42.7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95"/>
      <c r="Q19" s="1486" t="str">
        <f>B19</f>
        <v>公共配套设施</v>
      </c>
      <c r="R19" s="714" t="s">
        <v>17</v>
      </c>
      <c r="S19" s="715">
        <f>F19</f>
        <v>100</v>
      </c>
      <c r="T19" s="714" t="s">
        <v>17</v>
      </c>
      <c r="U19" s="715">
        <f>H19</f>
        <v>100</v>
      </c>
      <c r="V19" s="714" t="s">
        <v>17</v>
      </c>
      <c r="W19" s="715">
        <f>J19</f>
        <v>100</v>
      </c>
      <c r="X19" s="1489"/>
      <c r="Y19" s="3488"/>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900"/>
      <c r="M20" s="2894"/>
      <c r="N20" s="2894"/>
      <c r="O20" s="2894"/>
      <c r="P20" s="3495"/>
      <c r="Q20" s="1486"/>
      <c r="R20" s="714"/>
      <c r="S20" s="715"/>
      <c r="T20" s="714"/>
      <c r="U20" s="715"/>
      <c r="V20" s="714"/>
      <c r="W20" s="715"/>
      <c r="X20" s="1489"/>
      <c r="Y20" s="3488"/>
      <c r="Z20" s="1490"/>
      <c r="AA20" s="1487">
        <v>1</v>
      </c>
      <c r="AB20" s="1487">
        <v>1</v>
      </c>
      <c r="AC20" s="2098">
        <v>1</v>
      </c>
    </row>
    <row r="21" spans="1:29" ht="28.5">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95"/>
      <c r="Q21" s="1486" t="str">
        <f>B21</f>
        <v>基础设施水平</v>
      </c>
      <c r="R21" s="714" t="s">
        <v>17</v>
      </c>
      <c r="S21" s="715">
        <f>F21</f>
        <v>100</v>
      </c>
      <c r="T21" s="714" t="s">
        <v>17</v>
      </c>
      <c r="U21" s="715">
        <f>H21</f>
        <v>100</v>
      </c>
      <c r="V21" s="714" t="s">
        <v>17</v>
      </c>
      <c r="W21" s="715">
        <f>J21</f>
        <v>100</v>
      </c>
      <c r="X21" s="1489"/>
      <c r="Y21" s="3488"/>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5"/>
      <c r="L22" s="2900"/>
      <c r="M22" s="2894"/>
      <c r="N22" s="2894"/>
      <c r="O22" s="2894"/>
      <c r="P22" s="3495"/>
      <c r="Q22" s="1486"/>
      <c r="R22" s="714"/>
      <c r="S22" s="715"/>
      <c r="T22" s="714"/>
      <c r="U22" s="715"/>
      <c r="V22" s="714"/>
      <c r="W22" s="715"/>
      <c r="X22" s="1489"/>
      <c r="Y22" s="3488"/>
      <c r="Z22" s="1490"/>
      <c r="AA22" s="1487">
        <v>1</v>
      </c>
      <c r="AB22" s="1487">
        <v>1</v>
      </c>
      <c r="AC22" s="2098">
        <v>1</v>
      </c>
    </row>
    <row r="23" spans="1:29" ht="42.7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95"/>
      <c r="Q23" s="1486" t="str">
        <f>B23</f>
        <v>环境质量</v>
      </c>
      <c r="R23" s="714" t="s">
        <v>17</v>
      </c>
      <c r="S23" s="715">
        <f>F23</f>
        <v>100</v>
      </c>
      <c r="T23" s="714" t="s">
        <v>17</v>
      </c>
      <c r="U23" s="715">
        <f>H23</f>
        <v>100</v>
      </c>
      <c r="V23" s="714" t="s">
        <v>17</v>
      </c>
      <c r="W23" s="715">
        <f>J23</f>
        <v>100</v>
      </c>
      <c r="X23" s="1489"/>
      <c r="Y23" s="3488"/>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900"/>
      <c r="M24" s="2894"/>
      <c r="N24" s="2894"/>
      <c r="O24" s="2894"/>
      <c r="P24" s="3495"/>
      <c r="Q24" s="1486"/>
      <c r="R24" s="714"/>
      <c r="S24" s="715"/>
      <c r="T24" s="714"/>
      <c r="U24" s="715"/>
      <c r="V24" s="714"/>
      <c r="W24" s="715"/>
      <c r="X24" s="1489"/>
      <c r="Y24" s="3488"/>
      <c r="Z24" s="1490"/>
      <c r="AA24" s="1487">
        <v>1</v>
      </c>
      <c r="AB24" s="1487">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495"/>
      <c r="Q25" s="1486" t="str">
        <f>B25</f>
        <v>毗邻道路的类型与等级</v>
      </c>
      <c r="R25" s="714" t="s">
        <v>17</v>
      </c>
      <c r="S25" s="715">
        <f>F25</f>
        <v>100</v>
      </c>
      <c r="T25" s="714" t="s">
        <v>17</v>
      </c>
      <c r="U25" s="715">
        <f>H25</f>
        <v>100</v>
      </c>
      <c r="V25" s="714" t="s">
        <v>17</v>
      </c>
      <c r="W25" s="715">
        <f>J25</f>
        <v>100</v>
      </c>
      <c r="X25" s="1489"/>
      <c r="Y25" s="3488"/>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900"/>
      <c r="M26" s="2894"/>
      <c r="N26" s="2894"/>
      <c r="O26" s="2894"/>
      <c r="P26" s="3495"/>
      <c r="Q26" s="1486"/>
      <c r="R26" s="714"/>
      <c r="S26" s="715"/>
      <c r="T26" s="714"/>
      <c r="U26" s="715"/>
      <c r="V26" s="714"/>
      <c r="W26" s="715"/>
      <c r="X26" s="1489"/>
      <c r="Y26" s="3488"/>
      <c r="Z26" s="1490"/>
      <c r="AA26" s="1487">
        <v>1</v>
      </c>
      <c r="AB26" s="1487">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495"/>
      <c r="Q27" s="1486" t="str">
        <f t="shared" ref="Q27:Q47" si="11">B27</f>
        <v>楼层</v>
      </c>
      <c r="R27" s="714" t="s">
        <v>17</v>
      </c>
      <c r="S27" s="715">
        <f>F27</f>
        <v>100</v>
      </c>
      <c r="T27" s="714" t="s">
        <v>17</v>
      </c>
      <c r="U27" s="715">
        <f>H27</f>
        <v>100</v>
      </c>
      <c r="V27" s="714" t="s">
        <v>17</v>
      </c>
      <c r="W27" s="715">
        <f>J27</f>
        <v>100</v>
      </c>
      <c r="X27" s="1489"/>
      <c r="Y27" s="3488"/>
      <c r="Z27" s="1490" t="str">
        <f>Q27</f>
        <v>楼层</v>
      </c>
      <c r="AA27" s="1487">
        <f t="shared" si="3"/>
        <v>1</v>
      </c>
      <c r="AB27" s="1487">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495"/>
      <c r="Q28" s="1477" t="str">
        <f t="shared" si="11"/>
        <v>朝向</v>
      </c>
      <c r="R28" s="710" t="s">
        <v>17</v>
      </c>
      <c r="S28" s="711">
        <f>F28</f>
        <v>100</v>
      </c>
      <c r="T28" s="710" t="s">
        <v>17</v>
      </c>
      <c r="U28" s="711">
        <f>H28</f>
        <v>100</v>
      </c>
      <c r="V28" s="710" t="s">
        <v>17</v>
      </c>
      <c r="W28" s="711">
        <f>J28</f>
        <v>100</v>
      </c>
      <c r="X28" s="712"/>
      <c r="Y28" s="3488"/>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495"/>
      <c r="Q29" s="1486">
        <f t="shared" si="11"/>
        <v>111</v>
      </c>
      <c r="R29" s="714" t="s">
        <v>17</v>
      </c>
      <c r="S29" s="715">
        <f t="shared" ref="S29:S47" si="12">F29</f>
        <v>100</v>
      </c>
      <c r="T29" s="714" t="s">
        <v>17</v>
      </c>
      <c r="U29" s="715">
        <f t="shared" ref="U29:U47" si="13">H29</f>
        <v>100</v>
      </c>
      <c r="V29" s="714" t="s">
        <v>17</v>
      </c>
      <c r="W29" s="715">
        <f t="shared" ref="W29:W47" si="14">J29</f>
        <v>100</v>
      </c>
      <c r="X29" s="1489"/>
      <c r="Y29" s="3488"/>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495"/>
      <c r="Q30" s="1486">
        <f t="shared" si="11"/>
        <v>111</v>
      </c>
      <c r="R30" s="714" t="s">
        <v>17</v>
      </c>
      <c r="S30" s="715">
        <f t="shared" si="12"/>
        <v>100</v>
      </c>
      <c r="T30" s="714" t="s">
        <v>17</v>
      </c>
      <c r="U30" s="715">
        <f t="shared" si="13"/>
        <v>100</v>
      </c>
      <c r="V30" s="714" t="s">
        <v>17</v>
      </c>
      <c r="W30" s="715">
        <f t="shared" si="14"/>
        <v>100</v>
      </c>
      <c r="X30" s="1489"/>
      <c r="Y30" s="3488"/>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495"/>
      <c r="Q31" s="1486">
        <f t="shared" si="11"/>
        <v>111</v>
      </c>
      <c r="R31" s="714" t="s">
        <v>17</v>
      </c>
      <c r="S31" s="715">
        <f t="shared" si="12"/>
        <v>100</v>
      </c>
      <c r="T31" s="714" t="s">
        <v>17</v>
      </c>
      <c r="U31" s="715">
        <f t="shared" si="13"/>
        <v>100</v>
      </c>
      <c r="V31" s="714" t="s">
        <v>17</v>
      </c>
      <c r="W31" s="715">
        <f t="shared" si="14"/>
        <v>100</v>
      </c>
      <c r="X31" s="1489"/>
      <c r="Y31" s="3488"/>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495"/>
      <c r="Q32" s="1486">
        <f t="shared" si="11"/>
        <v>111</v>
      </c>
      <c r="R32" s="714" t="s">
        <v>17</v>
      </c>
      <c r="S32" s="715">
        <f t="shared" si="12"/>
        <v>100</v>
      </c>
      <c r="T32" s="714" t="s">
        <v>17</v>
      </c>
      <c r="U32" s="715">
        <f t="shared" si="13"/>
        <v>100</v>
      </c>
      <c r="V32" s="714" t="s">
        <v>17</v>
      </c>
      <c r="W32" s="715">
        <f t="shared" si="14"/>
        <v>100</v>
      </c>
      <c r="X32" s="1489"/>
      <c r="Y32" s="3488"/>
      <c r="Z32" s="1490">
        <f t="shared" si="15"/>
        <v>111</v>
      </c>
      <c r="AA32" s="1487">
        <f t="shared" si="3"/>
        <v>1</v>
      </c>
      <c r="AB32" s="1487">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489" t="s">
        <v>2145</v>
      </c>
      <c r="Q33" s="1486" t="str">
        <f t="shared" si="11"/>
        <v>建筑类型</v>
      </c>
      <c r="R33" s="714" t="s">
        <v>17</v>
      </c>
      <c r="S33" s="715">
        <f t="shared" si="12"/>
        <v>100</v>
      </c>
      <c r="T33" s="714" t="s">
        <v>17</v>
      </c>
      <c r="U33" s="715">
        <f t="shared" si="13"/>
        <v>100</v>
      </c>
      <c r="V33" s="714" t="s">
        <v>17</v>
      </c>
      <c r="W33" s="715">
        <f t="shared" si="14"/>
        <v>100</v>
      </c>
      <c r="X33" s="1489"/>
      <c r="Y33" s="3492" t="s">
        <v>2145</v>
      </c>
      <c r="Z33" s="1490" t="str">
        <f t="shared" si="15"/>
        <v>建筑类型</v>
      </c>
      <c r="AA33" s="1487">
        <f t="shared" si="3"/>
        <v>1</v>
      </c>
      <c r="AB33" s="1487">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490"/>
      <c r="Q34" s="716" t="str">
        <f t="shared" si="11"/>
        <v>项目建筑规模</v>
      </c>
      <c r="R34" s="717" t="s">
        <v>17</v>
      </c>
      <c r="S34" s="718" t="e">
        <f t="shared" si="12"/>
        <v>#N/A</v>
      </c>
      <c r="T34" s="717" t="s">
        <v>17</v>
      </c>
      <c r="U34" s="718" t="e">
        <f t="shared" si="13"/>
        <v>#N/A</v>
      </c>
      <c r="V34" s="717" t="s">
        <v>17</v>
      </c>
      <c r="W34" s="718" t="e">
        <f t="shared" si="14"/>
        <v>#N/A</v>
      </c>
      <c r="X34" s="719"/>
      <c r="Y34" s="3492"/>
      <c r="Z34" s="720" t="str">
        <f t="shared" si="15"/>
        <v>项目建筑规模</v>
      </c>
      <c r="AA34" s="1487" t="e">
        <f t="shared" si="3"/>
        <v>#N/A</v>
      </c>
      <c r="AB34" s="1487"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90"/>
      <c r="Q35" s="1486" t="str">
        <f t="shared" si="11"/>
        <v>建筑结构</v>
      </c>
      <c r="R35" s="714" t="s">
        <v>17</v>
      </c>
      <c r="S35" s="715">
        <f t="shared" si="12"/>
        <v>100</v>
      </c>
      <c r="T35" s="714" t="s">
        <v>17</v>
      </c>
      <c r="U35" s="715">
        <f t="shared" si="13"/>
        <v>100</v>
      </c>
      <c r="V35" s="714" t="s">
        <v>17</v>
      </c>
      <c r="W35" s="715">
        <f t="shared" si="14"/>
        <v>100</v>
      </c>
      <c r="X35" s="1489"/>
      <c r="Y35" s="3492"/>
      <c r="Z35" s="1490" t="str">
        <f t="shared" si="15"/>
        <v>建筑结构</v>
      </c>
      <c r="AA35" s="1487">
        <f t="shared" si="3"/>
        <v>1</v>
      </c>
      <c r="AB35" s="1487">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90"/>
      <c r="Q36" s="1486" t="str">
        <f t="shared" si="11"/>
        <v>公共部分装修</v>
      </c>
      <c r="R36" s="714" t="s">
        <v>17</v>
      </c>
      <c r="S36" s="715">
        <f t="shared" si="12"/>
        <v>100</v>
      </c>
      <c r="T36" s="714" t="s">
        <v>17</v>
      </c>
      <c r="U36" s="715">
        <f t="shared" si="13"/>
        <v>100</v>
      </c>
      <c r="V36" s="714" t="s">
        <v>17</v>
      </c>
      <c r="W36" s="715">
        <f t="shared" si="14"/>
        <v>100</v>
      </c>
      <c r="X36" s="1489"/>
      <c r="Y36" s="3492"/>
      <c r="Z36" s="1490" t="str">
        <f t="shared" si="15"/>
        <v>公共部分装修</v>
      </c>
      <c r="AA36" s="1487">
        <f t="shared" si="3"/>
        <v>1</v>
      </c>
      <c r="AB36" s="1487">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490"/>
      <c r="Q37" s="1486" t="str">
        <f t="shared" si="11"/>
        <v>成新度</v>
      </c>
      <c r="R37" s="714" t="s">
        <v>17</v>
      </c>
      <c r="S37" s="715" t="e">
        <f t="shared" si="12"/>
        <v>#N/A</v>
      </c>
      <c r="T37" s="714" t="s">
        <v>17</v>
      </c>
      <c r="U37" s="715" t="e">
        <f t="shared" si="13"/>
        <v>#N/A</v>
      </c>
      <c r="V37" s="714" t="s">
        <v>17</v>
      </c>
      <c r="W37" s="715" t="e">
        <f t="shared" si="14"/>
        <v>#N/A</v>
      </c>
      <c r="X37" s="1489"/>
      <c r="Y37" s="3492"/>
      <c r="Z37" s="1490" t="str">
        <f t="shared" si="15"/>
        <v>成新度</v>
      </c>
      <c r="AA37" s="1487" t="e">
        <f t="shared" si="3"/>
        <v>#N/A</v>
      </c>
      <c r="AB37" s="1487"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90"/>
      <c r="Q38" s="1477" t="str">
        <f t="shared" si="11"/>
        <v>写字楼等级</v>
      </c>
      <c r="R38" s="710" t="s">
        <v>17</v>
      </c>
      <c r="S38" s="711">
        <f t="shared" si="12"/>
        <v>100</v>
      </c>
      <c r="T38" s="710" t="s">
        <v>17</v>
      </c>
      <c r="U38" s="711">
        <f t="shared" si="13"/>
        <v>100</v>
      </c>
      <c r="V38" s="710" t="s">
        <v>17</v>
      </c>
      <c r="W38" s="711">
        <f t="shared" si="14"/>
        <v>100</v>
      </c>
      <c r="X38" s="712"/>
      <c r="Y38" s="3492"/>
      <c r="Z38" s="55" t="str">
        <f t="shared" si="15"/>
        <v>写字楼等级</v>
      </c>
      <c r="AA38" s="713">
        <f t="shared" si="3"/>
        <v>1</v>
      </c>
      <c r="AB38" s="713">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90" t="s">
        <v>2145</v>
      </c>
      <c r="Q39" s="1486" t="str">
        <f t="shared" si="11"/>
        <v>物业管理</v>
      </c>
      <c r="R39" s="714" t="s">
        <v>17</v>
      </c>
      <c r="S39" s="715">
        <f t="shared" si="12"/>
        <v>100</v>
      </c>
      <c r="T39" s="714" t="s">
        <v>17</v>
      </c>
      <c r="U39" s="715">
        <f t="shared" si="13"/>
        <v>100</v>
      </c>
      <c r="V39" s="714" t="s">
        <v>17</v>
      </c>
      <c r="W39" s="715">
        <f t="shared" si="14"/>
        <v>100</v>
      </c>
      <c r="X39" s="1489"/>
      <c r="Y39" s="3492" t="s">
        <v>2145</v>
      </c>
      <c r="Z39" s="1490" t="str">
        <f t="shared" si="15"/>
        <v>物业管理</v>
      </c>
      <c r="AA39" s="1487">
        <f t="shared" si="3"/>
        <v>1</v>
      </c>
      <c r="AB39" s="1487">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90"/>
      <c r="Q40" s="1486" t="str">
        <f t="shared" si="11"/>
        <v>市政基础设施</v>
      </c>
      <c r="R40" s="714" t="s">
        <v>17</v>
      </c>
      <c r="S40" s="715">
        <f t="shared" si="12"/>
        <v>100</v>
      </c>
      <c r="T40" s="714" t="s">
        <v>17</v>
      </c>
      <c r="U40" s="715">
        <f t="shared" si="13"/>
        <v>100</v>
      </c>
      <c r="V40" s="714" t="s">
        <v>17</v>
      </c>
      <c r="W40" s="715">
        <f t="shared" si="14"/>
        <v>100</v>
      </c>
      <c r="X40" s="1489"/>
      <c r="Y40" s="3492"/>
      <c r="Z40" s="1490" t="str">
        <f t="shared" si="15"/>
        <v>市政基础设施</v>
      </c>
      <c r="AA40" s="1487">
        <f t="shared" si="3"/>
        <v>1</v>
      </c>
      <c r="AB40" s="1487">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90"/>
      <c r="Q41" s="1486" t="str">
        <f t="shared" si="11"/>
        <v>层高</v>
      </c>
      <c r="R41" s="714" t="s">
        <v>17</v>
      </c>
      <c r="S41" s="715">
        <f t="shared" si="12"/>
        <v>100</v>
      </c>
      <c r="T41" s="714" t="s">
        <v>17</v>
      </c>
      <c r="U41" s="715">
        <f t="shared" si="13"/>
        <v>100</v>
      </c>
      <c r="V41" s="714" t="s">
        <v>17</v>
      </c>
      <c r="W41" s="715">
        <f t="shared" si="14"/>
        <v>100</v>
      </c>
      <c r="X41" s="1489"/>
      <c r="Y41" s="3492"/>
      <c r="Z41" s="1490" t="str">
        <f t="shared" si="15"/>
        <v>层高</v>
      </c>
      <c r="AA41" s="1487">
        <f t="shared" si="3"/>
        <v>1</v>
      </c>
      <c r="AB41" s="1487">
        <f t="shared" si="4"/>
        <v>1</v>
      </c>
      <c r="AC41" s="2098">
        <f t="shared" si="5"/>
        <v>1</v>
      </c>
    </row>
    <row r="42" spans="1:29" s="430" customFormat="1" ht="15">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90"/>
      <c r="Q42" s="716" t="str">
        <f t="shared" si="11"/>
        <v>单套建筑面积</v>
      </c>
      <c r="R42" s="717" t="s">
        <v>17</v>
      </c>
      <c r="S42" s="718">
        <f t="shared" si="12"/>
        <v>100</v>
      </c>
      <c r="T42" s="717" t="s">
        <v>17</v>
      </c>
      <c r="U42" s="718">
        <f t="shared" si="13"/>
        <v>100</v>
      </c>
      <c r="V42" s="717" t="s">
        <v>17</v>
      </c>
      <c r="W42" s="718">
        <f t="shared" si="14"/>
        <v>100</v>
      </c>
      <c r="X42" s="719"/>
      <c r="Y42" s="3492"/>
      <c r="Z42" s="720" t="str">
        <f t="shared" si="15"/>
        <v>单套建筑面积</v>
      </c>
      <c r="AA42" s="1487">
        <f t="shared" si="3"/>
        <v>1</v>
      </c>
      <c r="AB42" s="1487">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90"/>
      <c r="Q43" s="1486" t="str">
        <f t="shared" si="11"/>
        <v>内部装修</v>
      </c>
      <c r="R43" s="714" t="s">
        <v>17</v>
      </c>
      <c r="S43" s="715">
        <f t="shared" si="12"/>
        <v>100</v>
      </c>
      <c r="T43" s="714" t="s">
        <v>17</v>
      </c>
      <c r="U43" s="715">
        <f t="shared" si="13"/>
        <v>100</v>
      </c>
      <c r="V43" s="714" t="s">
        <v>17</v>
      </c>
      <c r="W43" s="715">
        <f t="shared" si="14"/>
        <v>100</v>
      </c>
      <c r="X43" s="1489"/>
      <c r="Y43" s="3492"/>
      <c r="Z43" s="1490" t="str">
        <f t="shared" si="15"/>
        <v>内部装修</v>
      </c>
      <c r="AA43" s="1487">
        <f t="shared" si="3"/>
        <v>1</v>
      </c>
      <c r="AB43" s="1487">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490"/>
      <c r="Q44" s="1486" t="str">
        <f t="shared" si="11"/>
        <v>内部装修维护情况</v>
      </c>
      <c r="R44" s="714" t="s">
        <v>17</v>
      </c>
      <c r="S44" s="715">
        <f t="shared" si="12"/>
        <v>100</v>
      </c>
      <c r="T44" s="714" t="s">
        <v>17</v>
      </c>
      <c r="U44" s="715">
        <f t="shared" si="13"/>
        <v>100</v>
      </c>
      <c r="V44" s="714" t="s">
        <v>17</v>
      </c>
      <c r="W44" s="715">
        <f t="shared" si="14"/>
        <v>100</v>
      </c>
      <c r="X44" s="1489"/>
      <c r="Y44" s="3492"/>
      <c r="Z44" s="1490" t="str">
        <f t="shared" si="15"/>
        <v>内部装修维护情况</v>
      </c>
      <c r="AA44" s="1487">
        <f t="shared" si="3"/>
        <v>1</v>
      </c>
      <c r="AB44" s="1487">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90"/>
      <c r="Q45" s="1477">
        <f t="shared" si="11"/>
        <v>111</v>
      </c>
      <c r="R45" s="710" t="s">
        <v>17</v>
      </c>
      <c r="S45" s="711">
        <f t="shared" si="12"/>
        <v>100</v>
      </c>
      <c r="T45" s="710" t="s">
        <v>17</v>
      </c>
      <c r="U45" s="711">
        <f t="shared" si="13"/>
        <v>100</v>
      </c>
      <c r="V45" s="710" t="s">
        <v>17</v>
      </c>
      <c r="W45" s="711">
        <f t="shared" si="14"/>
        <v>100</v>
      </c>
      <c r="X45" s="712"/>
      <c r="Y45" s="3492"/>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90"/>
      <c r="Q46" s="1486">
        <f t="shared" si="11"/>
        <v>111</v>
      </c>
      <c r="R46" s="714" t="s">
        <v>17</v>
      </c>
      <c r="S46" s="715">
        <f t="shared" si="12"/>
        <v>100</v>
      </c>
      <c r="T46" s="714" t="s">
        <v>17</v>
      </c>
      <c r="U46" s="715">
        <f t="shared" si="13"/>
        <v>100</v>
      </c>
      <c r="V46" s="714" t="s">
        <v>17</v>
      </c>
      <c r="W46" s="715">
        <f t="shared" si="14"/>
        <v>100</v>
      </c>
      <c r="X46" s="1489"/>
      <c r="Y46" s="3492"/>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91"/>
      <c r="Q47" s="1486">
        <f t="shared" si="11"/>
        <v>111</v>
      </c>
      <c r="R47" s="714" t="s">
        <v>17</v>
      </c>
      <c r="S47" s="715">
        <f t="shared" si="12"/>
        <v>100</v>
      </c>
      <c r="T47" s="714" t="s">
        <v>17</v>
      </c>
      <c r="U47" s="715">
        <f t="shared" si="13"/>
        <v>100</v>
      </c>
      <c r="V47" s="714" t="s">
        <v>17</v>
      </c>
      <c r="W47" s="715">
        <f t="shared" si="14"/>
        <v>100</v>
      </c>
      <c r="X47" s="1489"/>
      <c r="Y47" s="3493"/>
      <c r="Z47" s="1490">
        <f t="shared" si="15"/>
        <v>111</v>
      </c>
      <c r="AA47" s="1487">
        <f t="shared" si="3"/>
        <v>1</v>
      </c>
      <c r="AB47" s="1487">
        <f t="shared" si="4"/>
        <v>1</v>
      </c>
      <c r="AC47" s="2098">
        <f t="shared" si="5"/>
        <v>1</v>
      </c>
    </row>
    <row r="48" spans="1:29" ht="15">
      <c r="A48" s="438" t="s">
        <v>2157</v>
      </c>
      <c r="B48" s="439"/>
      <c r="C48" s="1269" t="s">
        <v>1</v>
      </c>
      <c r="D48" s="1270"/>
      <c r="E48" s="1271"/>
      <c r="F48" s="1272"/>
      <c r="G48" s="1273"/>
      <c r="H48" s="1274"/>
      <c r="I48" s="1271"/>
      <c r="J48" s="444"/>
      <c r="K48" s="723"/>
      <c r="L48" s="2902"/>
      <c r="M48" s="2894"/>
      <c r="N48" s="2894"/>
      <c r="O48" s="2894"/>
      <c r="P48" s="3496" t="str">
        <f>A48</f>
        <v>成交单价（元/平方米）</v>
      </c>
      <c r="Q48" s="3485"/>
      <c r="R48" s="3486">
        <f>E48</f>
        <v>0</v>
      </c>
      <c r="S48" s="3486"/>
      <c r="T48" s="3486">
        <f>G48</f>
        <v>0</v>
      </c>
      <c r="U48" s="3486"/>
      <c r="V48" s="3486">
        <f>I48</f>
        <v>0</v>
      </c>
      <c r="W48" s="3486"/>
      <c r="X48" s="405"/>
      <c r="Y48" s="721"/>
      <c r="Z48" s="405"/>
      <c r="AA48" s="405"/>
      <c r="AB48" s="405"/>
      <c r="AC48" s="586"/>
    </row>
    <row r="49" spans="1:29" ht="15.75" thickBot="1">
      <c r="A49" s="445" t="s">
        <v>2249</v>
      </c>
      <c r="B49" s="446"/>
      <c r="C49" s="1275" t="e">
        <f>R50</f>
        <v>#DIV/0!</v>
      </c>
      <c r="D49" s="2488" t="s">
        <v>2638</v>
      </c>
      <c r="E49" s="1276" t="e">
        <f>R49</f>
        <v>#DIV/0!</v>
      </c>
      <c r="F49" s="2489"/>
      <c r="G49" s="1275" t="e">
        <f>T49</f>
        <v>#DIV/0!</v>
      </c>
      <c r="H49" s="2489"/>
      <c r="I49" s="1276" t="e">
        <f>V49</f>
        <v>#DIV/0!</v>
      </c>
      <c r="J49" s="2489"/>
      <c r="K49" s="2491">
        <f>F49+H49+J49</f>
        <v>0</v>
      </c>
      <c r="L49" s="2902"/>
      <c r="M49" s="2894"/>
      <c r="N49" s="2894"/>
      <c r="O49" s="2894"/>
      <c r="P49" s="3496" t="str">
        <f>A49</f>
        <v>比较价值（元/平方米）</v>
      </c>
      <c r="Q49" s="3485"/>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2"/>
      <c r="M50" s="2894"/>
      <c r="N50" s="2894"/>
      <c r="O50" s="2894"/>
      <c r="P50" s="3528" t="str">
        <f>A50</f>
        <v>估价对象XX用房的比较价值（楼面单价，元/平方米）</v>
      </c>
      <c r="Q50" s="3529"/>
      <c r="R50" s="3530" t="e">
        <f>IF(F1="售价",ROUND(IF(D49="简单平均",AVERAGE(R49:V49),R49*F49+T49*H49+V49*J49),0),ROUND(IF(D49="简单平均",AVERAGE(R49:V49),R49*F49+T49*H49+V49*J49),1))</f>
        <v>#DIV/0!</v>
      </c>
      <c r="S50" s="3530"/>
      <c r="T50" s="3530"/>
      <c r="U50" s="3530"/>
      <c r="V50" s="3530"/>
      <c r="W50" s="3530"/>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8" t="str">
        <f>YEAR(C7)&amp;"-"&amp;MONTH(C7)</f>
        <v>2022-9</v>
      </c>
      <c r="D59" s="1299">
        <f>EDATE(C59,-1)</f>
        <v>44774</v>
      </c>
      <c r="E59" s="1299">
        <f>EDATE(D59,-1)</f>
        <v>44743</v>
      </c>
      <c r="F59" s="1299">
        <f t="shared" ref="F59:O59" si="16">EDATE(E59,-1)</f>
        <v>44713</v>
      </c>
      <c r="G59" s="1299">
        <f t="shared" si="16"/>
        <v>44682</v>
      </c>
      <c r="H59" s="1299">
        <f t="shared" si="16"/>
        <v>44652</v>
      </c>
      <c r="I59" s="1299">
        <f t="shared" si="16"/>
        <v>44621</v>
      </c>
      <c r="J59" s="1299">
        <f t="shared" si="16"/>
        <v>44593</v>
      </c>
      <c r="K59" s="1299">
        <f t="shared" si="16"/>
        <v>44562</v>
      </c>
      <c r="L59" s="1299">
        <f t="shared" si="16"/>
        <v>44531</v>
      </c>
      <c r="M59" s="1299">
        <f t="shared" si="16"/>
        <v>44501</v>
      </c>
      <c r="N59" s="1299">
        <f t="shared" si="16"/>
        <v>44470</v>
      </c>
      <c r="O59" s="1299">
        <f t="shared" si="16"/>
        <v>44440</v>
      </c>
      <c r="P59" s="2937"/>
      <c r="Q59" s="2919"/>
      <c r="R59" s="2919"/>
      <c r="S59" s="2919"/>
      <c r="T59" s="2919"/>
      <c r="U59" s="2919"/>
      <c r="V59" s="2919"/>
      <c r="W59" s="2919"/>
      <c r="X59" s="2919"/>
      <c r="Y59" s="2919"/>
      <c r="Z59" s="2919"/>
      <c r="AA59" s="2919"/>
      <c r="AB59" s="2919"/>
      <c r="AC59" s="2919"/>
    </row>
    <row r="60" spans="1:29" s="113" customFormat="1" ht="15">
      <c r="A60" s="466"/>
      <c r="B60" s="467"/>
      <c r="C60" s="129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估价对象为北京市房地产，为所有。根据《国有土地使用证》[]，估价对象（分摊）出让国有建设用地使用权面积为24498.84平方米，建筑面积为119963.53平方米。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估价对象为北京市房地产,属开发建设的，该项目尚在开发建设中。根据《国有土地使用证》[]，估价对象（分摊）出让国有建设用地使用权面积为24498.84平方米，规划建筑面积为119963.53平方米。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2022年9月23日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119963.53</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500" t="s">
        <v>2226</v>
      </c>
      <c r="D4" s="3501"/>
      <c r="E4" s="3502" t="s">
        <v>2227</v>
      </c>
      <c r="F4" s="3503"/>
      <c r="G4" s="3500" t="s">
        <v>2228</v>
      </c>
      <c r="H4" s="3501"/>
      <c r="I4" s="3500" t="s">
        <v>2229</v>
      </c>
      <c r="J4" s="3501"/>
      <c r="K4" s="567" t="s">
        <v>2230</v>
      </c>
      <c r="L4" s="1025"/>
      <c r="M4" s="1026"/>
      <c r="N4" s="1026"/>
      <c r="O4" s="1026"/>
      <c r="P4" s="3504" t="s">
        <v>2231</v>
      </c>
      <c r="Q4" s="3505"/>
      <c r="R4" s="3510" t="s">
        <v>2227</v>
      </c>
      <c r="S4" s="3511"/>
      <c r="T4" s="3510" t="s">
        <v>2228</v>
      </c>
      <c r="U4" s="3511"/>
      <c r="V4" s="3516" t="s">
        <v>2229</v>
      </c>
      <c r="W4" s="3516"/>
      <c r="X4" s="1489"/>
      <c r="Y4" s="3510" t="s">
        <v>2231</v>
      </c>
      <c r="Z4" s="3511"/>
      <c r="AA4" s="3497" t="s">
        <v>2227</v>
      </c>
      <c r="AB4" s="3498" t="s">
        <v>2228</v>
      </c>
      <c r="AC4" s="3497" t="s">
        <v>2229</v>
      </c>
    </row>
    <row r="5" spans="1:29" ht="15">
      <c r="A5" s="364"/>
      <c r="B5" s="365"/>
      <c r="C5" s="3519" t="s">
        <v>2122</v>
      </c>
      <c r="D5" s="3520"/>
      <c r="E5" s="3526" t="s">
        <v>2123</v>
      </c>
      <c r="F5" s="3527"/>
      <c r="G5" s="3519" t="s">
        <v>2124</v>
      </c>
      <c r="H5" s="3520"/>
      <c r="I5" s="3519" t="s">
        <v>2125</v>
      </c>
      <c r="J5" s="3520"/>
      <c r="K5" s="567"/>
      <c r="L5" s="1025"/>
      <c r="M5" s="1026"/>
      <c r="N5" s="1026"/>
      <c r="O5" s="1026"/>
      <c r="P5" s="3506"/>
      <c r="Q5" s="3507"/>
      <c r="R5" s="3512"/>
      <c r="S5" s="3513"/>
      <c r="T5" s="3512"/>
      <c r="U5" s="3513"/>
      <c r="V5" s="3516"/>
      <c r="W5" s="3516"/>
      <c r="X5" s="1489"/>
      <c r="Y5" s="3512"/>
      <c r="Z5" s="3513"/>
      <c r="AA5" s="3498"/>
      <c r="AB5" s="3498"/>
      <c r="AC5" s="3498"/>
    </row>
    <row r="6" spans="1:29" ht="15.75" thickBot="1">
      <c r="A6" s="366"/>
      <c r="B6" s="367"/>
      <c r="C6" s="3517" t="s">
        <v>2126</v>
      </c>
      <c r="D6" s="3518"/>
      <c r="E6" s="3524" t="s">
        <v>2126</v>
      </c>
      <c r="F6" s="3525"/>
      <c r="G6" s="3517" t="s">
        <v>2126</v>
      </c>
      <c r="H6" s="3518"/>
      <c r="I6" s="3517" t="s">
        <v>2126</v>
      </c>
      <c r="J6" s="3518"/>
      <c r="K6" s="567" t="s">
        <v>2127</v>
      </c>
      <c r="L6" s="1025"/>
      <c r="M6" s="1026"/>
      <c r="N6" s="1026"/>
      <c r="O6" s="1026"/>
      <c r="P6" s="3508"/>
      <c r="Q6" s="3509"/>
      <c r="R6" s="3512"/>
      <c r="S6" s="3513"/>
      <c r="T6" s="3514"/>
      <c r="U6" s="3515"/>
      <c r="V6" s="3516"/>
      <c r="W6" s="3516"/>
      <c r="X6" s="1489"/>
      <c r="Y6" s="3514"/>
      <c r="Z6" s="3515"/>
      <c r="AA6" s="3499"/>
      <c r="AB6" s="3499"/>
      <c r="AC6" s="3499"/>
    </row>
    <row r="7" spans="1:29" s="113" customFormat="1" ht="15.75" thickBot="1">
      <c r="A7" s="368" t="s">
        <v>2128</v>
      </c>
      <c r="B7" s="369"/>
      <c r="C7" s="370">
        <f>'数据-取费表'!B2</f>
        <v>44827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21" t="s">
        <v>2129</v>
      </c>
      <c r="Q7" s="3523"/>
      <c r="R7" s="710" t="s">
        <v>17</v>
      </c>
      <c r="S7" s="711">
        <f t="shared" ref="S7:S15" si="0">F7</f>
        <v>0</v>
      </c>
      <c r="T7" s="710" t="s">
        <v>17</v>
      </c>
      <c r="U7" s="711">
        <f t="shared" ref="U7:U15" si="1">H7</f>
        <v>0</v>
      </c>
      <c r="V7" s="710" t="s">
        <v>17</v>
      </c>
      <c r="W7" s="711">
        <f t="shared" ref="W7:W15" si="2">J7</f>
        <v>0</v>
      </c>
      <c r="X7" s="712"/>
      <c r="Y7" s="3521" t="s">
        <v>2129</v>
      </c>
      <c r="Z7" s="3522"/>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21" t="s">
        <v>2132</v>
      </c>
      <c r="Q8" s="3522"/>
      <c r="R8" s="710" t="s">
        <v>17</v>
      </c>
      <c r="S8" s="711">
        <f t="shared" si="0"/>
        <v>0</v>
      </c>
      <c r="T8" s="710" t="s">
        <v>17</v>
      </c>
      <c r="U8" s="711">
        <f t="shared" si="1"/>
        <v>0</v>
      </c>
      <c r="V8" s="710" t="s">
        <v>17</v>
      </c>
      <c r="W8" s="711">
        <f t="shared" si="2"/>
        <v>0</v>
      </c>
      <c r="X8" s="712"/>
      <c r="Y8" s="3521" t="s">
        <v>2132</v>
      </c>
      <c r="Z8" s="3522"/>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5" t="s">
        <v>2135</v>
      </c>
      <c r="Q9" s="1477" t="str">
        <f t="shared" ref="Q9:Q15" si="6">B9</f>
        <v>用途</v>
      </c>
      <c r="R9" s="710" t="s">
        <v>17</v>
      </c>
      <c r="S9" s="711">
        <f t="shared" si="0"/>
        <v>100</v>
      </c>
      <c r="T9" s="710" t="s">
        <v>17</v>
      </c>
      <c r="U9" s="711">
        <f t="shared" si="1"/>
        <v>100</v>
      </c>
      <c r="V9" s="710" t="s">
        <v>17</v>
      </c>
      <c r="W9" s="711">
        <f t="shared" si="2"/>
        <v>100</v>
      </c>
      <c r="X9" s="712"/>
      <c r="Y9" s="335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5"/>
      <c r="Q10" s="1477" t="str">
        <f t="shared" si="6"/>
        <v>土地使用年限（年）</v>
      </c>
      <c r="R10" s="710" t="s">
        <v>17</v>
      </c>
      <c r="S10" s="711">
        <f t="shared" si="0"/>
        <v>100</v>
      </c>
      <c r="T10" s="710" t="s">
        <v>17</v>
      </c>
      <c r="U10" s="711">
        <f t="shared" si="1"/>
        <v>100</v>
      </c>
      <c r="V10" s="710" t="s">
        <v>17</v>
      </c>
      <c r="W10" s="711">
        <f t="shared" si="2"/>
        <v>100</v>
      </c>
      <c r="X10" s="712"/>
      <c r="Y10" s="3357"/>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5"/>
      <c r="Q11" s="1477" t="str">
        <f t="shared" si="6"/>
        <v>容积率</v>
      </c>
      <c r="R11" s="710" t="s">
        <v>17</v>
      </c>
      <c r="S11" s="711" t="e">
        <f t="shared" si="0"/>
        <v>#N/A</v>
      </c>
      <c r="T11" s="710" t="s">
        <v>17</v>
      </c>
      <c r="U11" s="711" t="e">
        <f t="shared" si="1"/>
        <v>#N/A</v>
      </c>
      <c r="V11" s="710" t="s">
        <v>17</v>
      </c>
      <c r="W11" s="711" t="e">
        <f t="shared" si="2"/>
        <v>#N/A</v>
      </c>
      <c r="X11" s="712"/>
      <c r="Y11" s="3357"/>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85"/>
      <c r="Q12" s="1477">
        <f t="shared" si="6"/>
        <v>111</v>
      </c>
      <c r="R12" s="710" t="s">
        <v>17</v>
      </c>
      <c r="S12" s="711">
        <f t="shared" si="0"/>
        <v>100</v>
      </c>
      <c r="T12" s="710" t="s">
        <v>17</v>
      </c>
      <c r="U12" s="711">
        <f t="shared" si="1"/>
        <v>100</v>
      </c>
      <c r="V12" s="710" t="s">
        <v>17</v>
      </c>
      <c r="W12" s="711">
        <f t="shared" si="2"/>
        <v>100</v>
      </c>
      <c r="X12" s="712"/>
      <c r="Y12" s="3357"/>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85"/>
      <c r="Q13" s="1477">
        <f t="shared" si="6"/>
        <v>111</v>
      </c>
      <c r="R13" s="710" t="s">
        <v>17</v>
      </c>
      <c r="S13" s="711">
        <f t="shared" si="0"/>
        <v>100</v>
      </c>
      <c r="T13" s="710" t="s">
        <v>17</v>
      </c>
      <c r="U13" s="711">
        <f t="shared" si="1"/>
        <v>100</v>
      </c>
      <c r="V13" s="710" t="s">
        <v>17</v>
      </c>
      <c r="W13" s="711">
        <f t="shared" si="2"/>
        <v>100</v>
      </c>
      <c r="X13" s="712"/>
      <c r="Y13" s="3357"/>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85"/>
      <c r="Q14" s="1477">
        <f t="shared" si="6"/>
        <v>111</v>
      </c>
      <c r="R14" s="710" t="s">
        <v>17</v>
      </c>
      <c r="S14" s="711">
        <f t="shared" si="0"/>
        <v>100</v>
      </c>
      <c r="T14" s="710" t="s">
        <v>17</v>
      </c>
      <c r="U14" s="711">
        <f t="shared" si="1"/>
        <v>100</v>
      </c>
      <c r="V14" s="710" t="s">
        <v>17</v>
      </c>
      <c r="W14" s="711">
        <f t="shared" si="2"/>
        <v>100</v>
      </c>
      <c r="X14" s="712"/>
      <c r="Y14" s="3357"/>
      <c r="Z14" s="55">
        <f t="shared" si="7"/>
        <v>111</v>
      </c>
      <c r="AA14" s="713">
        <f t="shared" si="3"/>
        <v>1</v>
      </c>
      <c r="AB14" s="713">
        <f t="shared" si="4"/>
        <v>1</v>
      </c>
      <c r="AC14" s="713">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7" t="s">
        <v>2140</v>
      </c>
      <c r="Q15" s="1486" t="str">
        <f t="shared" si="6"/>
        <v>产业集聚程度</v>
      </c>
      <c r="R15" s="714" t="s">
        <v>17</v>
      </c>
      <c r="S15" s="715">
        <f t="shared" si="0"/>
        <v>100</v>
      </c>
      <c r="T15" s="714" t="s">
        <v>17</v>
      </c>
      <c r="U15" s="715">
        <f t="shared" si="1"/>
        <v>100</v>
      </c>
      <c r="V15" s="714" t="s">
        <v>17</v>
      </c>
      <c r="W15" s="715">
        <f t="shared" si="2"/>
        <v>100</v>
      </c>
      <c r="X15" s="1489"/>
      <c r="Y15" s="3487" t="s">
        <v>2140</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88"/>
      <c r="Q16" s="1486"/>
      <c r="R16" s="714"/>
      <c r="S16" s="715"/>
      <c r="T16" s="714"/>
      <c r="U16" s="715"/>
      <c r="V16" s="714"/>
      <c r="W16" s="715"/>
      <c r="X16" s="1489"/>
      <c r="Y16" s="3488"/>
      <c r="Z16" s="1490"/>
      <c r="AA16" s="1487">
        <v>1</v>
      </c>
      <c r="AB16" s="1487">
        <v>1</v>
      </c>
      <c r="AC16" s="1487">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8"/>
      <c r="Q17" s="1486" t="str">
        <f>B17</f>
        <v>交通便捷度</v>
      </c>
      <c r="R17" s="714" t="s">
        <v>17</v>
      </c>
      <c r="S17" s="715">
        <f>F17</f>
        <v>100</v>
      </c>
      <c r="T17" s="714" t="s">
        <v>17</v>
      </c>
      <c r="U17" s="715">
        <f>H17</f>
        <v>100</v>
      </c>
      <c r="V17" s="714" t="s">
        <v>17</v>
      </c>
      <c r="W17" s="715">
        <f>J17</f>
        <v>100</v>
      </c>
      <c r="X17" s="1489"/>
      <c r="Y17" s="3488"/>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5"/>
      <c r="M18" s="1026"/>
      <c r="N18" s="1026"/>
      <c r="O18" s="1034"/>
      <c r="P18" s="3488"/>
      <c r="Q18" s="1486"/>
      <c r="R18" s="714"/>
      <c r="S18" s="715"/>
      <c r="T18" s="714"/>
      <c r="U18" s="715"/>
      <c r="V18" s="714"/>
      <c r="W18" s="715"/>
      <c r="X18" s="1489"/>
      <c r="Y18" s="3488"/>
      <c r="Z18" s="1490"/>
      <c r="AA18" s="1487">
        <v>1</v>
      </c>
      <c r="AB18" s="1487">
        <v>1</v>
      </c>
      <c r="AC18" s="1487">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8"/>
      <c r="Q19" s="1486" t="str">
        <f>B19</f>
        <v>公共配套设施</v>
      </c>
      <c r="R19" s="714" t="s">
        <v>17</v>
      </c>
      <c r="S19" s="715">
        <f>F19</f>
        <v>100</v>
      </c>
      <c r="T19" s="714" t="s">
        <v>17</v>
      </c>
      <c r="U19" s="715">
        <f>H19</f>
        <v>100</v>
      </c>
      <c r="V19" s="714" t="s">
        <v>17</v>
      </c>
      <c r="W19" s="715">
        <f>J19</f>
        <v>100</v>
      </c>
      <c r="X19" s="1489"/>
      <c r="Y19" s="3488"/>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5"/>
      <c r="M20" s="1026"/>
      <c r="N20" s="1026"/>
      <c r="O20" s="1034"/>
      <c r="P20" s="3488"/>
      <c r="Q20" s="1486"/>
      <c r="R20" s="714"/>
      <c r="S20" s="715"/>
      <c r="T20" s="714"/>
      <c r="U20" s="715"/>
      <c r="V20" s="714"/>
      <c r="W20" s="715"/>
      <c r="X20" s="1489"/>
      <c r="Y20" s="3488"/>
      <c r="Z20" s="1490"/>
      <c r="AA20" s="1487">
        <v>1</v>
      </c>
      <c r="AB20" s="1487">
        <v>1</v>
      </c>
      <c r="AC20" s="1487">
        <v>1</v>
      </c>
    </row>
    <row r="21" spans="1:29" ht="28.5">
      <c r="A21" s="387"/>
      <c r="B21" s="1246"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8"/>
      <c r="Q21" s="1486" t="str">
        <f>B21</f>
        <v>基础设施水平</v>
      </c>
      <c r="R21" s="714" t="s">
        <v>17</v>
      </c>
      <c r="S21" s="715">
        <f>F21</f>
        <v>100</v>
      </c>
      <c r="T21" s="714" t="s">
        <v>17</v>
      </c>
      <c r="U21" s="715">
        <f>H21</f>
        <v>100</v>
      </c>
      <c r="V21" s="714" t="s">
        <v>17</v>
      </c>
      <c r="W21" s="715">
        <f>J21</f>
        <v>100</v>
      </c>
      <c r="X21" s="1489"/>
      <c r="Y21" s="3488"/>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1035"/>
      <c r="M22" s="1026"/>
      <c r="N22" s="1026"/>
      <c r="O22" s="1034"/>
      <c r="P22" s="3488"/>
      <c r="Q22" s="1486"/>
      <c r="R22" s="714"/>
      <c r="S22" s="715"/>
      <c r="T22" s="714"/>
      <c r="U22" s="715"/>
      <c r="V22" s="714"/>
      <c r="W22" s="715"/>
      <c r="X22" s="1489"/>
      <c r="Y22" s="3488"/>
      <c r="Z22" s="1490"/>
      <c r="AA22" s="1487">
        <v>1</v>
      </c>
      <c r="AB22" s="1487">
        <v>1</v>
      </c>
      <c r="AC22" s="1487">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8"/>
      <c r="Q23" s="1486" t="str">
        <f>B23</f>
        <v>环境质量</v>
      </c>
      <c r="R23" s="714" t="s">
        <v>17</v>
      </c>
      <c r="S23" s="715">
        <f>F23</f>
        <v>100</v>
      </c>
      <c r="T23" s="714" t="s">
        <v>17</v>
      </c>
      <c r="U23" s="715">
        <f>H23</f>
        <v>100</v>
      </c>
      <c r="V23" s="714" t="s">
        <v>17</v>
      </c>
      <c r="W23" s="715">
        <f>J23</f>
        <v>100</v>
      </c>
      <c r="X23" s="1489"/>
      <c r="Y23" s="3488"/>
      <c r="Z23" s="1490" t="str">
        <f>Q23</f>
        <v>环境质量</v>
      </c>
      <c r="AA23" s="1487">
        <f t="shared" si="3"/>
        <v>1</v>
      </c>
      <c r="AB23" s="1487">
        <f t="shared" si="4"/>
        <v>1</v>
      </c>
      <c r="AC23" s="1487">
        <f t="shared" si="5"/>
        <v>1</v>
      </c>
    </row>
    <row r="24" spans="1:29" ht="15">
      <c r="A24" s="387"/>
      <c r="B24" s="1246"/>
      <c r="C24" s="406"/>
      <c r="D24" s="407"/>
      <c r="E24" s="2034"/>
      <c r="F24" s="408"/>
      <c r="G24" s="2033"/>
      <c r="H24" s="407"/>
      <c r="I24" s="2034"/>
      <c r="J24" s="407"/>
      <c r="K24" s="572"/>
      <c r="L24" s="1035"/>
      <c r="M24" s="1026"/>
      <c r="N24" s="1026"/>
      <c r="O24" s="1034"/>
      <c r="P24" s="3488"/>
      <c r="Q24" s="1486"/>
      <c r="R24" s="714"/>
      <c r="S24" s="715"/>
      <c r="T24" s="714"/>
      <c r="U24" s="715"/>
      <c r="V24" s="714"/>
      <c r="W24" s="715"/>
      <c r="X24" s="1489"/>
      <c r="Y24" s="3488"/>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8"/>
      <c r="Q25" s="1486">
        <f>B25</f>
        <v>111</v>
      </c>
      <c r="R25" s="714" t="s">
        <v>17</v>
      </c>
      <c r="S25" s="715">
        <f>F25</f>
        <v>100</v>
      </c>
      <c r="T25" s="714" t="s">
        <v>17</v>
      </c>
      <c r="U25" s="715">
        <f>H25</f>
        <v>100</v>
      </c>
      <c r="V25" s="714" t="s">
        <v>17</v>
      </c>
      <c r="W25" s="715">
        <f>J25</f>
        <v>100</v>
      </c>
      <c r="X25" s="1489"/>
      <c r="Y25" s="3488"/>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8"/>
      <c r="Q26" s="1486">
        <f t="shared" ref="Q26:Q40" si="11">B26</f>
        <v>111</v>
      </c>
      <c r="R26" s="714" t="s">
        <v>17</v>
      </c>
      <c r="S26" s="715">
        <f>F26</f>
        <v>100</v>
      </c>
      <c r="T26" s="714" t="s">
        <v>17</v>
      </c>
      <c r="U26" s="715">
        <f>H26</f>
        <v>100</v>
      </c>
      <c r="V26" s="714" t="s">
        <v>17</v>
      </c>
      <c r="W26" s="715">
        <f>J26</f>
        <v>100</v>
      </c>
      <c r="X26" s="1489"/>
      <c r="Y26" s="3488"/>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8"/>
      <c r="Q27" s="1477">
        <f t="shared" si="11"/>
        <v>111</v>
      </c>
      <c r="R27" s="710" t="s">
        <v>17</v>
      </c>
      <c r="S27" s="711">
        <f>F27</f>
        <v>100</v>
      </c>
      <c r="T27" s="710" t="s">
        <v>17</v>
      </c>
      <c r="U27" s="711">
        <f>H27</f>
        <v>100</v>
      </c>
      <c r="V27" s="710" t="s">
        <v>17</v>
      </c>
      <c r="W27" s="711">
        <f>J27</f>
        <v>100</v>
      </c>
      <c r="X27" s="712"/>
      <c r="Y27" s="3488"/>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8"/>
      <c r="Q28" s="1486">
        <f t="shared" si="11"/>
        <v>111</v>
      </c>
      <c r="R28" s="714" t="s">
        <v>17</v>
      </c>
      <c r="S28" s="715">
        <f t="shared" ref="S28:S40" si="12">F28</f>
        <v>100</v>
      </c>
      <c r="T28" s="714" t="s">
        <v>17</v>
      </c>
      <c r="U28" s="715">
        <f t="shared" ref="U28:U40" si="13">H28</f>
        <v>100</v>
      </c>
      <c r="V28" s="714" t="s">
        <v>17</v>
      </c>
      <c r="W28" s="715">
        <f t="shared" ref="W28:W40" si="14">J28</f>
        <v>100</v>
      </c>
      <c r="X28" s="1489"/>
      <c r="Y28" s="3488"/>
      <c r="Z28" s="1490">
        <f t="shared" ref="Z28:Z40" si="15">Q28</f>
        <v>111</v>
      </c>
      <c r="AA28" s="1487">
        <f t="shared" si="3"/>
        <v>1</v>
      </c>
      <c r="AB28" s="1487">
        <f t="shared" si="4"/>
        <v>1</v>
      </c>
      <c r="AC28" s="1487">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43" t="s">
        <v>2145</v>
      </c>
      <c r="Q29" s="1486" t="str">
        <f t="shared" si="11"/>
        <v>建筑类型</v>
      </c>
      <c r="R29" s="714" t="s">
        <v>17</v>
      </c>
      <c r="S29" s="715">
        <f t="shared" si="12"/>
        <v>100</v>
      </c>
      <c r="T29" s="714" t="s">
        <v>17</v>
      </c>
      <c r="U29" s="715">
        <f t="shared" si="13"/>
        <v>100</v>
      </c>
      <c r="V29" s="714" t="s">
        <v>17</v>
      </c>
      <c r="W29" s="715">
        <f t="shared" si="14"/>
        <v>100</v>
      </c>
      <c r="X29" s="1489"/>
      <c r="Y29" s="3492" t="s">
        <v>2145</v>
      </c>
      <c r="Z29" s="1490" t="str">
        <f t="shared" si="15"/>
        <v>建筑类型</v>
      </c>
      <c r="AA29" s="1487">
        <f t="shared" si="3"/>
        <v>1</v>
      </c>
      <c r="AB29" s="1487">
        <f t="shared" si="4"/>
        <v>1</v>
      </c>
      <c r="AC29" s="1487">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2"/>
      <c r="Q30" s="716" t="str">
        <f t="shared" si="11"/>
        <v>项目建筑规模</v>
      </c>
      <c r="R30" s="717" t="s">
        <v>17</v>
      </c>
      <c r="S30" s="718" t="e">
        <f t="shared" si="12"/>
        <v>#N/A</v>
      </c>
      <c r="T30" s="717" t="s">
        <v>17</v>
      </c>
      <c r="U30" s="718" t="e">
        <f t="shared" si="13"/>
        <v>#N/A</v>
      </c>
      <c r="V30" s="717" t="s">
        <v>17</v>
      </c>
      <c r="W30" s="718" t="e">
        <f t="shared" si="14"/>
        <v>#N/A</v>
      </c>
      <c r="X30" s="719"/>
      <c r="Y30" s="3492"/>
      <c r="Z30" s="720" t="str">
        <f t="shared" si="15"/>
        <v>项目建筑规模</v>
      </c>
      <c r="AA30" s="1487" t="e">
        <f t="shared" si="3"/>
        <v>#N/A</v>
      </c>
      <c r="AB30" s="1487" t="e">
        <f t="shared" si="4"/>
        <v>#N/A</v>
      </c>
      <c r="AC30" s="1487"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2"/>
      <c r="Q31" s="1486" t="str">
        <f t="shared" si="11"/>
        <v>建筑结构</v>
      </c>
      <c r="R31" s="714" t="s">
        <v>17</v>
      </c>
      <c r="S31" s="715">
        <f t="shared" si="12"/>
        <v>100</v>
      </c>
      <c r="T31" s="714" t="s">
        <v>17</v>
      </c>
      <c r="U31" s="715">
        <f t="shared" si="13"/>
        <v>100</v>
      </c>
      <c r="V31" s="714" t="s">
        <v>17</v>
      </c>
      <c r="W31" s="715">
        <f t="shared" si="14"/>
        <v>100</v>
      </c>
      <c r="X31" s="1489"/>
      <c r="Y31" s="3492"/>
      <c r="Z31" s="1490" t="str">
        <f t="shared" si="15"/>
        <v>建筑结构</v>
      </c>
      <c r="AA31" s="1487">
        <f t="shared" si="3"/>
        <v>1</v>
      </c>
      <c r="AB31" s="1487">
        <f t="shared" si="4"/>
        <v>1</v>
      </c>
      <c r="AC31" s="1487">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2"/>
      <c r="Q32" s="1486" t="str">
        <f t="shared" si="11"/>
        <v>公共部分装修</v>
      </c>
      <c r="R32" s="714" t="s">
        <v>17</v>
      </c>
      <c r="S32" s="715">
        <f t="shared" si="12"/>
        <v>100</v>
      </c>
      <c r="T32" s="714" t="s">
        <v>17</v>
      </c>
      <c r="U32" s="715">
        <f t="shared" si="13"/>
        <v>100</v>
      </c>
      <c r="V32" s="714" t="s">
        <v>17</v>
      </c>
      <c r="W32" s="715">
        <f t="shared" si="14"/>
        <v>100</v>
      </c>
      <c r="X32" s="1489"/>
      <c r="Y32" s="3492"/>
      <c r="Z32" s="1490" t="str">
        <f t="shared" si="15"/>
        <v>公共部分装修</v>
      </c>
      <c r="AA32" s="1487">
        <f t="shared" si="3"/>
        <v>1</v>
      </c>
      <c r="AB32" s="1487">
        <f t="shared" si="4"/>
        <v>1</v>
      </c>
      <c r="AC32" s="1487">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2"/>
      <c r="Q33" s="1486" t="str">
        <f t="shared" si="11"/>
        <v>成新度</v>
      </c>
      <c r="R33" s="714" t="s">
        <v>17</v>
      </c>
      <c r="S33" s="715" t="e">
        <f t="shared" si="12"/>
        <v>#N/A</v>
      </c>
      <c r="T33" s="714" t="s">
        <v>17</v>
      </c>
      <c r="U33" s="715" t="e">
        <f t="shared" si="13"/>
        <v>#N/A</v>
      </c>
      <c r="V33" s="714" t="s">
        <v>17</v>
      </c>
      <c r="W33" s="715" t="e">
        <f t="shared" si="14"/>
        <v>#N/A</v>
      </c>
      <c r="X33" s="1489"/>
      <c r="Y33" s="3492"/>
      <c r="Z33" s="1490" t="str">
        <f t="shared" si="15"/>
        <v>成新度</v>
      </c>
      <c r="AA33" s="1487" t="e">
        <f t="shared" si="3"/>
        <v>#N/A</v>
      </c>
      <c r="AB33" s="1487" t="e">
        <f t="shared" si="4"/>
        <v>#N/A</v>
      </c>
      <c r="AC33" s="1487"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2"/>
      <c r="Q34" s="1477" t="str">
        <f t="shared" si="11"/>
        <v>物业管理</v>
      </c>
      <c r="R34" s="710" t="s">
        <v>17</v>
      </c>
      <c r="S34" s="711">
        <f t="shared" si="12"/>
        <v>100</v>
      </c>
      <c r="T34" s="710" t="s">
        <v>17</v>
      </c>
      <c r="U34" s="711">
        <f t="shared" si="13"/>
        <v>100</v>
      </c>
      <c r="V34" s="710" t="s">
        <v>17</v>
      </c>
      <c r="W34" s="711">
        <f t="shared" si="14"/>
        <v>100</v>
      </c>
      <c r="X34" s="712"/>
      <c r="Y34" s="3492"/>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2" t="s">
        <v>2145</v>
      </c>
      <c r="Q35" s="1486" t="str">
        <f t="shared" si="11"/>
        <v>市政基础设施</v>
      </c>
      <c r="R35" s="714" t="s">
        <v>17</v>
      </c>
      <c r="S35" s="715">
        <f t="shared" si="12"/>
        <v>100</v>
      </c>
      <c r="T35" s="714" t="s">
        <v>17</v>
      </c>
      <c r="U35" s="715">
        <f t="shared" si="13"/>
        <v>100</v>
      </c>
      <c r="V35" s="714" t="s">
        <v>17</v>
      </c>
      <c r="W35" s="715">
        <f t="shared" si="14"/>
        <v>100</v>
      </c>
      <c r="X35" s="1489"/>
      <c r="Y35" s="3492" t="s">
        <v>2145</v>
      </c>
      <c r="Z35" s="1490" t="str">
        <f t="shared" si="15"/>
        <v>市政基础设施</v>
      </c>
      <c r="AA35" s="1487">
        <f t="shared" si="3"/>
        <v>1</v>
      </c>
      <c r="AB35" s="1487">
        <f t="shared" si="4"/>
        <v>1</v>
      </c>
      <c r="AC35" s="1487">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2"/>
      <c r="Q36" s="1486" t="str">
        <f t="shared" si="11"/>
        <v>内部装修</v>
      </c>
      <c r="R36" s="714" t="s">
        <v>17</v>
      </c>
      <c r="S36" s="715">
        <f t="shared" si="12"/>
        <v>100</v>
      </c>
      <c r="T36" s="714" t="s">
        <v>17</v>
      </c>
      <c r="U36" s="715">
        <f t="shared" si="13"/>
        <v>100</v>
      </c>
      <c r="V36" s="714" t="s">
        <v>17</v>
      </c>
      <c r="W36" s="715">
        <f t="shared" si="14"/>
        <v>100</v>
      </c>
      <c r="X36" s="1489"/>
      <c r="Y36" s="3492"/>
      <c r="Z36" s="1490" t="str">
        <f t="shared" si="15"/>
        <v>内部装修</v>
      </c>
      <c r="AA36" s="1487">
        <f t="shared" si="3"/>
        <v>1</v>
      </c>
      <c r="AB36" s="1487">
        <f t="shared" si="4"/>
        <v>1</v>
      </c>
      <c r="AC36" s="1487">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2"/>
      <c r="Q37" s="1486" t="str">
        <f t="shared" si="11"/>
        <v>内部装修状况</v>
      </c>
      <c r="R37" s="714" t="s">
        <v>17</v>
      </c>
      <c r="S37" s="715">
        <f t="shared" si="12"/>
        <v>100</v>
      </c>
      <c r="T37" s="714" t="s">
        <v>17</v>
      </c>
      <c r="U37" s="715">
        <f t="shared" si="13"/>
        <v>100</v>
      </c>
      <c r="V37" s="714" t="s">
        <v>17</v>
      </c>
      <c r="W37" s="715">
        <f t="shared" si="14"/>
        <v>100</v>
      </c>
      <c r="X37" s="1489"/>
      <c r="Y37" s="3492"/>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2"/>
      <c r="Q38" s="716">
        <f t="shared" si="11"/>
        <v>111</v>
      </c>
      <c r="R38" s="717" t="s">
        <v>17</v>
      </c>
      <c r="S38" s="718">
        <f t="shared" si="12"/>
        <v>100</v>
      </c>
      <c r="T38" s="717" t="s">
        <v>17</v>
      </c>
      <c r="U38" s="718">
        <f t="shared" si="13"/>
        <v>100</v>
      </c>
      <c r="V38" s="717" t="s">
        <v>17</v>
      </c>
      <c r="W38" s="718">
        <f t="shared" si="14"/>
        <v>100</v>
      </c>
      <c r="X38" s="719"/>
      <c r="Y38" s="3492"/>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2"/>
      <c r="Q39" s="1486">
        <f t="shared" si="11"/>
        <v>111</v>
      </c>
      <c r="R39" s="714" t="s">
        <v>17</v>
      </c>
      <c r="S39" s="715">
        <f t="shared" si="12"/>
        <v>100</v>
      </c>
      <c r="T39" s="714" t="s">
        <v>17</v>
      </c>
      <c r="U39" s="715">
        <f t="shared" si="13"/>
        <v>100</v>
      </c>
      <c r="V39" s="714" t="s">
        <v>17</v>
      </c>
      <c r="W39" s="715">
        <f t="shared" si="14"/>
        <v>100</v>
      </c>
      <c r="X39" s="1489"/>
      <c r="Y39" s="3492"/>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3"/>
      <c r="Q40" s="1486">
        <f t="shared" si="11"/>
        <v>111</v>
      </c>
      <c r="R40" s="714" t="s">
        <v>17</v>
      </c>
      <c r="S40" s="715">
        <f t="shared" si="12"/>
        <v>100</v>
      </c>
      <c r="T40" s="714" t="s">
        <v>17</v>
      </c>
      <c r="U40" s="715">
        <f t="shared" si="13"/>
        <v>100</v>
      </c>
      <c r="V40" s="714" t="s">
        <v>17</v>
      </c>
      <c r="W40" s="715">
        <f t="shared" si="14"/>
        <v>100</v>
      </c>
      <c r="X40" s="1489"/>
      <c r="Y40" s="3493"/>
      <c r="Z40" s="1490">
        <f t="shared" si="15"/>
        <v>111</v>
      </c>
      <c r="AA40" s="1487">
        <f t="shared" si="3"/>
        <v>1</v>
      </c>
      <c r="AB40" s="1487">
        <f t="shared" si="4"/>
        <v>1</v>
      </c>
      <c r="AC40" s="1487">
        <f t="shared" si="5"/>
        <v>1</v>
      </c>
    </row>
    <row r="41" spans="1:29" ht="15">
      <c r="A41" s="438" t="s">
        <v>2157</v>
      </c>
      <c r="B41" s="439"/>
      <c r="C41" s="1269" t="s">
        <v>1</v>
      </c>
      <c r="D41" s="1270"/>
      <c r="E41" s="1271"/>
      <c r="F41" s="1272"/>
      <c r="G41" s="1273"/>
      <c r="H41" s="1274"/>
      <c r="I41" s="1271"/>
      <c r="J41" s="1274"/>
      <c r="K41" s="723"/>
      <c r="L41" s="1038"/>
      <c r="M41" s="1039"/>
      <c r="N41" s="1026"/>
      <c r="O41" s="1039"/>
      <c r="P41" s="3485" t="str">
        <f>A41</f>
        <v>成交单价（元/平方米）</v>
      </c>
      <c r="Q41" s="3485"/>
      <c r="R41" s="3486">
        <f>E41</f>
        <v>0</v>
      </c>
      <c r="S41" s="3486"/>
      <c r="T41" s="3486">
        <f>G41</f>
        <v>0</v>
      </c>
      <c r="U41" s="3486"/>
      <c r="V41" s="3486">
        <f>I41</f>
        <v>0</v>
      </c>
      <c r="W41" s="3486"/>
      <c r="X41" s="699"/>
      <c r="Y41" s="721"/>
      <c r="Z41" s="699"/>
      <c r="AA41" s="699"/>
      <c r="AB41" s="699"/>
      <c r="AC41" s="699"/>
    </row>
    <row r="42" spans="1:29" ht="15.75" thickBot="1">
      <c r="A42" s="445" t="s">
        <v>2249</v>
      </c>
      <c r="B42" s="446"/>
      <c r="C42" s="1275" t="e">
        <f>R43</f>
        <v>#DIV/0!</v>
      </c>
      <c r="D42" s="2488" t="s">
        <v>2638</v>
      </c>
      <c r="E42" s="1276" t="e">
        <f>R42</f>
        <v>#DIV/0!</v>
      </c>
      <c r="F42" s="2489"/>
      <c r="G42" s="1275" t="e">
        <f>T42</f>
        <v>#DIV/0!</v>
      </c>
      <c r="H42" s="2489"/>
      <c r="I42" s="1276" t="e">
        <f>V42</f>
        <v>#DIV/0!</v>
      </c>
      <c r="J42" s="2489"/>
      <c r="K42" s="2491">
        <f>F42+H42+J42</f>
        <v>0</v>
      </c>
      <c r="L42" s="1038"/>
      <c r="M42" s="1039"/>
      <c r="N42" s="1026"/>
      <c r="O42" s="1039"/>
      <c r="P42" s="3485" t="str">
        <f>A42</f>
        <v>比较价值（元/平方米）</v>
      </c>
      <c r="Q42" s="3485"/>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2" t="str">
        <f>A43</f>
        <v>估价对象XX用房的比较价值（楼面单价，元/平方米）</v>
      </c>
      <c r="Q43" s="3483"/>
      <c r="R43" s="3484" t="e">
        <f>IF(F1="售价",ROUND(IF(D42="简单平均",AVERAGE(R42:V42),R42*F42+T42*H42+V42*J42),0),ROUND(IF(D42="简单平均",AVERAGE(R42:V42),R42*F42+T42*H42+V42*J42),1))</f>
        <v>#DIV/0!</v>
      </c>
      <c r="S43" s="3484"/>
      <c r="T43" s="3484"/>
      <c r="U43" s="3484"/>
      <c r="V43" s="3484"/>
      <c r="W43" s="3484"/>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8" t="str">
        <f>YEAR(C7)&amp;"-"&amp;MONTH(C7)</f>
        <v>2022-9</v>
      </c>
      <c r="D52" s="1299">
        <f>EDATE(C52,-1)</f>
        <v>44774</v>
      </c>
      <c r="E52" s="1299">
        <f t="shared" ref="E52:O52" si="16">EDATE(D52,-1)</f>
        <v>44743</v>
      </c>
      <c r="F52" s="1299">
        <f t="shared" si="16"/>
        <v>44713</v>
      </c>
      <c r="G52" s="1299">
        <f t="shared" si="16"/>
        <v>44682</v>
      </c>
      <c r="H52" s="1299">
        <f t="shared" si="16"/>
        <v>44652</v>
      </c>
      <c r="I52" s="1299">
        <f t="shared" si="16"/>
        <v>44621</v>
      </c>
      <c r="J52" s="1299">
        <f t="shared" si="16"/>
        <v>44593</v>
      </c>
      <c r="K52" s="1299">
        <f t="shared" si="16"/>
        <v>44562</v>
      </c>
      <c r="L52" s="1299">
        <f t="shared" si="16"/>
        <v>44531</v>
      </c>
      <c r="M52" s="1299">
        <f t="shared" si="16"/>
        <v>44501</v>
      </c>
      <c r="N52" s="1299">
        <f t="shared" si="16"/>
        <v>44470</v>
      </c>
      <c r="O52" s="1299">
        <f t="shared" si="16"/>
        <v>44440</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9"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500" t="s">
        <v>2226</v>
      </c>
      <c r="D4" s="3501"/>
      <c r="E4" s="3502" t="s">
        <v>2227</v>
      </c>
      <c r="F4" s="3503"/>
      <c r="G4" s="3500" t="s">
        <v>2228</v>
      </c>
      <c r="H4" s="3501"/>
      <c r="I4" s="3500" t="s">
        <v>2229</v>
      </c>
      <c r="J4" s="3501"/>
      <c r="K4" s="567" t="s">
        <v>2230</v>
      </c>
      <c r="L4" s="2893"/>
      <c r="M4" s="2894"/>
      <c r="N4" s="2894"/>
      <c r="O4" s="2894"/>
      <c r="P4" s="3504" t="s">
        <v>2231</v>
      </c>
      <c r="Q4" s="3505"/>
      <c r="R4" s="3510" t="s">
        <v>2227</v>
      </c>
      <c r="S4" s="3511"/>
      <c r="T4" s="3510" t="s">
        <v>2228</v>
      </c>
      <c r="U4" s="3511"/>
      <c r="V4" s="3516" t="s">
        <v>2229</v>
      </c>
      <c r="W4" s="3516"/>
      <c r="X4" s="1489"/>
      <c r="Y4" s="3510" t="s">
        <v>2231</v>
      </c>
      <c r="Z4" s="3511"/>
      <c r="AA4" s="3497" t="s">
        <v>2227</v>
      </c>
      <c r="AB4" s="3498" t="s">
        <v>2228</v>
      </c>
      <c r="AC4" s="3497" t="s">
        <v>2229</v>
      </c>
    </row>
    <row r="5" spans="1:29" ht="15">
      <c r="A5" s="364"/>
      <c r="B5" s="365"/>
      <c r="C5" s="3519" t="s">
        <v>2122</v>
      </c>
      <c r="D5" s="3520"/>
      <c r="E5" s="3526" t="s">
        <v>2123</v>
      </c>
      <c r="F5" s="3527"/>
      <c r="G5" s="3519" t="s">
        <v>2124</v>
      </c>
      <c r="H5" s="3520"/>
      <c r="I5" s="3519" t="s">
        <v>2125</v>
      </c>
      <c r="J5" s="3520"/>
      <c r="K5" s="567"/>
      <c r="L5" s="2893"/>
      <c r="M5" s="2894"/>
      <c r="N5" s="2894"/>
      <c r="O5" s="2894"/>
      <c r="P5" s="3506"/>
      <c r="Q5" s="3507"/>
      <c r="R5" s="3512"/>
      <c r="S5" s="3513"/>
      <c r="T5" s="3512"/>
      <c r="U5" s="3513"/>
      <c r="V5" s="3516"/>
      <c r="W5" s="3516"/>
      <c r="X5" s="1489"/>
      <c r="Y5" s="3512"/>
      <c r="Z5" s="3513"/>
      <c r="AA5" s="3498"/>
      <c r="AB5" s="3498"/>
      <c r="AC5" s="3498"/>
    </row>
    <row r="6" spans="1:29" ht="15.75" thickBot="1">
      <c r="A6" s="366"/>
      <c r="B6" s="367"/>
      <c r="C6" s="3517" t="s">
        <v>2126</v>
      </c>
      <c r="D6" s="3518"/>
      <c r="E6" s="3524" t="s">
        <v>2126</v>
      </c>
      <c r="F6" s="3525"/>
      <c r="G6" s="3517" t="s">
        <v>2126</v>
      </c>
      <c r="H6" s="3518"/>
      <c r="I6" s="3517" t="s">
        <v>2126</v>
      </c>
      <c r="J6" s="3518"/>
      <c r="K6" s="567" t="s">
        <v>2127</v>
      </c>
      <c r="L6" s="2893"/>
      <c r="M6" s="2894"/>
      <c r="N6" s="2894"/>
      <c r="O6" s="2894"/>
      <c r="P6" s="3508"/>
      <c r="Q6" s="3509"/>
      <c r="R6" s="3512"/>
      <c r="S6" s="3513"/>
      <c r="T6" s="3514"/>
      <c r="U6" s="3515"/>
      <c r="V6" s="3516"/>
      <c r="W6" s="3516"/>
      <c r="X6" s="1489"/>
      <c r="Y6" s="3514"/>
      <c r="Z6" s="3515"/>
      <c r="AA6" s="3499"/>
      <c r="AB6" s="3499"/>
      <c r="AC6" s="3499"/>
    </row>
    <row r="7" spans="1:29" s="113" customFormat="1" ht="15.75" thickBot="1">
      <c r="A7" s="368" t="s">
        <v>2128</v>
      </c>
      <c r="B7" s="369"/>
      <c r="C7" s="370">
        <f>'数据-取费表'!B2</f>
        <v>44827</v>
      </c>
      <c r="D7" s="371">
        <v>100</v>
      </c>
      <c r="E7" s="372"/>
      <c r="F7" s="373">
        <f>SUMIF(48:48,YEAR(E7)&amp;"-"&amp;MONTH(E7),49:49)</f>
        <v>0</v>
      </c>
      <c r="G7" s="372"/>
      <c r="H7" s="371">
        <f>SUMIF(48:48,YEAR(G7)&amp;"-"&amp;MONTH(G7),49:49)</f>
        <v>0</v>
      </c>
      <c r="I7" s="372"/>
      <c r="J7" s="371">
        <f>SUMIF(48:48,YEAR(I7)&amp;"-"&amp;MONTH(I7),49:49)</f>
        <v>0</v>
      </c>
      <c r="K7" s="568"/>
      <c r="L7" s="2895"/>
      <c r="M7" s="2896"/>
      <c r="N7" s="2896"/>
      <c r="O7" s="2896"/>
      <c r="P7" s="3521" t="s">
        <v>2129</v>
      </c>
      <c r="Q7" s="3523"/>
      <c r="R7" s="710" t="s">
        <v>17</v>
      </c>
      <c r="S7" s="711">
        <f t="shared" ref="S7:S14" si="0">F7</f>
        <v>0</v>
      </c>
      <c r="T7" s="710" t="s">
        <v>17</v>
      </c>
      <c r="U7" s="711">
        <f t="shared" ref="U7:U14" si="1">H7</f>
        <v>0</v>
      </c>
      <c r="V7" s="710" t="s">
        <v>17</v>
      </c>
      <c r="W7" s="711">
        <f t="shared" ref="W7:W14" si="2">J7</f>
        <v>0</v>
      </c>
      <c r="X7" s="712"/>
      <c r="Y7" s="3521" t="s">
        <v>2129</v>
      </c>
      <c r="Z7" s="3522"/>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521" t="s">
        <v>2132</v>
      </c>
      <c r="Q8" s="3522"/>
      <c r="R8" s="710" t="s">
        <v>17</v>
      </c>
      <c r="S8" s="711">
        <f t="shared" si="0"/>
        <v>0</v>
      </c>
      <c r="T8" s="710" t="s">
        <v>17</v>
      </c>
      <c r="U8" s="711">
        <f t="shared" si="1"/>
        <v>0</v>
      </c>
      <c r="V8" s="710" t="s">
        <v>17</v>
      </c>
      <c r="W8" s="711">
        <f t="shared" si="2"/>
        <v>0</v>
      </c>
      <c r="X8" s="712"/>
      <c r="Y8" s="3521" t="s">
        <v>2132</v>
      </c>
      <c r="Z8" s="3522"/>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85" t="s">
        <v>2135</v>
      </c>
      <c r="Q9" s="1477" t="str">
        <f t="shared" ref="Q9:Q14" si="6">B9</f>
        <v>用途</v>
      </c>
      <c r="R9" s="710" t="s">
        <v>17</v>
      </c>
      <c r="S9" s="711">
        <f t="shared" si="0"/>
        <v>100</v>
      </c>
      <c r="T9" s="710" t="s">
        <v>17</v>
      </c>
      <c r="U9" s="711">
        <f t="shared" si="1"/>
        <v>100</v>
      </c>
      <c r="V9" s="710" t="s">
        <v>17</v>
      </c>
      <c r="W9" s="711">
        <f t="shared" si="2"/>
        <v>100</v>
      </c>
      <c r="X9" s="712"/>
      <c r="Y9" s="3357"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85"/>
      <c r="Q10" s="1477" t="str">
        <f t="shared" si="6"/>
        <v>土地使用年限（年）</v>
      </c>
      <c r="R10" s="710" t="s">
        <v>17</v>
      </c>
      <c r="S10" s="711">
        <f t="shared" si="0"/>
        <v>100</v>
      </c>
      <c r="T10" s="710" t="s">
        <v>17</v>
      </c>
      <c r="U10" s="711">
        <f t="shared" si="1"/>
        <v>100</v>
      </c>
      <c r="V10" s="710" t="s">
        <v>17</v>
      </c>
      <c r="W10" s="711">
        <f t="shared" si="2"/>
        <v>100</v>
      </c>
      <c r="X10" s="712"/>
      <c r="Y10" s="335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85"/>
      <c r="Q11" s="1477">
        <f t="shared" si="6"/>
        <v>111</v>
      </c>
      <c r="R11" s="710" t="s">
        <v>17</v>
      </c>
      <c r="S11" s="711">
        <f t="shared" si="0"/>
        <v>100</v>
      </c>
      <c r="T11" s="710" t="s">
        <v>17</v>
      </c>
      <c r="U11" s="711">
        <f t="shared" si="1"/>
        <v>100</v>
      </c>
      <c r="V11" s="710" t="s">
        <v>17</v>
      </c>
      <c r="W11" s="711">
        <f t="shared" si="2"/>
        <v>100</v>
      </c>
      <c r="X11" s="712"/>
      <c r="Y11" s="335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85"/>
      <c r="Q12" s="1477">
        <f t="shared" si="6"/>
        <v>111</v>
      </c>
      <c r="R12" s="710" t="s">
        <v>17</v>
      </c>
      <c r="S12" s="711">
        <f t="shared" si="0"/>
        <v>100</v>
      </c>
      <c r="T12" s="710" t="s">
        <v>17</v>
      </c>
      <c r="U12" s="711">
        <f t="shared" si="1"/>
        <v>100</v>
      </c>
      <c r="V12" s="710" t="s">
        <v>17</v>
      </c>
      <c r="W12" s="711">
        <f t="shared" si="2"/>
        <v>100</v>
      </c>
      <c r="X12" s="712"/>
      <c r="Y12" s="335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85"/>
      <c r="Q13" s="1477">
        <f t="shared" si="6"/>
        <v>111</v>
      </c>
      <c r="R13" s="710" t="s">
        <v>17</v>
      </c>
      <c r="S13" s="711">
        <f t="shared" si="0"/>
        <v>100</v>
      </c>
      <c r="T13" s="710" t="s">
        <v>17</v>
      </c>
      <c r="U13" s="711">
        <f t="shared" si="1"/>
        <v>100</v>
      </c>
      <c r="V13" s="710" t="s">
        <v>17</v>
      </c>
      <c r="W13" s="711">
        <f t="shared" si="2"/>
        <v>100</v>
      </c>
      <c r="X13" s="712"/>
      <c r="Y13" s="3357"/>
      <c r="Z13" s="55">
        <f t="shared" si="7"/>
        <v>111</v>
      </c>
      <c r="AA13" s="713">
        <f t="shared" si="3"/>
        <v>1</v>
      </c>
      <c r="AB13" s="713">
        <f t="shared" si="4"/>
        <v>1</v>
      </c>
      <c r="AC13" s="713">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87" t="s">
        <v>2140</v>
      </c>
      <c r="Q14" s="1486" t="str">
        <f t="shared" si="6"/>
        <v>交通便捷度</v>
      </c>
      <c r="R14" s="714" t="s">
        <v>17</v>
      </c>
      <c r="S14" s="715">
        <f t="shared" si="0"/>
        <v>100</v>
      </c>
      <c r="T14" s="714" t="s">
        <v>17</v>
      </c>
      <c r="U14" s="715">
        <f t="shared" si="1"/>
        <v>100</v>
      </c>
      <c r="V14" s="714" t="s">
        <v>17</v>
      </c>
      <c r="W14" s="715">
        <f t="shared" si="2"/>
        <v>100</v>
      </c>
      <c r="X14" s="1489"/>
      <c r="Y14" s="3487" t="s">
        <v>2140</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900"/>
      <c r="M15" s="2894"/>
      <c r="N15" s="2894"/>
      <c r="O15" s="2894"/>
      <c r="P15" s="3488"/>
      <c r="Q15" s="1486"/>
      <c r="R15" s="714"/>
      <c r="S15" s="715"/>
      <c r="T15" s="714"/>
      <c r="U15" s="715"/>
      <c r="V15" s="714"/>
      <c r="W15" s="715"/>
      <c r="X15" s="1489"/>
      <c r="Y15" s="3488"/>
      <c r="Z15" s="1490"/>
      <c r="AA15" s="1487">
        <v>1</v>
      </c>
      <c r="AB15" s="1487">
        <v>1</v>
      </c>
      <c r="AC15" s="1487">
        <v>1</v>
      </c>
    </row>
    <row r="16" spans="1:29" ht="42.7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88"/>
      <c r="Q16" s="1486" t="str">
        <f>B16</f>
        <v>公共配套设施</v>
      </c>
      <c r="R16" s="714" t="s">
        <v>17</v>
      </c>
      <c r="S16" s="715">
        <f>F16</f>
        <v>100</v>
      </c>
      <c r="T16" s="714" t="s">
        <v>17</v>
      </c>
      <c r="U16" s="715">
        <f>H16</f>
        <v>100</v>
      </c>
      <c r="V16" s="714" t="s">
        <v>17</v>
      </c>
      <c r="W16" s="715">
        <f>J16</f>
        <v>100</v>
      </c>
      <c r="X16" s="1489"/>
      <c r="Y16" s="3488"/>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900"/>
      <c r="M17" s="2894"/>
      <c r="N17" s="2894"/>
      <c r="O17" s="2894"/>
      <c r="P17" s="3488"/>
      <c r="Q17" s="1486"/>
      <c r="R17" s="714"/>
      <c r="S17" s="715"/>
      <c r="T17" s="714"/>
      <c r="U17" s="715"/>
      <c r="V17" s="714"/>
      <c r="W17" s="715"/>
      <c r="X17" s="1489"/>
      <c r="Y17" s="3488"/>
      <c r="Z17" s="1490"/>
      <c r="AA17" s="1487">
        <v>1</v>
      </c>
      <c r="AB17" s="1487">
        <v>1</v>
      </c>
      <c r="AC17" s="1487">
        <v>1</v>
      </c>
    </row>
    <row r="18" spans="1:29" ht="28.5">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88"/>
      <c r="Q18" s="1486" t="str">
        <f>B18</f>
        <v>基础设施水平</v>
      </c>
      <c r="R18" s="714" t="s">
        <v>17</v>
      </c>
      <c r="S18" s="715">
        <f>F18</f>
        <v>100</v>
      </c>
      <c r="T18" s="714" t="s">
        <v>17</v>
      </c>
      <c r="U18" s="715">
        <f>H18</f>
        <v>100</v>
      </c>
      <c r="V18" s="714" t="s">
        <v>17</v>
      </c>
      <c r="W18" s="715">
        <f>J18</f>
        <v>100</v>
      </c>
      <c r="X18" s="1489"/>
      <c r="Y18" s="3488"/>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5"/>
      <c r="L19" s="2900"/>
      <c r="M19" s="2894"/>
      <c r="N19" s="2894"/>
      <c r="O19" s="2894"/>
      <c r="P19" s="3488"/>
      <c r="Q19" s="1486"/>
      <c r="R19" s="714"/>
      <c r="S19" s="715"/>
      <c r="T19" s="714"/>
      <c r="U19" s="715"/>
      <c r="V19" s="714"/>
      <c r="W19" s="715"/>
      <c r="X19" s="1489"/>
      <c r="Y19" s="3488"/>
      <c r="Z19" s="1490"/>
      <c r="AA19" s="1487">
        <v>1</v>
      </c>
      <c r="AB19" s="1487">
        <v>1</v>
      </c>
      <c r="AC19" s="1487">
        <v>1</v>
      </c>
    </row>
    <row r="20" spans="1:29" ht="57">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88"/>
      <c r="Q20" s="1486" t="str">
        <f>B20</f>
        <v>自然及人文环境</v>
      </c>
      <c r="R20" s="714" t="s">
        <v>17</v>
      </c>
      <c r="S20" s="715">
        <f>F20</f>
        <v>100</v>
      </c>
      <c r="T20" s="714" t="s">
        <v>17</v>
      </c>
      <c r="U20" s="715">
        <f>H20</f>
        <v>100</v>
      </c>
      <c r="V20" s="714" t="s">
        <v>17</v>
      </c>
      <c r="W20" s="715">
        <f>J20</f>
        <v>100</v>
      </c>
      <c r="X20" s="1489"/>
      <c r="Y20" s="3488"/>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900"/>
      <c r="M21" s="2894"/>
      <c r="N21" s="2894"/>
      <c r="O21" s="2894"/>
      <c r="P21" s="3488"/>
      <c r="Q21" s="1486"/>
      <c r="R21" s="714"/>
      <c r="S21" s="715"/>
      <c r="T21" s="714"/>
      <c r="U21" s="715"/>
      <c r="V21" s="714"/>
      <c r="W21" s="715"/>
      <c r="X21" s="1489"/>
      <c r="Y21" s="3488"/>
      <c r="Z21" s="1490"/>
      <c r="AA21" s="1487">
        <v>1</v>
      </c>
      <c r="AB21" s="1487">
        <v>1</v>
      </c>
      <c r="AC21" s="1487">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88"/>
      <c r="Q22" s="1486" t="str">
        <f>B22</f>
        <v>楼层</v>
      </c>
      <c r="R22" s="714" t="s">
        <v>17</v>
      </c>
      <c r="S22" s="715">
        <f>F22</f>
        <v>100</v>
      </c>
      <c r="T22" s="714" t="s">
        <v>17</v>
      </c>
      <c r="U22" s="715">
        <f>H22</f>
        <v>100</v>
      </c>
      <c r="V22" s="714" t="s">
        <v>17</v>
      </c>
      <c r="W22" s="715">
        <f>J22</f>
        <v>100</v>
      </c>
      <c r="X22" s="1489"/>
      <c r="Y22" s="3488"/>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88"/>
      <c r="Q23" s="1486">
        <f>B23</f>
        <v>111</v>
      </c>
      <c r="R23" s="714" t="s">
        <v>17</v>
      </c>
      <c r="S23" s="715">
        <f>F23</f>
        <v>100</v>
      </c>
      <c r="T23" s="714" t="s">
        <v>17</v>
      </c>
      <c r="U23" s="715">
        <f>H23</f>
        <v>100</v>
      </c>
      <c r="V23" s="714" t="s">
        <v>17</v>
      </c>
      <c r="W23" s="715">
        <f>J23</f>
        <v>100</v>
      </c>
      <c r="X23" s="1489"/>
      <c r="Y23" s="3488"/>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88"/>
      <c r="Q24" s="1486">
        <f t="shared" ref="Q24:Q36" si="11">B24</f>
        <v>111</v>
      </c>
      <c r="R24" s="714" t="s">
        <v>17</v>
      </c>
      <c r="S24" s="715">
        <f>F24</f>
        <v>100</v>
      </c>
      <c r="T24" s="714" t="s">
        <v>17</v>
      </c>
      <c r="U24" s="715">
        <f>H24</f>
        <v>100</v>
      </c>
      <c r="V24" s="714" t="s">
        <v>17</v>
      </c>
      <c r="W24" s="715">
        <f>J24</f>
        <v>100</v>
      </c>
      <c r="X24" s="1489"/>
      <c r="Y24" s="3488"/>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88"/>
      <c r="Q25" s="1477">
        <f t="shared" si="11"/>
        <v>111</v>
      </c>
      <c r="R25" s="710" t="s">
        <v>17</v>
      </c>
      <c r="S25" s="711">
        <f>F25</f>
        <v>100</v>
      </c>
      <c r="T25" s="710" t="s">
        <v>17</v>
      </c>
      <c r="U25" s="711">
        <f>H25</f>
        <v>100</v>
      </c>
      <c r="V25" s="710" t="s">
        <v>17</v>
      </c>
      <c r="W25" s="711">
        <f>J25</f>
        <v>100</v>
      </c>
      <c r="X25" s="712"/>
      <c r="Y25" s="3488"/>
      <c r="Z25" s="55">
        <f>Q25</f>
        <v>111</v>
      </c>
      <c r="AA25" s="1487">
        <f>D25/F25</f>
        <v>1</v>
      </c>
      <c r="AB25" s="1487">
        <f>D25/H25</f>
        <v>1</v>
      </c>
      <c r="AC25" s="1487">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43" t="s">
        <v>2145</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92" t="s">
        <v>2145</v>
      </c>
      <c r="Z26" s="1490" t="str">
        <f t="shared" ref="Z26:Z36" si="15">Q26</f>
        <v>配套类型</v>
      </c>
      <c r="AA26" s="1487">
        <f t="shared" si="3"/>
        <v>1</v>
      </c>
      <c r="AB26" s="1487">
        <f t="shared" si="4"/>
        <v>1</v>
      </c>
      <c r="AC26" s="1487">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92"/>
      <c r="Q27" s="716" t="str">
        <f t="shared" si="11"/>
        <v>项目停车位配比</v>
      </c>
      <c r="R27" s="717" t="s">
        <v>17</v>
      </c>
      <c r="S27" s="718">
        <f t="shared" si="12"/>
        <v>100</v>
      </c>
      <c r="T27" s="717" t="s">
        <v>17</v>
      </c>
      <c r="U27" s="718">
        <f t="shared" si="13"/>
        <v>100</v>
      </c>
      <c r="V27" s="717" t="s">
        <v>17</v>
      </c>
      <c r="W27" s="718">
        <f t="shared" si="14"/>
        <v>100</v>
      </c>
      <c r="X27" s="719"/>
      <c r="Y27" s="3492"/>
      <c r="Z27" s="720" t="str">
        <f t="shared" si="15"/>
        <v>项目停车位配比</v>
      </c>
      <c r="AA27" s="1487">
        <f t="shared" si="3"/>
        <v>1</v>
      </c>
      <c r="AB27" s="1487">
        <f t="shared" si="4"/>
        <v>1</v>
      </c>
      <c r="AC27" s="1487">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92"/>
      <c r="Q28" s="1486" t="str">
        <f t="shared" si="11"/>
        <v>公共部分装修</v>
      </c>
      <c r="R28" s="714" t="s">
        <v>17</v>
      </c>
      <c r="S28" s="715">
        <f t="shared" si="12"/>
        <v>100</v>
      </c>
      <c r="T28" s="714" t="s">
        <v>17</v>
      </c>
      <c r="U28" s="715">
        <f t="shared" si="13"/>
        <v>100</v>
      </c>
      <c r="V28" s="714" t="s">
        <v>17</v>
      </c>
      <c r="W28" s="715">
        <f t="shared" si="14"/>
        <v>100</v>
      </c>
      <c r="X28" s="1489"/>
      <c r="Y28" s="3492"/>
      <c r="Z28" s="1490" t="str">
        <f t="shared" si="15"/>
        <v>公共部分装修</v>
      </c>
      <c r="AA28" s="1487">
        <f t="shared" si="3"/>
        <v>1</v>
      </c>
      <c r="AB28" s="1487">
        <f t="shared" si="4"/>
        <v>1</v>
      </c>
      <c r="AC28" s="1487">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92"/>
      <c r="Q29" s="1486" t="str">
        <f t="shared" si="11"/>
        <v>成新率</v>
      </c>
      <c r="R29" s="714" t="s">
        <v>17</v>
      </c>
      <c r="S29" s="715" t="e">
        <f t="shared" si="12"/>
        <v>#N/A</v>
      </c>
      <c r="T29" s="714" t="s">
        <v>17</v>
      </c>
      <c r="U29" s="715" t="e">
        <f t="shared" si="13"/>
        <v>#N/A</v>
      </c>
      <c r="V29" s="714" t="s">
        <v>17</v>
      </c>
      <c r="W29" s="715" t="e">
        <f t="shared" si="14"/>
        <v>#N/A</v>
      </c>
      <c r="X29" s="1489"/>
      <c r="Y29" s="3492"/>
      <c r="Z29" s="1490" t="str">
        <f t="shared" si="15"/>
        <v>成新率</v>
      </c>
      <c r="AA29" s="1487" t="e">
        <f t="shared" si="3"/>
        <v>#N/A</v>
      </c>
      <c r="AB29" s="1487" t="e">
        <f t="shared" si="4"/>
        <v>#N/A</v>
      </c>
      <c r="AC29" s="1487"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92"/>
      <c r="Q30" s="1486" t="str">
        <f t="shared" si="11"/>
        <v>物业等级</v>
      </c>
      <c r="R30" s="714" t="s">
        <v>17</v>
      </c>
      <c r="S30" s="715">
        <f t="shared" si="12"/>
        <v>100</v>
      </c>
      <c r="T30" s="714" t="s">
        <v>17</v>
      </c>
      <c r="U30" s="715">
        <f t="shared" si="13"/>
        <v>100</v>
      </c>
      <c r="V30" s="714" t="s">
        <v>17</v>
      </c>
      <c r="W30" s="715">
        <f t="shared" si="14"/>
        <v>100</v>
      </c>
      <c r="X30" s="1489"/>
      <c r="Y30" s="3492"/>
      <c r="Z30" s="1490" t="str">
        <f t="shared" si="15"/>
        <v>物业等级</v>
      </c>
      <c r="AA30" s="1487">
        <f t="shared" si="3"/>
        <v>1</v>
      </c>
      <c r="AB30" s="1487">
        <f t="shared" si="4"/>
        <v>1</v>
      </c>
      <c r="AC30" s="1487">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92"/>
      <c r="Q31" s="1477" t="str">
        <f t="shared" si="11"/>
        <v>停车位面积</v>
      </c>
      <c r="R31" s="710" t="s">
        <v>17</v>
      </c>
      <c r="S31" s="711" t="e">
        <f t="shared" si="12"/>
        <v>#N/A</v>
      </c>
      <c r="T31" s="710" t="s">
        <v>17</v>
      </c>
      <c r="U31" s="711" t="e">
        <f t="shared" si="13"/>
        <v>#N/A</v>
      </c>
      <c r="V31" s="710" t="s">
        <v>17</v>
      </c>
      <c r="W31" s="711" t="e">
        <f t="shared" si="14"/>
        <v>#N/A</v>
      </c>
      <c r="X31" s="712"/>
      <c r="Y31" s="3492"/>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92" t="s">
        <v>2145</v>
      </c>
      <c r="Q32" s="1486" t="str">
        <f t="shared" si="11"/>
        <v>车位类型</v>
      </c>
      <c r="R32" s="714" t="s">
        <v>17</v>
      </c>
      <c r="S32" s="715">
        <f t="shared" si="12"/>
        <v>100</v>
      </c>
      <c r="T32" s="714" t="s">
        <v>17</v>
      </c>
      <c r="U32" s="715">
        <f t="shared" si="13"/>
        <v>100</v>
      </c>
      <c r="V32" s="714" t="s">
        <v>17</v>
      </c>
      <c r="W32" s="715">
        <f t="shared" si="14"/>
        <v>100</v>
      </c>
      <c r="X32" s="1489"/>
      <c r="Y32" s="3492" t="s">
        <v>2145</v>
      </c>
      <c r="Z32" s="1490" t="str">
        <f t="shared" si="15"/>
        <v>车位类型</v>
      </c>
      <c r="AA32" s="1487">
        <f t="shared" si="3"/>
        <v>1</v>
      </c>
      <c r="AB32" s="1487">
        <f t="shared" si="4"/>
        <v>1</v>
      </c>
      <c r="AC32" s="1487">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92"/>
      <c r="Q33" s="1486" t="str">
        <f t="shared" si="11"/>
        <v>是否直接入户</v>
      </c>
      <c r="R33" s="714" t="s">
        <v>17</v>
      </c>
      <c r="S33" s="715">
        <f t="shared" si="12"/>
        <v>100</v>
      </c>
      <c r="T33" s="714" t="s">
        <v>17</v>
      </c>
      <c r="U33" s="715">
        <f t="shared" si="13"/>
        <v>100</v>
      </c>
      <c r="V33" s="714" t="s">
        <v>17</v>
      </c>
      <c r="W33" s="715">
        <f t="shared" si="14"/>
        <v>100</v>
      </c>
      <c r="X33" s="1489"/>
      <c r="Y33" s="3492"/>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92"/>
      <c r="Q34" s="1486">
        <f t="shared" si="11"/>
        <v>111</v>
      </c>
      <c r="R34" s="714" t="s">
        <v>17</v>
      </c>
      <c r="S34" s="715">
        <f t="shared" si="12"/>
        <v>100</v>
      </c>
      <c r="T34" s="714" t="s">
        <v>17</v>
      </c>
      <c r="U34" s="715">
        <f t="shared" si="13"/>
        <v>100</v>
      </c>
      <c r="V34" s="714" t="s">
        <v>17</v>
      </c>
      <c r="W34" s="715">
        <f t="shared" si="14"/>
        <v>100</v>
      </c>
      <c r="X34" s="1489"/>
      <c r="Y34" s="3492"/>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92"/>
      <c r="Q35" s="716">
        <f t="shared" si="11"/>
        <v>111</v>
      </c>
      <c r="R35" s="717" t="s">
        <v>17</v>
      </c>
      <c r="S35" s="718">
        <f t="shared" si="12"/>
        <v>100</v>
      </c>
      <c r="T35" s="717" t="s">
        <v>17</v>
      </c>
      <c r="U35" s="718">
        <f t="shared" si="13"/>
        <v>100</v>
      </c>
      <c r="V35" s="717" t="s">
        <v>17</v>
      </c>
      <c r="W35" s="718">
        <f t="shared" si="14"/>
        <v>100</v>
      </c>
      <c r="X35" s="719"/>
      <c r="Y35" s="3492"/>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92"/>
      <c r="Q36" s="1486">
        <f t="shared" si="11"/>
        <v>111</v>
      </c>
      <c r="R36" s="714" t="s">
        <v>17</v>
      </c>
      <c r="S36" s="715">
        <f t="shared" si="12"/>
        <v>100</v>
      </c>
      <c r="T36" s="714" t="s">
        <v>17</v>
      </c>
      <c r="U36" s="715">
        <f t="shared" si="13"/>
        <v>100</v>
      </c>
      <c r="V36" s="714" t="s">
        <v>17</v>
      </c>
      <c r="W36" s="715">
        <f t="shared" si="14"/>
        <v>100</v>
      </c>
      <c r="X36" s="1489"/>
      <c r="Y36" s="3492"/>
      <c r="Z36" s="1490">
        <f t="shared" si="15"/>
        <v>111</v>
      </c>
      <c r="AA36" s="1487">
        <f t="shared" si="3"/>
        <v>1</v>
      </c>
      <c r="AB36" s="1487">
        <f t="shared" si="4"/>
        <v>1</v>
      </c>
      <c r="AC36" s="1487">
        <f t="shared" si="5"/>
        <v>1</v>
      </c>
    </row>
    <row r="37" spans="1:29" ht="15">
      <c r="A37" s="438" t="s">
        <v>2300</v>
      </c>
      <c r="B37" s="2109" t="s">
        <v>2301</v>
      </c>
      <c r="C37" s="1269" t="s">
        <v>1</v>
      </c>
      <c r="D37" s="1270"/>
      <c r="E37" s="1271"/>
      <c r="F37" s="1272"/>
      <c r="G37" s="1273"/>
      <c r="H37" s="1274"/>
      <c r="I37" s="1271"/>
      <c r="J37" s="1274"/>
      <c r="K37" s="576"/>
      <c r="L37" s="2902"/>
      <c r="M37" s="2903"/>
      <c r="N37" s="2894"/>
      <c r="O37" s="2903"/>
      <c r="P37" s="3485" t="str">
        <f>A37</f>
        <v>成交单价</v>
      </c>
      <c r="Q37" s="3485"/>
      <c r="R37" s="3486">
        <f>E37</f>
        <v>0</v>
      </c>
      <c r="S37" s="3486"/>
      <c r="T37" s="3486">
        <f>G37</f>
        <v>0</v>
      </c>
      <c r="U37" s="3486"/>
      <c r="V37" s="3486">
        <f>I37</f>
        <v>0</v>
      </c>
      <c r="W37" s="3486"/>
      <c r="X37" s="699"/>
      <c r="Y37" s="721"/>
      <c r="Z37" s="699"/>
      <c r="AA37" s="699"/>
      <c r="AB37" s="699"/>
      <c r="AC37" s="699"/>
    </row>
    <row r="38" spans="1:29" ht="15.75" thickBot="1">
      <c r="A38" s="445" t="s">
        <v>2302</v>
      </c>
      <c r="B38" s="446" t="str">
        <f>B37</f>
        <v>元/车位</v>
      </c>
      <c r="C38" s="1275" t="e">
        <f>R39</f>
        <v>#DIV/0!</v>
      </c>
      <c r="D38" s="2488" t="s">
        <v>2638</v>
      </c>
      <c r="E38" s="1276" t="e">
        <f>R38</f>
        <v>#DIV/0!</v>
      </c>
      <c r="F38" s="2489"/>
      <c r="G38" s="1275" t="e">
        <f>T38</f>
        <v>#DIV/0!</v>
      </c>
      <c r="H38" s="2489"/>
      <c r="I38" s="1276" t="e">
        <f>V38</f>
        <v>#DIV/0!</v>
      </c>
      <c r="J38" s="2489"/>
      <c r="K38" s="2491">
        <f>F38+H38+J38</f>
        <v>0</v>
      </c>
      <c r="L38" s="2902"/>
      <c r="M38" s="2903"/>
      <c r="N38" s="2903"/>
      <c r="O38" s="2903"/>
      <c r="P38" s="3485" t="str">
        <f>A38</f>
        <v>比较价值（元/平方米）</v>
      </c>
      <c r="Q38" s="3485"/>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482" t="str">
        <f>A39</f>
        <v>估价对象XX用房的比较价值（楼面单价，元/平方米）</v>
      </c>
      <c r="Q39" s="3483"/>
      <c r="R39" s="3544" t="e">
        <f>IF(F1="售价",ROUND(IF(D38="简单平均",AVERAGE(R38:W38),R38*F38+T38*H38+V38*J38),0),ROUND(IF(D38="简单平均",AVERAGE(R38:V38),R38*F38+T38*H38+V38*J38),1))</f>
        <v>#DIV/0!</v>
      </c>
      <c r="S39" s="3544"/>
      <c r="T39" s="3544"/>
      <c r="U39" s="3544"/>
      <c r="V39" s="3544"/>
      <c r="W39" s="3544"/>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8" t="str">
        <f>YEAR(C7)&amp;"-"&amp;MONTH(C7)</f>
        <v>2022-9</v>
      </c>
      <c r="D48" s="1299">
        <f>EDATE(C48,-1)</f>
        <v>44774</v>
      </c>
      <c r="E48" s="1299">
        <f t="shared" ref="E48:O48" si="16">EDATE(D48,-1)</f>
        <v>44743</v>
      </c>
      <c r="F48" s="1299">
        <f t="shared" si="16"/>
        <v>44713</v>
      </c>
      <c r="G48" s="1299">
        <f t="shared" si="16"/>
        <v>44682</v>
      </c>
      <c r="H48" s="1299">
        <f t="shared" si="16"/>
        <v>44652</v>
      </c>
      <c r="I48" s="1299">
        <f t="shared" si="16"/>
        <v>44621</v>
      </c>
      <c r="J48" s="1299">
        <f t="shared" si="16"/>
        <v>44593</v>
      </c>
      <c r="K48" s="1299">
        <f t="shared" si="16"/>
        <v>44562</v>
      </c>
      <c r="L48" s="1299">
        <f t="shared" si="16"/>
        <v>44531</v>
      </c>
      <c r="M48" s="1299">
        <f t="shared" si="16"/>
        <v>44501</v>
      </c>
      <c r="N48" s="1299">
        <f t="shared" si="16"/>
        <v>44470</v>
      </c>
      <c r="O48" s="1299">
        <f t="shared" si="16"/>
        <v>44440</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500" t="s">
        <v>2226</v>
      </c>
      <c r="D4" s="3501"/>
      <c r="E4" s="3502" t="s">
        <v>2227</v>
      </c>
      <c r="F4" s="3503"/>
      <c r="G4" s="3500" t="s">
        <v>2228</v>
      </c>
      <c r="H4" s="3501"/>
      <c r="I4" s="3500" t="s">
        <v>2229</v>
      </c>
      <c r="J4" s="3501"/>
      <c r="K4" s="567" t="s">
        <v>2230</v>
      </c>
      <c r="L4" s="2893"/>
      <c r="M4" s="2894"/>
      <c r="N4" s="2894"/>
      <c r="O4" s="2894"/>
      <c r="P4" s="3504" t="s">
        <v>2231</v>
      </c>
      <c r="Q4" s="3505"/>
      <c r="R4" s="3510" t="s">
        <v>2227</v>
      </c>
      <c r="S4" s="3511"/>
      <c r="T4" s="3510" t="s">
        <v>2228</v>
      </c>
      <c r="U4" s="3511"/>
      <c r="V4" s="3516" t="s">
        <v>2229</v>
      </c>
      <c r="W4" s="3516"/>
      <c r="X4" s="1489"/>
      <c r="Y4" s="3510" t="s">
        <v>2231</v>
      </c>
      <c r="Z4" s="3511"/>
      <c r="AA4" s="3497" t="s">
        <v>2227</v>
      </c>
      <c r="AB4" s="3498" t="s">
        <v>2228</v>
      </c>
      <c r="AC4" s="3497" t="s">
        <v>2229</v>
      </c>
    </row>
    <row r="5" spans="1:29" ht="15">
      <c r="A5" s="364"/>
      <c r="B5" s="365"/>
      <c r="C5" s="3519" t="s">
        <v>2122</v>
      </c>
      <c r="D5" s="3520"/>
      <c r="E5" s="3526" t="s">
        <v>2123</v>
      </c>
      <c r="F5" s="3527"/>
      <c r="G5" s="3519" t="s">
        <v>2124</v>
      </c>
      <c r="H5" s="3520"/>
      <c r="I5" s="3519" t="s">
        <v>2125</v>
      </c>
      <c r="J5" s="3520"/>
      <c r="K5" s="567"/>
      <c r="L5" s="2893"/>
      <c r="M5" s="2894"/>
      <c r="N5" s="2894"/>
      <c r="O5" s="2894"/>
      <c r="P5" s="3506"/>
      <c r="Q5" s="3507"/>
      <c r="R5" s="3512"/>
      <c r="S5" s="3513"/>
      <c r="T5" s="3512"/>
      <c r="U5" s="3513"/>
      <c r="V5" s="3516"/>
      <c r="W5" s="3516"/>
      <c r="X5" s="1489"/>
      <c r="Y5" s="3512"/>
      <c r="Z5" s="3513"/>
      <c r="AA5" s="3498"/>
      <c r="AB5" s="3498"/>
      <c r="AC5" s="3498"/>
    </row>
    <row r="6" spans="1:29" ht="15.75" thickBot="1">
      <c r="A6" s="366"/>
      <c r="B6" s="367"/>
      <c r="C6" s="3517" t="s">
        <v>2126</v>
      </c>
      <c r="D6" s="3518"/>
      <c r="E6" s="3524" t="s">
        <v>2126</v>
      </c>
      <c r="F6" s="3525"/>
      <c r="G6" s="3517" t="s">
        <v>2126</v>
      </c>
      <c r="H6" s="3518"/>
      <c r="I6" s="3517" t="s">
        <v>2126</v>
      </c>
      <c r="J6" s="3518"/>
      <c r="K6" s="567" t="s">
        <v>2127</v>
      </c>
      <c r="L6" s="2893"/>
      <c r="M6" s="2894"/>
      <c r="N6" s="2894"/>
      <c r="O6" s="2894"/>
      <c r="P6" s="3508"/>
      <c r="Q6" s="3509"/>
      <c r="R6" s="3512"/>
      <c r="S6" s="3513"/>
      <c r="T6" s="3514"/>
      <c r="U6" s="3515"/>
      <c r="V6" s="3516"/>
      <c r="W6" s="3516"/>
      <c r="X6" s="1489"/>
      <c r="Y6" s="3514"/>
      <c r="Z6" s="3515"/>
      <c r="AA6" s="3499"/>
      <c r="AB6" s="3499"/>
      <c r="AC6" s="3499"/>
    </row>
    <row r="7" spans="1:29" s="113" customFormat="1" ht="15.75" thickBot="1">
      <c r="A7" s="368" t="s">
        <v>2128</v>
      </c>
      <c r="B7" s="369"/>
      <c r="C7" s="370">
        <f>'数据-取费表'!B2</f>
        <v>44827</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521" t="s">
        <v>2129</v>
      </c>
      <c r="Q7" s="3523"/>
      <c r="R7" s="710" t="s">
        <v>17</v>
      </c>
      <c r="S7" s="711">
        <f t="shared" ref="S7:S14" si="0">F7</f>
        <v>0</v>
      </c>
      <c r="T7" s="710" t="s">
        <v>17</v>
      </c>
      <c r="U7" s="711">
        <f t="shared" ref="U7:U14" si="1">H7</f>
        <v>0</v>
      </c>
      <c r="V7" s="710" t="s">
        <v>17</v>
      </c>
      <c r="W7" s="711">
        <f t="shared" ref="W7:W14" si="2">J7</f>
        <v>0</v>
      </c>
      <c r="X7" s="712"/>
      <c r="Y7" s="3521" t="s">
        <v>2129</v>
      </c>
      <c r="Z7" s="3522"/>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521" t="s">
        <v>2132</v>
      </c>
      <c r="Q8" s="3522"/>
      <c r="R8" s="710" t="s">
        <v>17</v>
      </c>
      <c r="S8" s="711">
        <f t="shared" si="0"/>
        <v>0</v>
      </c>
      <c r="T8" s="710" t="s">
        <v>17</v>
      </c>
      <c r="U8" s="711">
        <f t="shared" si="1"/>
        <v>0</v>
      </c>
      <c r="V8" s="710" t="s">
        <v>17</v>
      </c>
      <c r="W8" s="711">
        <f t="shared" si="2"/>
        <v>0</v>
      </c>
      <c r="X8" s="712"/>
      <c r="Y8" s="3521" t="s">
        <v>2132</v>
      </c>
      <c r="Z8" s="3522"/>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85" t="s">
        <v>2135</v>
      </c>
      <c r="Q9" s="1477" t="str">
        <f t="shared" ref="Q9:Q14" si="6">B9</f>
        <v>用途</v>
      </c>
      <c r="R9" s="710" t="s">
        <v>17</v>
      </c>
      <c r="S9" s="711">
        <f t="shared" si="0"/>
        <v>100</v>
      </c>
      <c r="T9" s="710" t="s">
        <v>17</v>
      </c>
      <c r="U9" s="711">
        <f t="shared" si="1"/>
        <v>100</v>
      </c>
      <c r="V9" s="710" t="s">
        <v>17</v>
      </c>
      <c r="W9" s="711">
        <f t="shared" si="2"/>
        <v>100</v>
      </c>
      <c r="X9" s="712"/>
      <c r="Y9" s="3357"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85"/>
      <c r="Q10" s="1477" t="str">
        <f t="shared" si="6"/>
        <v>土地使用年限（年）</v>
      </c>
      <c r="R10" s="710" t="s">
        <v>17</v>
      </c>
      <c r="S10" s="711">
        <f t="shared" si="0"/>
        <v>100</v>
      </c>
      <c r="T10" s="710" t="s">
        <v>17</v>
      </c>
      <c r="U10" s="711">
        <f t="shared" si="1"/>
        <v>100</v>
      </c>
      <c r="V10" s="710" t="s">
        <v>17</v>
      </c>
      <c r="W10" s="711">
        <f t="shared" si="2"/>
        <v>100</v>
      </c>
      <c r="X10" s="712"/>
      <c r="Y10" s="3357"/>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85"/>
      <c r="Q11" s="1477">
        <f t="shared" si="6"/>
        <v>111</v>
      </c>
      <c r="R11" s="710" t="s">
        <v>17</v>
      </c>
      <c r="S11" s="711">
        <f t="shared" si="0"/>
        <v>100</v>
      </c>
      <c r="T11" s="710" t="s">
        <v>17</v>
      </c>
      <c r="U11" s="711">
        <f t="shared" si="1"/>
        <v>100</v>
      </c>
      <c r="V11" s="710" t="s">
        <v>17</v>
      </c>
      <c r="W11" s="711">
        <f t="shared" si="2"/>
        <v>100</v>
      </c>
      <c r="X11" s="712"/>
      <c r="Y11" s="3357"/>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85"/>
      <c r="Q12" s="1477">
        <f t="shared" si="6"/>
        <v>111</v>
      </c>
      <c r="R12" s="710" t="s">
        <v>17</v>
      </c>
      <c r="S12" s="711">
        <f t="shared" si="0"/>
        <v>100</v>
      </c>
      <c r="T12" s="710" t="s">
        <v>17</v>
      </c>
      <c r="U12" s="711">
        <f t="shared" si="1"/>
        <v>100</v>
      </c>
      <c r="V12" s="710" t="s">
        <v>17</v>
      </c>
      <c r="W12" s="711">
        <f t="shared" si="2"/>
        <v>100</v>
      </c>
      <c r="X12" s="712"/>
      <c r="Y12" s="3357"/>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485"/>
      <c r="Q13" s="1477">
        <f t="shared" si="6"/>
        <v>111</v>
      </c>
      <c r="R13" s="710" t="s">
        <v>17</v>
      </c>
      <c r="S13" s="711">
        <f t="shared" si="0"/>
        <v>100</v>
      </c>
      <c r="T13" s="710" t="s">
        <v>17</v>
      </c>
      <c r="U13" s="711">
        <f t="shared" si="1"/>
        <v>100</v>
      </c>
      <c r="V13" s="710" t="s">
        <v>17</v>
      </c>
      <c r="W13" s="711">
        <f t="shared" si="2"/>
        <v>100</v>
      </c>
      <c r="X13" s="712"/>
      <c r="Y13" s="3357"/>
      <c r="Z13" s="55">
        <f t="shared" si="7"/>
        <v>111</v>
      </c>
      <c r="AA13" s="713">
        <f t="shared" si="3"/>
        <v>1</v>
      </c>
      <c r="AB13" s="713">
        <f t="shared" si="4"/>
        <v>1</v>
      </c>
      <c r="AC13" s="713">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87" t="s">
        <v>2140</v>
      </c>
      <c r="Q14" s="1486" t="str">
        <f t="shared" si="6"/>
        <v>交通便捷度</v>
      </c>
      <c r="R14" s="714" t="s">
        <v>17</v>
      </c>
      <c r="S14" s="715">
        <f t="shared" si="0"/>
        <v>100</v>
      </c>
      <c r="T14" s="714" t="s">
        <v>17</v>
      </c>
      <c r="U14" s="715">
        <f t="shared" si="1"/>
        <v>100</v>
      </c>
      <c r="V14" s="714" t="s">
        <v>17</v>
      </c>
      <c r="W14" s="715">
        <f t="shared" si="2"/>
        <v>100</v>
      </c>
      <c r="X14" s="1489"/>
      <c r="Y14" s="3487" t="s">
        <v>2140</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900"/>
      <c r="M15" s="2894"/>
      <c r="N15" s="2894"/>
      <c r="O15" s="2952"/>
      <c r="P15" s="3488"/>
      <c r="Q15" s="1486"/>
      <c r="R15" s="714"/>
      <c r="S15" s="715"/>
      <c r="T15" s="714"/>
      <c r="U15" s="715"/>
      <c r="V15" s="714"/>
      <c r="W15" s="715"/>
      <c r="X15" s="1489"/>
      <c r="Y15" s="3488"/>
      <c r="Z15" s="1490"/>
      <c r="AA15" s="1487">
        <v>1</v>
      </c>
      <c r="AB15" s="1487">
        <v>1</v>
      </c>
      <c r="AC15" s="1487">
        <v>1</v>
      </c>
    </row>
    <row r="16" spans="1:29" ht="42.7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88"/>
      <c r="Q16" s="1486" t="str">
        <f>B16</f>
        <v>公共配套设施</v>
      </c>
      <c r="R16" s="714" t="s">
        <v>17</v>
      </c>
      <c r="S16" s="715">
        <f>F16</f>
        <v>100</v>
      </c>
      <c r="T16" s="714" t="s">
        <v>17</v>
      </c>
      <c r="U16" s="715">
        <f>H16</f>
        <v>100</v>
      </c>
      <c r="V16" s="714" t="s">
        <v>17</v>
      </c>
      <c r="W16" s="715">
        <f>J16</f>
        <v>100</v>
      </c>
      <c r="X16" s="1489"/>
      <c r="Y16" s="3488"/>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900"/>
      <c r="M17" s="2894"/>
      <c r="N17" s="2894"/>
      <c r="O17" s="2952"/>
      <c r="P17" s="3488"/>
      <c r="Q17" s="1486"/>
      <c r="R17" s="714"/>
      <c r="S17" s="715"/>
      <c r="T17" s="714"/>
      <c r="U17" s="715"/>
      <c r="V17" s="714"/>
      <c r="W17" s="715"/>
      <c r="X17" s="1489"/>
      <c r="Y17" s="3488"/>
      <c r="Z17" s="1490"/>
      <c r="AA17" s="1487">
        <v>1</v>
      </c>
      <c r="AB17" s="1487">
        <v>1</v>
      </c>
      <c r="AC17" s="1487">
        <v>1</v>
      </c>
    </row>
    <row r="18" spans="1:29" ht="28.5">
      <c r="A18" s="387"/>
      <c r="B18" s="1246"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88"/>
      <c r="Q18" s="1486" t="str">
        <f>B18</f>
        <v>基础设施水平</v>
      </c>
      <c r="R18" s="714" t="s">
        <v>17</v>
      </c>
      <c r="S18" s="715">
        <f>F18</f>
        <v>100</v>
      </c>
      <c r="T18" s="714" t="s">
        <v>17</v>
      </c>
      <c r="U18" s="715">
        <f>H18</f>
        <v>100</v>
      </c>
      <c r="V18" s="714" t="s">
        <v>17</v>
      </c>
      <c r="W18" s="715">
        <f>J18</f>
        <v>100</v>
      </c>
      <c r="X18" s="1489"/>
      <c r="Y18" s="3488"/>
      <c r="Z18" s="1490" t="str">
        <f>Q18</f>
        <v>基础设施水平</v>
      </c>
      <c r="AA18" s="1487">
        <f t="shared" ref="AA18" si="8">D18/F18</f>
        <v>1</v>
      </c>
      <c r="AB18" s="1487">
        <f t="shared" ref="AB18" si="9">D18/H18</f>
        <v>1</v>
      </c>
      <c r="AC18" s="1487">
        <f t="shared" ref="AC18" si="10">D18/J18</f>
        <v>1</v>
      </c>
    </row>
    <row r="19" spans="1:29" ht="15">
      <c r="A19" s="387"/>
      <c r="B19" s="1246"/>
      <c r="C19" s="2037"/>
      <c r="D19" s="409"/>
      <c r="E19" s="2037"/>
      <c r="F19" s="412"/>
      <c r="G19" s="2037"/>
      <c r="H19" s="407"/>
      <c r="I19" s="406"/>
      <c r="J19" s="407"/>
      <c r="K19" s="1245"/>
      <c r="L19" s="2900"/>
      <c r="M19" s="2894"/>
      <c r="N19" s="2894"/>
      <c r="O19" s="2952"/>
      <c r="P19" s="3488"/>
      <c r="Q19" s="1486"/>
      <c r="R19" s="714"/>
      <c r="S19" s="715"/>
      <c r="T19" s="714"/>
      <c r="U19" s="715"/>
      <c r="V19" s="714"/>
      <c r="W19" s="715"/>
      <c r="X19" s="1489"/>
      <c r="Y19" s="3488"/>
      <c r="Z19" s="1490"/>
      <c r="AA19" s="1487">
        <v>1</v>
      </c>
      <c r="AB19" s="1487">
        <v>1</v>
      </c>
      <c r="AC19" s="1487">
        <v>1</v>
      </c>
    </row>
    <row r="20" spans="1:29" ht="57">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88"/>
      <c r="Q20" s="1486" t="str">
        <f>B20</f>
        <v>自然及人文环境</v>
      </c>
      <c r="R20" s="714" t="s">
        <v>17</v>
      </c>
      <c r="S20" s="715">
        <f>F20</f>
        <v>100</v>
      </c>
      <c r="T20" s="714" t="s">
        <v>17</v>
      </c>
      <c r="U20" s="715">
        <f>H20</f>
        <v>100</v>
      </c>
      <c r="V20" s="714" t="s">
        <v>17</v>
      </c>
      <c r="W20" s="715">
        <f>J20</f>
        <v>100</v>
      </c>
      <c r="X20" s="1489"/>
      <c r="Y20" s="3488"/>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900"/>
      <c r="M21" s="2894"/>
      <c r="N21" s="2894"/>
      <c r="O21" s="2952"/>
      <c r="P21" s="3488"/>
      <c r="Q21" s="1486"/>
      <c r="R21" s="714"/>
      <c r="S21" s="715"/>
      <c r="T21" s="714"/>
      <c r="U21" s="715"/>
      <c r="V21" s="714"/>
      <c r="W21" s="715"/>
      <c r="X21" s="1489"/>
      <c r="Y21" s="3488"/>
      <c r="Z21" s="1490"/>
      <c r="AA21" s="1487">
        <v>1</v>
      </c>
      <c r="AB21" s="1487">
        <v>1</v>
      </c>
      <c r="AC21" s="1487">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88"/>
      <c r="Q22" s="1486" t="str">
        <f>B22</f>
        <v>楼层</v>
      </c>
      <c r="R22" s="714" t="s">
        <v>17</v>
      </c>
      <c r="S22" s="715">
        <f>F22</f>
        <v>100</v>
      </c>
      <c r="T22" s="714" t="s">
        <v>17</v>
      </c>
      <c r="U22" s="715">
        <f>H22</f>
        <v>100</v>
      </c>
      <c r="V22" s="714" t="s">
        <v>17</v>
      </c>
      <c r="W22" s="715">
        <f>J22</f>
        <v>100</v>
      </c>
      <c r="X22" s="1489"/>
      <c r="Y22" s="3488"/>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88"/>
      <c r="Q23" s="1486">
        <f>B23</f>
        <v>111</v>
      </c>
      <c r="R23" s="714" t="s">
        <v>17</v>
      </c>
      <c r="S23" s="715">
        <f>F23</f>
        <v>100</v>
      </c>
      <c r="T23" s="714" t="s">
        <v>17</v>
      </c>
      <c r="U23" s="715">
        <f>H23</f>
        <v>100</v>
      </c>
      <c r="V23" s="714" t="s">
        <v>17</v>
      </c>
      <c r="W23" s="715">
        <f>J23</f>
        <v>100</v>
      </c>
      <c r="X23" s="1489"/>
      <c r="Y23" s="3488"/>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88"/>
      <c r="Q24" s="1486">
        <f t="shared" ref="Q24:Q34" si="11">B24</f>
        <v>111</v>
      </c>
      <c r="R24" s="714" t="s">
        <v>17</v>
      </c>
      <c r="S24" s="715">
        <f>F24</f>
        <v>100</v>
      </c>
      <c r="T24" s="714" t="s">
        <v>17</v>
      </c>
      <c r="U24" s="715">
        <f>H24</f>
        <v>100</v>
      </c>
      <c r="V24" s="714" t="s">
        <v>17</v>
      </c>
      <c r="W24" s="715">
        <f>J24</f>
        <v>100</v>
      </c>
      <c r="X24" s="1489"/>
      <c r="Y24" s="3488"/>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488"/>
      <c r="Q25" s="1477">
        <f t="shared" si="11"/>
        <v>111</v>
      </c>
      <c r="R25" s="710" t="s">
        <v>17</v>
      </c>
      <c r="S25" s="711">
        <f>F25</f>
        <v>100</v>
      </c>
      <c r="T25" s="710" t="s">
        <v>17</v>
      </c>
      <c r="U25" s="711">
        <f>H25</f>
        <v>100</v>
      </c>
      <c r="V25" s="710" t="s">
        <v>17</v>
      </c>
      <c r="W25" s="711">
        <f>J25</f>
        <v>100</v>
      </c>
      <c r="X25" s="712"/>
      <c r="Y25" s="3488"/>
      <c r="Z25" s="55">
        <f>Q25</f>
        <v>111</v>
      </c>
      <c r="AA25" s="1487">
        <f>D25/F25</f>
        <v>1</v>
      </c>
      <c r="AB25" s="1487">
        <f>D25/H25</f>
        <v>1</v>
      </c>
      <c r="AC25" s="1487">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43" t="s">
        <v>2145</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92" t="s">
        <v>2145</v>
      </c>
      <c r="Z26" s="1490" t="str">
        <f t="shared" ref="Z26:Z34" si="15">Q26</f>
        <v>公共部分装修</v>
      </c>
      <c r="AA26" s="1487">
        <f t="shared" si="3"/>
        <v>1</v>
      </c>
      <c r="AB26" s="1487">
        <f t="shared" si="4"/>
        <v>1</v>
      </c>
      <c r="AC26" s="1487">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92"/>
      <c r="Q27" s="716" t="str">
        <f t="shared" si="11"/>
        <v>成新率</v>
      </c>
      <c r="R27" s="717" t="s">
        <v>17</v>
      </c>
      <c r="S27" s="718" t="e">
        <f t="shared" si="12"/>
        <v>#N/A</v>
      </c>
      <c r="T27" s="717" t="s">
        <v>17</v>
      </c>
      <c r="U27" s="718" t="e">
        <f t="shared" si="13"/>
        <v>#N/A</v>
      </c>
      <c r="V27" s="717" t="s">
        <v>17</v>
      </c>
      <c r="W27" s="718" t="e">
        <f t="shared" si="14"/>
        <v>#N/A</v>
      </c>
      <c r="X27" s="719"/>
      <c r="Y27" s="3492"/>
      <c r="Z27" s="720" t="str">
        <f t="shared" si="15"/>
        <v>成新率</v>
      </c>
      <c r="AA27" s="1487" t="e">
        <f t="shared" si="3"/>
        <v>#N/A</v>
      </c>
      <c r="AB27" s="1487" t="e">
        <f t="shared" si="4"/>
        <v>#N/A</v>
      </c>
      <c r="AC27" s="1487"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92"/>
      <c r="Q28" s="1486" t="str">
        <f t="shared" si="11"/>
        <v>物业等级</v>
      </c>
      <c r="R28" s="714" t="s">
        <v>17</v>
      </c>
      <c r="S28" s="715">
        <f t="shared" si="12"/>
        <v>100</v>
      </c>
      <c r="T28" s="714" t="s">
        <v>17</v>
      </c>
      <c r="U28" s="715">
        <f t="shared" si="13"/>
        <v>100</v>
      </c>
      <c r="V28" s="714" t="s">
        <v>17</v>
      </c>
      <c r="W28" s="715">
        <f t="shared" si="14"/>
        <v>100</v>
      </c>
      <c r="X28" s="1489"/>
      <c r="Y28" s="3492"/>
      <c r="Z28" s="1490" t="str">
        <f t="shared" si="15"/>
        <v>物业等级</v>
      </c>
      <c r="AA28" s="1487">
        <f t="shared" si="3"/>
        <v>1</v>
      </c>
      <c r="AB28" s="1487">
        <f t="shared" si="4"/>
        <v>1</v>
      </c>
      <c r="AC28" s="1487">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92"/>
      <c r="Q29" s="1486" t="str">
        <f t="shared" si="11"/>
        <v>有无电梯</v>
      </c>
      <c r="R29" s="714" t="s">
        <v>17</v>
      </c>
      <c r="S29" s="715">
        <f t="shared" si="12"/>
        <v>100</v>
      </c>
      <c r="T29" s="714" t="s">
        <v>17</v>
      </c>
      <c r="U29" s="715">
        <f t="shared" si="13"/>
        <v>100</v>
      </c>
      <c r="V29" s="714" t="s">
        <v>17</v>
      </c>
      <c r="W29" s="715">
        <f t="shared" si="14"/>
        <v>100</v>
      </c>
      <c r="X29" s="1489"/>
      <c r="Y29" s="3492"/>
      <c r="Z29" s="1490" t="str">
        <f t="shared" si="15"/>
        <v>有无电梯</v>
      </c>
      <c r="AA29" s="1487">
        <f t="shared" si="3"/>
        <v>1</v>
      </c>
      <c r="AB29" s="1487">
        <f t="shared" si="4"/>
        <v>1</v>
      </c>
      <c r="AC29" s="1487">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92"/>
      <c r="Q30" s="1486" t="str">
        <f t="shared" si="11"/>
        <v>建筑面积</v>
      </c>
      <c r="R30" s="714" t="s">
        <v>17</v>
      </c>
      <c r="S30" s="715" t="e">
        <f t="shared" si="12"/>
        <v>#N/A</v>
      </c>
      <c r="T30" s="714" t="s">
        <v>17</v>
      </c>
      <c r="U30" s="715" t="e">
        <f t="shared" si="13"/>
        <v>#N/A</v>
      </c>
      <c r="V30" s="714" t="s">
        <v>17</v>
      </c>
      <c r="W30" s="715" t="e">
        <f t="shared" si="14"/>
        <v>#N/A</v>
      </c>
      <c r="X30" s="1489"/>
      <c r="Y30" s="3492"/>
      <c r="Z30" s="1490" t="str">
        <f t="shared" si="15"/>
        <v>建筑面积</v>
      </c>
      <c r="AA30" s="1487" t="e">
        <f t="shared" si="3"/>
        <v>#N/A</v>
      </c>
      <c r="AB30" s="1487" t="e">
        <f t="shared" si="4"/>
        <v>#N/A</v>
      </c>
      <c r="AC30" s="1487"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92"/>
      <c r="Q31" s="1477" t="str">
        <f t="shared" si="11"/>
        <v>是否封闭</v>
      </c>
      <c r="R31" s="710" t="s">
        <v>17</v>
      </c>
      <c r="S31" s="711">
        <f t="shared" si="12"/>
        <v>100</v>
      </c>
      <c r="T31" s="710" t="s">
        <v>17</v>
      </c>
      <c r="U31" s="711">
        <f t="shared" si="13"/>
        <v>100</v>
      </c>
      <c r="V31" s="710" t="s">
        <v>17</v>
      </c>
      <c r="W31" s="711">
        <f t="shared" si="14"/>
        <v>100</v>
      </c>
      <c r="X31" s="712"/>
      <c r="Y31" s="3492"/>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92" t="s">
        <v>2145</v>
      </c>
      <c r="Q32" s="1486">
        <f t="shared" si="11"/>
        <v>111</v>
      </c>
      <c r="R32" s="714" t="s">
        <v>17</v>
      </c>
      <c r="S32" s="715">
        <f t="shared" si="12"/>
        <v>100</v>
      </c>
      <c r="T32" s="714" t="s">
        <v>17</v>
      </c>
      <c r="U32" s="715">
        <f t="shared" si="13"/>
        <v>100</v>
      </c>
      <c r="V32" s="714" t="s">
        <v>17</v>
      </c>
      <c r="W32" s="715">
        <f t="shared" si="14"/>
        <v>100</v>
      </c>
      <c r="X32" s="1489"/>
      <c r="Y32" s="3492" t="s">
        <v>2145</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92"/>
      <c r="Q33" s="1486">
        <f t="shared" si="11"/>
        <v>111</v>
      </c>
      <c r="R33" s="714" t="s">
        <v>17</v>
      </c>
      <c r="S33" s="715">
        <f t="shared" si="12"/>
        <v>100</v>
      </c>
      <c r="T33" s="714" t="s">
        <v>17</v>
      </c>
      <c r="U33" s="715">
        <f t="shared" si="13"/>
        <v>100</v>
      </c>
      <c r="V33" s="714" t="s">
        <v>17</v>
      </c>
      <c r="W33" s="715">
        <f t="shared" si="14"/>
        <v>100</v>
      </c>
      <c r="X33" s="1489"/>
      <c r="Y33" s="3492"/>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492"/>
      <c r="Q34" s="1486">
        <f t="shared" si="11"/>
        <v>111</v>
      </c>
      <c r="R34" s="714" t="s">
        <v>17</v>
      </c>
      <c r="S34" s="715">
        <f t="shared" si="12"/>
        <v>100</v>
      </c>
      <c r="T34" s="714" t="s">
        <v>17</v>
      </c>
      <c r="U34" s="715">
        <f t="shared" si="13"/>
        <v>100</v>
      </c>
      <c r="V34" s="714" t="s">
        <v>17</v>
      </c>
      <c r="W34" s="715">
        <f t="shared" si="14"/>
        <v>100</v>
      </c>
      <c r="X34" s="1489"/>
      <c r="Y34" s="3492"/>
      <c r="Z34" s="1490">
        <f t="shared" si="15"/>
        <v>111</v>
      </c>
      <c r="AA34" s="1487">
        <f t="shared" si="3"/>
        <v>1</v>
      </c>
      <c r="AB34" s="1487">
        <f t="shared" si="4"/>
        <v>1</v>
      </c>
      <c r="AC34" s="1487">
        <f t="shared" si="5"/>
        <v>1</v>
      </c>
    </row>
    <row r="35" spans="1:30" ht="15">
      <c r="A35" s="438" t="s">
        <v>2157</v>
      </c>
      <c r="B35" s="439"/>
      <c r="C35" s="1269" t="s">
        <v>1</v>
      </c>
      <c r="D35" s="1270"/>
      <c r="E35" s="1271"/>
      <c r="F35" s="1272"/>
      <c r="G35" s="1273"/>
      <c r="H35" s="1274"/>
      <c r="I35" s="1271"/>
      <c r="J35" s="1274"/>
      <c r="K35" s="723"/>
      <c r="L35" s="2902"/>
      <c r="M35" s="2903"/>
      <c r="N35" s="2894"/>
      <c r="O35" s="2903"/>
      <c r="P35" s="3485" t="str">
        <f>A35</f>
        <v>成交单价（元/平方米）</v>
      </c>
      <c r="Q35" s="3485"/>
      <c r="R35" s="3486">
        <f>E35</f>
        <v>0</v>
      </c>
      <c r="S35" s="3486"/>
      <c r="T35" s="3486">
        <f>G35</f>
        <v>0</v>
      </c>
      <c r="U35" s="3486"/>
      <c r="V35" s="3486">
        <f>I35</f>
        <v>0</v>
      </c>
      <c r="W35" s="3486"/>
      <c r="X35" s="699"/>
      <c r="Y35" s="721"/>
      <c r="Z35" s="699"/>
      <c r="AA35" s="699"/>
      <c r="AB35" s="699"/>
      <c r="AC35" s="699"/>
    </row>
    <row r="36" spans="1:30" ht="15.75" thickBot="1">
      <c r="A36" s="445" t="s">
        <v>2249</v>
      </c>
      <c r="B36" s="446"/>
      <c r="C36" s="1275" t="e">
        <f>R37</f>
        <v>#DIV/0!</v>
      </c>
      <c r="D36" s="2488" t="s">
        <v>2638</v>
      </c>
      <c r="E36" s="1276" t="e">
        <f>R36</f>
        <v>#DIV/0!</v>
      </c>
      <c r="F36" s="2489"/>
      <c r="G36" s="1275" t="e">
        <f>T36</f>
        <v>#DIV/0!</v>
      </c>
      <c r="H36" s="2489"/>
      <c r="I36" s="1276" t="e">
        <f>V36</f>
        <v>#DIV/0!</v>
      </c>
      <c r="J36" s="2489"/>
      <c r="K36" s="2491">
        <f>F36+H36+J36</f>
        <v>0</v>
      </c>
      <c r="L36" s="2902"/>
      <c r="M36" s="2903"/>
      <c r="N36" s="2894"/>
      <c r="O36" s="2903"/>
      <c r="P36" s="3485" t="str">
        <f>A36</f>
        <v>比较价值（元/平方米）</v>
      </c>
      <c r="Q36" s="3485"/>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482" t="str">
        <f>A37</f>
        <v>估价对象XX用房的比较价值（楼面单价，元/平方米）</v>
      </c>
      <c r="Q37" s="3483"/>
      <c r="R37" s="3544" t="e">
        <f>IF(F1="售价",ROUND(IF(D36="简单平均",AVERAGE(R36:W36),R36*F36+T36*H36+V36*J36),0),ROUND(IF(D36="简单平均",AVERAGE(R36:V36),R36*F36+T36*H36+V36*J36),1))</f>
        <v>#DIV/0!</v>
      </c>
      <c r="S37" s="3544"/>
      <c r="T37" s="3544"/>
      <c r="U37" s="3544"/>
      <c r="V37" s="3544"/>
      <c r="W37" s="3544"/>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8" t="str">
        <f>YEAR(C7)&amp;"-"&amp;MONTH(C7)</f>
        <v>2022-9</v>
      </c>
      <c r="D46" s="1299">
        <f>EDATE(C46,-1)</f>
        <v>44774</v>
      </c>
      <c r="E46" s="1299">
        <f t="shared" ref="E46:O46" si="16">EDATE(D46,-1)</f>
        <v>44743</v>
      </c>
      <c r="F46" s="1299">
        <f t="shared" si="16"/>
        <v>44713</v>
      </c>
      <c r="G46" s="1299">
        <f t="shared" si="16"/>
        <v>44682</v>
      </c>
      <c r="H46" s="1299">
        <f t="shared" si="16"/>
        <v>44652</v>
      </c>
      <c r="I46" s="1299">
        <f t="shared" si="16"/>
        <v>44621</v>
      </c>
      <c r="J46" s="1299">
        <f t="shared" si="16"/>
        <v>44593</v>
      </c>
      <c r="K46" s="1299">
        <f t="shared" si="16"/>
        <v>44562</v>
      </c>
      <c r="L46" s="1299">
        <f t="shared" si="16"/>
        <v>44531</v>
      </c>
      <c r="M46" s="1299">
        <f t="shared" si="16"/>
        <v>44501</v>
      </c>
      <c r="N46" s="1299">
        <f t="shared" si="16"/>
        <v>44470</v>
      </c>
      <c r="O46" s="1299">
        <f t="shared" si="16"/>
        <v>44440</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59" sqref="E59"/>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6.12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f>F65</f>
        <v>115716</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f>ROUND(IF(D3="",B2*10000/'数据-汇总表'!E3,B2*10000/D3),0)</f>
        <v>9646</v>
      </c>
      <c r="C3" s="209" t="s">
        <v>2326</v>
      </c>
      <c r="D3" s="1307"/>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500" t="s">
        <v>2226</v>
      </c>
      <c r="D4" s="3501"/>
      <c r="E4" s="3502" t="s">
        <v>2227</v>
      </c>
      <c r="F4" s="3503"/>
      <c r="G4" s="3500" t="s">
        <v>2228</v>
      </c>
      <c r="H4" s="3501"/>
      <c r="I4" s="3500" t="s">
        <v>2229</v>
      </c>
      <c r="J4" s="3501"/>
      <c r="K4" s="567" t="s">
        <v>2230</v>
      </c>
      <c r="L4" s="2893"/>
      <c r="M4" s="2894"/>
      <c r="N4" s="2894"/>
      <c r="O4" s="2894"/>
      <c r="P4" s="3504" t="s">
        <v>2231</v>
      </c>
      <c r="Q4" s="3505"/>
      <c r="R4" s="3510" t="s">
        <v>2227</v>
      </c>
      <c r="S4" s="3511"/>
      <c r="T4" s="3510" t="s">
        <v>2228</v>
      </c>
      <c r="U4" s="3511"/>
      <c r="V4" s="3516" t="s">
        <v>2229</v>
      </c>
      <c r="W4" s="3516"/>
      <c r="X4" s="1489"/>
      <c r="Y4" s="3510" t="s">
        <v>2231</v>
      </c>
      <c r="Z4" s="3511"/>
      <c r="AA4" s="3497" t="s">
        <v>2227</v>
      </c>
      <c r="AB4" s="3498" t="s">
        <v>2228</v>
      </c>
      <c r="AC4" s="3497" t="s">
        <v>2229</v>
      </c>
    </row>
    <row r="5" spans="1:30" ht="15">
      <c r="A5" s="364"/>
      <c r="B5" s="365"/>
      <c r="C5" s="3519" t="s">
        <v>2122</v>
      </c>
      <c r="D5" s="3520"/>
      <c r="E5" s="3526" t="str">
        <f>土地案例!A5</f>
        <v>北京经济技术开发区亦庄新城0902街区JG01-07地块F3其他类多功能用地</v>
      </c>
      <c r="F5" s="3527"/>
      <c r="G5" s="3519" t="str">
        <f>土地案例!A6</f>
        <v>北京市大兴区黄村镇DX00-0201-6001地块B14旅馆用地</v>
      </c>
      <c r="H5" s="3520"/>
      <c r="I5" s="3519" t="str">
        <f>土地案例!A9</f>
        <v>北京经济技术开发区河西区X78C2地块B4综合性商业金融服务业用地</v>
      </c>
      <c r="J5" s="3520"/>
      <c r="K5" s="567"/>
      <c r="L5" s="2893"/>
      <c r="M5" s="2894"/>
      <c r="N5" s="2894"/>
      <c r="O5" s="2894"/>
      <c r="P5" s="3506"/>
      <c r="Q5" s="3507"/>
      <c r="R5" s="3512"/>
      <c r="S5" s="3513"/>
      <c r="T5" s="3512"/>
      <c r="U5" s="3513"/>
      <c r="V5" s="3516"/>
      <c r="W5" s="3516"/>
      <c r="X5" s="1489"/>
      <c r="Y5" s="3512"/>
      <c r="Z5" s="3513"/>
      <c r="AA5" s="3498"/>
      <c r="AB5" s="3498"/>
      <c r="AC5" s="3498"/>
    </row>
    <row r="6" spans="1:30" ht="15.75" thickBot="1">
      <c r="A6" s="366"/>
      <c r="B6" s="367"/>
      <c r="C6" s="3517" t="s">
        <v>2126</v>
      </c>
      <c r="D6" s="3518"/>
      <c r="E6" s="3524" t="s">
        <v>2126</v>
      </c>
      <c r="F6" s="3525"/>
      <c r="G6" s="3517" t="s">
        <v>2126</v>
      </c>
      <c r="H6" s="3518"/>
      <c r="I6" s="3517" t="s">
        <v>2126</v>
      </c>
      <c r="J6" s="3518"/>
      <c r="K6" s="567" t="s">
        <v>2127</v>
      </c>
      <c r="L6" s="2893"/>
      <c r="M6" s="2894"/>
      <c r="N6" s="2894"/>
      <c r="O6" s="2894"/>
      <c r="P6" s="3508"/>
      <c r="Q6" s="3509"/>
      <c r="R6" s="3512"/>
      <c r="S6" s="3513"/>
      <c r="T6" s="3514"/>
      <c r="U6" s="3515"/>
      <c r="V6" s="3516"/>
      <c r="W6" s="3516"/>
      <c r="X6" s="1489"/>
      <c r="Y6" s="3514"/>
      <c r="Z6" s="3515"/>
      <c r="AA6" s="3499"/>
      <c r="AB6" s="3499"/>
      <c r="AC6" s="3499"/>
    </row>
    <row r="7" spans="1:30" s="113" customFormat="1" ht="15.75" thickBot="1">
      <c r="A7" s="368" t="s">
        <v>2128</v>
      </c>
      <c r="B7" s="369"/>
      <c r="C7" s="370">
        <f>'数据-取费表'!B2</f>
        <v>44827</v>
      </c>
      <c r="D7" s="371">
        <v>100</v>
      </c>
      <c r="E7" s="372">
        <f>土地案例!L5</f>
        <v>44600.000497685185</v>
      </c>
      <c r="F7" s="373">
        <f>SUMIF(69:69,YEAR(E7)&amp;"-"&amp;INT((MONTH(E7)+2)/3),70:70)</f>
        <v>99</v>
      </c>
      <c r="G7" s="2110">
        <f>土地案例!L6</f>
        <v>44554.000497685185</v>
      </c>
      <c r="H7" s="371">
        <f>SUMIF(69:69,YEAR(G7)&amp;"-"&amp;INT((MONTH(G7)+2)/3),70:70)</f>
        <v>98.5</v>
      </c>
      <c r="I7" s="2110">
        <f>土地案例!L9</f>
        <v>43706.000497685185</v>
      </c>
      <c r="J7" s="371">
        <f>SUMIF(69:69,YEAR(I7)&amp;"-"&amp;INT((MONTH(I7)+2)/3),70:70)</f>
        <v>94</v>
      </c>
      <c r="K7" s="568"/>
      <c r="L7" s="2895"/>
      <c r="M7" s="2896"/>
      <c r="N7" s="2896"/>
      <c r="O7" s="2896"/>
      <c r="P7" s="3521" t="s">
        <v>2129</v>
      </c>
      <c r="Q7" s="3523"/>
      <c r="R7" s="710" t="s">
        <v>17</v>
      </c>
      <c r="S7" s="711">
        <f t="shared" ref="S7:S15" si="0">F7</f>
        <v>99</v>
      </c>
      <c r="T7" s="710" t="s">
        <v>17</v>
      </c>
      <c r="U7" s="711">
        <f t="shared" ref="U7:U15" si="1">H7</f>
        <v>98.5</v>
      </c>
      <c r="V7" s="710" t="s">
        <v>17</v>
      </c>
      <c r="W7" s="711">
        <f t="shared" ref="W7:W15" si="2">J7</f>
        <v>94</v>
      </c>
      <c r="X7" s="712"/>
      <c r="Y7" s="3521" t="s">
        <v>2129</v>
      </c>
      <c r="Z7" s="3522"/>
      <c r="AA7" s="713">
        <f>D7/F7</f>
        <v>1.0101010101010102</v>
      </c>
      <c r="AB7" s="713">
        <f>D7/H7</f>
        <v>1.015228426395939</v>
      </c>
      <c r="AC7" s="713">
        <f>D7/J7</f>
        <v>1.0638297872340425</v>
      </c>
    </row>
    <row r="8" spans="1:30" s="113" customFormat="1" ht="15.75" thickBot="1">
      <c r="A8" s="368" t="s">
        <v>2130</v>
      </c>
      <c r="B8" s="369"/>
      <c r="C8" s="374" t="s">
        <v>2131</v>
      </c>
      <c r="D8" s="371">
        <v>100</v>
      </c>
      <c r="E8" s="3245" t="s">
        <v>3648</v>
      </c>
      <c r="F8" s="373">
        <f>SUMIF(72:72,E8,73:73)-SUMIF(72:72,C8,73:73)+100</f>
        <v>100</v>
      </c>
      <c r="G8" s="3245" t="s">
        <v>3649</v>
      </c>
      <c r="H8" s="371">
        <f>SUMIF(72:72,G8,73:73)-SUMIF(72:72,C8,73:73)+100</f>
        <v>100</v>
      </c>
      <c r="I8" s="3245" t="s">
        <v>3650</v>
      </c>
      <c r="J8" s="371">
        <f>SUMIF(72:72,I8,73:73)-SUMIF(72:72,C8,73:73)+100</f>
        <v>100</v>
      </c>
      <c r="K8" s="568"/>
      <c r="L8" s="2895"/>
      <c r="M8" s="2896"/>
      <c r="N8" s="2896"/>
      <c r="O8" s="2896"/>
      <c r="P8" s="3521" t="s">
        <v>2132</v>
      </c>
      <c r="Q8" s="3522"/>
      <c r="R8" s="710" t="s">
        <v>17</v>
      </c>
      <c r="S8" s="711">
        <f t="shared" si="0"/>
        <v>100</v>
      </c>
      <c r="T8" s="710" t="s">
        <v>17</v>
      </c>
      <c r="U8" s="711">
        <f t="shared" si="1"/>
        <v>100</v>
      </c>
      <c r="V8" s="710" t="s">
        <v>17</v>
      </c>
      <c r="W8" s="711">
        <f t="shared" si="2"/>
        <v>100</v>
      </c>
      <c r="X8" s="712"/>
      <c r="Y8" s="3521" t="s">
        <v>2132</v>
      </c>
      <c r="Z8" s="3522"/>
      <c r="AA8" s="713">
        <f t="shared" ref="AA8:AA45" si="3">D8/F8</f>
        <v>1</v>
      </c>
      <c r="AB8" s="713">
        <f t="shared" ref="AB8:AB45" si="4">D8/H8</f>
        <v>1</v>
      </c>
      <c r="AC8" s="713">
        <f t="shared" ref="AC8:AC45" si="5">D8/J8</f>
        <v>1</v>
      </c>
    </row>
    <row r="9" spans="1:30" s="113" customFormat="1" ht="15">
      <c r="A9" s="375" t="s">
        <v>2133</v>
      </c>
      <c r="B9" s="67" t="s">
        <v>2134</v>
      </c>
      <c r="C9" s="2113" t="s">
        <v>3651</v>
      </c>
      <c r="D9" s="131">
        <v>100</v>
      </c>
      <c r="E9" s="2113" t="s">
        <v>3653</v>
      </c>
      <c r="F9" s="131">
        <f>SUMIF(74:74,E9,75:75)-SUMIF(74:74,C9,75:75)+100</f>
        <v>90</v>
      </c>
      <c r="G9" s="2113" t="s">
        <v>3655</v>
      </c>
      <c r="H9" s="131">
        <f>SUMIF(74:74,G9,75:75)-SUMIF(74:74,C9,75:75)+100</f>
        <v>85</v>
      </c>
      <c r="I9" s="2113" t="s">
        <v>3651</v>
      </c>
      <c r="J9" s="131">
        <f>SUMIF(74:74,I9,75:75)-SUMIF(74:74,C9,75:75)+100</f>
        <v>100</v>
      </c>
      <c r="K9" s="568"/>
      <c r="L9" s="2895"/>
      <c r="M9" s="2896"/>
      <c r="N9" s="2896"/>
      <c r="O9" s="2950"/>
      <c r="P9" s="3485" t="s">
        <v>2135</v>
      </c>
      <c r="Q9" s="1477" t="str">
        <f t="shared" ref="Q9:Q15" si="6">B9</f>
        <v>用途</v>
      </c>
      <c r="R9" s="710" t="s">
        <v>17</v>
      </c>
      <c r="S9" s="711">
        <f t="shared" si="0"/>
        <v>90</v>
      </c>
      <c r="T9" s="710" t="s">
        <v>17</v>
      </c>
      <c r="U9" s="711">
        <f t="shared" si="1"/>
        <v>85</v>
      </c>
      <c r="V9" s="710" t="s">
        <v>17</v>
      </c>
      <c r="W9" s="711">
        <f t="shared" si="2"/>
        <v>100</v>
      </c>
      <c r="X9" s="712"/>
      <c r="Y9" s="3357" t="s">
        <v>2136</v>
      </c>
      <c r="Z9" s="55" t="str">
        <f t="shared" ref="Z9:Z15" si="7">Q9</f>
        <v>用途</v>
      </c>
      <c r="AA9" s="713">
        <f t="shared" si="3"/>
        <v>1.1111111111111112</v>
      </c>
      <c r="AB9" s="713">
        <f t="shared" si="4"/>
        <v>1.1764705882352942</v>
      </c>
      <c r="AC9" s="713">
        <f t="shared" si="5"/>
        <v>1</v>
      </c>
    </row>
    <row r="10" spans="1:30" s="386" customFormat="1" ht="27">
      <c r="A10" s="380"/>
      <c r="B10" s="381" t="s">
        <v>2137</v>
      </c>
      <c r="C10" s="391"/>
      <c r="D10" s="132">
        <v>100</v>
      </c>
      <c r="E10" s="424"/>
      <c r="F10" s="132">
        <f>ROUND(100/'数据-取费表'!G16,0)</f>
        <v>113</v>
      </c>
      <c r="G10" s="422"/>
      <c r="H10" s="132">
        <f>ROUND(100/'数据-取费表'!G16,0)</f>
        <v>113</v>
      </c>
      <c r="I10" s="422"/>
      <c r="J10" s="132">
        <f>ROUND(100/'数据-取费表'!G16,0)</f>
        <v>113</v>
      </c>
      <c r="K10" s="628"/>
      <c r="L10" s="2897"/>
      <c r="M10" s="2898"/>
      <c r="N10" s="2898"/>
      <c r="O10" s="2951"/>
      <c r="P10" s="3485"/>
      <c r="Q10" s="1477" t="str">
        <f t="shared" si="6"/>
        <v>土地使用年限（年）</v>
      </c>
      <c r="R10" s="710" t="s">
        <v>17</v>
      </c>
      <c r="S10" s="711">
        <f t="shared" si="0"/>
        <v>113</v>
      </c>
      <c r="T10" s="710" t="s">
        <v>17</v>
      </c>
      <c r="U10" s="711">
        <f t="shared" si="1"/>
        <v>113</v>
      </c>
      <c r="V10" s="710" t="s">
        <v>17</v>
      </c>
      <c r="W10" s="711">
        <f t="shared" si="2"/>
        <v>113</v>
      </c>
      <c r="X10" s="712"/>
      <c r="Y10" s="3357"/>
      <c r="Z10" s="55" t="str">
        <f t="shared" si="7"/>
        <v>土地使用年限（年）</v>
      </c>
      <c r="AA10" s="713">
        <f t="shared" si="3"/>
        <v>0.88495575221238942</v>
      </c>
      <c r="AB10" s="713">
        <f t="shared" si="4"/>
        <v>0.88495575221238942</v>
      </c>
      <c r="AC10" s="713">
        <f t="shared" si="5"/>
        <v>0.88495575221238942</v>
      </c>
    </row>
    <row r="11" spans="1:30" ht="15">
      <c r="A11" s="387"/>
      <c r="B11" s="381" t="s">
        <v>2138</v>
      </c>
      <c r="C11" s="388">
        <f>'数据-汇总表'!I6</f>
        <v>3.49</v>
      </c>
      <c r="D11" s="132">
        <v>100</v>
      </c>
      <c r="E11" s="388">
        <f>土地案例!G5</f>
        <v>3</v>
      </c>
      <c r="F11" s="132">
        <f>LOOKUP(E11,79:79,80:80)-LOOKUP(C11,79:79,80:80)+100</f>
        <v>100</v>
      </c>
      <c r="G11" s="389">
        <f>土地案例!G6</f>
        <v>2</v>
      </c>
      <c r="H11" s="132">
        <f>LOOKUP(G11,79:79,80:80)-LOOKUP(C11,79:79,80:80)+100</f>
        <v>105</v>
      </c>
      <c r="I11" s="388">
        <f>土地案例!G9</f>
        <v>2</v>
      </c>
      <c r="J11" s="132">
        <f>LOOKUP(I11,79:79,80:80)-LOOKUP(C11,79:79,80:80)+100</f>
        <v>105</v>
      </c>
      <c r="K11" s="629">
        <v>5</v>
      </c>
      <c r="L11" s="2899"/>
      <c r="M11" s="2894"/>
      <c r="N11" s="2894"/>
      <c r="O11" s="2952"/>
      <c r="P11" s="3485"/>
      <c r="Q11" s="1477" t="str">
        <f t="shared" si="6"/>
        <v>容积率</v>
      </c>
      <c r="R11" s="710" t="s">
        <v>17</v>
      </c>
      <c r="S11" s="711">
        <f t="shared" si="0"/>
        <v>100</v>
      </c>
      <c r="T11" s="710" t="s">
        <v>17</v>
      </c>
      <c r="U11" s="711">
        <f t="shared" si="1"/>
        <v>105</v>
      </c>
      <c r="V11" s="710" t="s">
        <v>17</v>
      </c>
      <c r="W11" s="711">
        <f t="shared" si="2"/>
        <v>105</v>
      </c>
      <c r="X11" s="712"/>
      <c r="Y11" s="3357"/>
      <c r="Z11" s="55" t="str">
        <f t="shared" si="7"/>
        <v>容积率</v>
      </c>
      <c r="AA11" s="713">
        <f t="shared" si="3"/>
        <v>1</v>
      </c>
      <c r="AB11" s="713">
        <f t="shared" si="4"/>
        <v>0.95238095238095233</v>
      </c>
      <c r="AC11" s="713">
        <f t="shared" si="5"/>
        <v>0.95238095238095233</v>
      </c>
    </row>
    <row r="12" spans="1:30" s="113" customFormat="1" ht="27.75">
      <c r="A12" s="390"/>
      <c r="B12" s="3246" t="s">
        <v>3657</v>
      </c>
      <c r="C12" s="391" t="s">
        <v>3658</v>
      </c>
      <c r="D12" s="392">
        <v>100</v>
      </c>
      <c r="E12" s="3247" t="s">
        <v>3659</v>
      </c>
      <c r="F12" s="132">
        <f>SUMIF(81:81,E12,82:82)-SUMIF(81:81,C12,82:82)+100</f>
        <v>110</v>
      </c>
      <c r="G12" s="3248" t="s">
        <v>3659</v>
      </c>
      <c r="H12" s="132">
        <f>SUMIF(81:81,G12,82:82)-SUMIF(81:81,C12,82:82)+100</f>
        <v>110</v>
      </c>
      <c r="I12" s="3247" t="s">
        <v>3660</v>
      </c>
      <c r="J12" s="132">
        <f>SUMIF(81:81,I12,82:82)-SUMIF(81:81,C12,82:82)+100</f>
        <v>90</v>
      </c>
      <c r="K12" s="628"/>
      <c r="L12" s="2895"/>
      <c r="M12" s="2896"/>
      <c r="N12" s="2896"/>
      <c r="O12" s="2950"/>
      <c r="P12" s="3485"/>
      <c r="Q12" s="1477" t="str">
        <f t="shared" si="6"/>
        <v>自持限制</v>
      </c>
      <c r="R12" s="710" t="s">
        <v>17</v>
      </c>
      <c r="S12" s="711">
        <f t="shared" si="0"/>
        <v>110</v>
      </c>
      <c r="T12" s="710" t="s">
        <v>17</v>
      </c>
      <c r="U12" s="711">
        <f t="shared" si="1"/>
        <v>110</v>
      </c>
      <c r="V12" s="710" t="s">
        <v>17</v>
      </c>
      <c r="W12" s="711">
        <f t="shared" si="2"/>
        <v>90</v>
      </c>
      <c r="X12" s="712"/>
      <c r="Y12" s="3357"/>
      <c r="Z12" s="55" t="str">
        <f t="shared" si="7"/>
        <v>自持限制</v>
      </c>
      <c r="AA12" s="713">
        <f>D12/F12</f>
        <v>0.90909090909090906</v>
      </c>
      <c r="AB12" s="713">
        <f>D12/H12</f>
        <v>0.90909090909090906</v>
      </c>
      <c r="AC12" s="713">
        <f>D12/J12</f>
        <v>1.1111111111111112</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85"/>
      <c r="Q13" s="1477">
        <f t="shared" si="6"/>
        <v>111</v>
      </c>
      <c r="R13" s="710" t="s">
        <v>17</v>
      </c>
      <c r="S13" s="711">
        <f t="shared" si="0"/>
        <v>100</v>
      </c>
      <c r="T13" s="710" t="s">
        <v>17</v>
      </c>
      <c r="U13" s="711">
        <f t="shared" si="1"/>
        <v>100</v>
      </c>
      <c r="V13" s="710" t="s">
        <v>17</v>
      </c>
      <c r="W13" s="711">
        <f t="shared" si="2"/>
        <v>100</v>
      </c>
      <c r="X13" s="712"/>
      <c r="Y13" s="3357"/>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85"/>
      <c r="Q14" s="1477">
        <f t="shared" si="6"/>
        <v>111</v>
      </c>
      <c r="R14" s="710" t="s">
        <v>17</v>
      </c>
      <c r="S14" s="711">
        <f t="shared" si="0"/>
        <v>100</v>
      </c>
      <c r="T14" s="710" t="s">
        <v>17</v>
      </c>
      <c r="U14" s="711">
        <f t="shared" si="1"/>
        <v>100</v>
      </c>
      <c r="V14" s="710" t="s">
        <v>17</v>
      </c>
      <c r="W14" s="711">
        <f t="shared" si="2"/>
        <v>100</v>
      </c>
      <c r="X14" s="712"/>
      <c r="Y14" s="3357"/>
      <c r="Z14" s="55">
        <f t="shared" si="7"/>
        <v>111</v>
      </c>
      <c r="AA14" s="713">
        <f>D14/F14</f>
        <v>1</v>
      </c>
      <c r="AB14" s="713">
        <f>D14/H14</f>
        <v>1</v>
      </c>
      <c r="AC14" s="713">
        <f>D14/J14</f>
        <v>1</v>
      </c>
    </row>
    <row r="15" spans="1:30" ht="99.7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87" t="s">
        <v>2140</v>
      </c>
      <c r="Q15" s="1486" t="str">
        <f t="shared" si="6"/>
        <v>居住社区成熟度</v>
      </c>
      <c r="R15" s="714" t="s">
        <v>17</v>
      </c>
      <c r="S15" s="715">
        <f t="shared" si="0"/>
        <v>100</v>
      </c>
      <c r="T15" s="714" t="s">
        <v>17</v>
      </c>
      <c r="U15" s="715">
        <f t="shared" si="1"/>
        <v>100</v>
      </c>
      <c r="V15" s="714" t="s">
        <v>17</v>
      </c>
      <c r="W15" s="715">
        <f t="shared" si="2"/>
        <v>100</v>
      </c>
      <c r="X15" s="1489"/>
      <c r="Y15" s="3487" t="s">
        <v>2140</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900"/>
      <c r="M16" s="2894"/>
      <c r="N16" s="2894"/>
      <c r="O16" s="2952"/>
      <c r="P16" s="3488"/>
      <c r="Q16" s="1486"/>
      <c r="R16" s="714"/>
      <c r="S16" s="715"/>
      <c r="T16" s="714"/>
      <c r="U16" s="715"/>
      <c r="V16" s="714"/>
      <c r="W16" s="715"/>
      <c r="X16" s="1489"/>
      <c r="Y16" s="3488"/>
      <c r="Z16" s="1490"/>
      <c r="AA16" s="1487">
        <v>1</v>
      </c>
      <c r="AB16" s="1487">
        <v>1</v>
      </c>
      <c r="AC16" s="1487">
        <v>1</v>
      </c>
    </row>
    <row r="17" spans="1:29" ht="71.25">
      <c r="A17" s="387"/>
      <c r="B17" s="410" t="s">
        <v>2233</v>
      </c>
      <c r="C17" s="2091" t="str">
        <f>估价对象房地状况!C16</f>
        <v>估价对象位于XX商圈，周边商业氛围成熟，人流量大，商业繁华度好</v>
      </c>
      <c r="D17" s="409">
        <v>100</v>
      </c>
      <c r="E17" s="411"/>
      <c r="F17" s="409">
        <f>SUMIF(89:89,E18,90:90)-SUMIF(89:89,C18,90:90)+100</f>
        <v>95</v>
      </c>
      <c r="G17" s="411"/>
      <c r="H17" s="414">
        <f>SUMIF(89:89,G18,90:90)-SUMIF(89:89,C18,90:90)+100</f>
        <v>95</v>
      </c>
      <c r="I17" s="413"/>
      <c r="J17" s="414">
        <f>SUMIF(89:89,I18,90:90)-SUMIF(89:89,C18,90:90)+100</f>
        <v>95</v>
      </c>
      <c r="K17" s="629">
        <v>5</v>
      </c>
      <c r="L17" s="2900"/>
      <c r="M17" s="2894"/>
      <c r="N17" s="2894"/>
      <c r="O17" s="2952"/>
      <c r="P17" s="3488"/>
      <c r="Q17" s="1486" t="str">
        <f>B17</f>
        <v>商业繁华度</v>
      </c>
      <c r="R17" s="714" t="s">
        <v>17</v>
      </c>
      <c r="S17" s="715">
        <f>F17</f>
        <v>95</v>
      </c>
      <c r="T17" s="714" t="s">
        <v>17</v>
      </c>
      <c r="U17" s="715">
        <f>H17</f>
        <v>95</v>
      </c>
      <c r="V17" s="714" t="s">
        <v>17</v>
      </c>
      <c r="W17" s="715">
        <f>J17</f>
        <v>95</v>
      </c>
      <c r="X17" s="1489"/>
      <c r="Y17" s="3488"/>
      <c r="Z17" s="1490" t="str">
        <f>Q17</f>
        <v>商业繁华度</v>
      </c>
      <c r="AA17" s="1487">
        <f t="shared" si="3"/>
        <v>1.0526315789473684</v>
      </c>
      <c r="AB17" s="1487">
        <f t="shared" si="4"/>
        <v>1.0526315789473684</v>
      </c>
      <c r="AC17" s="1487">
        <f t="shared" si="5"/>
        <v>1.0526315789473684</v>
      </c>
    </row>
    <row r="18" spans="1:29" ht="15">
      <c r="A18" s="387"/>
      <c r="B18" s="415"/>
      <c r="C18" s="3250" t="s">
        <v>3662</v>
      </c>
      <c r="D18" s="409"/>
      <c r="E18" s="3251" t="s">
        <v>3663</v>
      </c>
      <c r="F18" s="409"/>
      <c r="G18" s="3251" t="s">
        <v>3663</v>
      </c>
      <c r="H18" s="407"/>
      <c r="I18" s="3252" t="s">
        <v>3663</v>
      </c>
      <c r="J18" s="407"/>
      <c r="K18" s="628"/>
      <c r="L18" s="2900"/>
      <c r="M18" s="2894"/>
      <c r="N18" s="2894"/>
      <c r="O18" s="2952"/>
      <c r="P18" s="3488"/>
      <c r="Q18" s="1486"/>
      <c r="R18" s="714"/>
      <c r="S18" s="715"/>
      <c r="T18" s="714"/>
      <c r="U18" s="715"/>
      <c r="V18" s="714"/>
      <c r="W18" s="715"/>
      <c r="X18" s="1489"/>
      <c r="Y18" s="3488"/>
      <c r="Z18" s="1490"/>
      <c r="AA18" s="1487">
        <v>1</v>
      </c>
      <c r="AB18" s="1487">
        <v>1</v>
      </c>
      <c r="AC18" s="1487">
        <v>1</v>
      </c>
    </row>
    <row r="19" spans="1:29" ht="71.2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v>2</v>
      </c>
      <c r="L19" s="2900"/>
      <c r="M19" s="2894"/>
      <c r="N19" s="2894"/>
      <c r="O19" s="2952"/>
      <c r="P19" s="3488"/>
      <c r="Q19" s="1486" t="str">
        <f>B19</f>
        <v>办公集聚程度</v>
      </c>
      <c r="R19" s="714" t="s">
        <v>17</v>
      </c>
      <c r="S19" s="715">
        <f>F19</f>
        <v>100</v>
      </c>
      <c r="T19" s="714" t="s">
        <v>17</v>
      </c>
      <c r="U19" s="715">
        <f>H19</f>
        <v>100</v>
      </c>
      <c r="V19" s="714" t="s">
        <v>17</v>
      </c>
      <c r="W19" s="715">
        <f>J19</f>
        <v>100</v>
      </c>
      <c r="X19" s="1489"/>
      <c r="Y19" s="3488"/>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900"/>
      <c r="M20" s="2894"/>
      <c r="N20" s="2894"/>
      <c r="O20" s="2952"/>
      <c r="P20" s="3488"/>
      <c r="Q20" s="1486"/>
      <c r="R20" s="714"/>
      <c r="S20" s="715"/>
      <c r="T20" s="714"/>
      <c r="U20" s="715"/>
      <c r="V20" s="714"/>
      <c r="W20" s="715"/>
      <c r="X20" s="1489"/>
      <c r="Y20" s="3488"/>
      <c r="Z20" s="1490"/>
      <c r="AA20" s="1487">
        <v>1</v>
      </c>
      <c r="AB20" s="1487">
        <v>1</v>
      </c>
      <c r="AC20" s="1487">
        <v>1</v>
      </c>
    </row>
    <row r="21" spans="1:29" ht="85.5">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97</v>
      </c>
      <c r="I21" s="413"/>
      <c r="J21" s="409">
        <f>SUMIF(93:93,I22,94:94)-SUMIF(93:93,C22,94:94)+100</f>
        <v>97</v>
      </c>
      <c r="K21" s="629">
        <v>3</v>
      </c>
      <c r="L21" s="2900"/>
      <c r="M21" s="2894"/>
      <c r="N21" s="2894"/>
      <c r="O21" s="2952"/>
      <c r="P21" s="3488"/>
      <c r="Q21" s="1486" t="str">
        <f>B21</f>
        <v>交通便捷度</v>
      </c>
      <c r="R21" s="714" t="s">
        <v>17</v>
      </c>
      <c r="S21" s="715">
        <f>F21</f>
        <v>100</v>
      </c>
      <c r="T21" s="714" t="s">
        <v>17</v>
      </c>
      <c r="U21" s="715">
        <f>H21</f>
        <v>97</v>
      </c>
      <c r="V21" s="714" t="s">
        <v>17</v>
      </c>
      <c r="W21" s="715">
        <f>J21</f>
        <v>97</v>
      </c>
      <c r="X21" s="1489"/>
      <c r="Y21" s="3488"/>
      <c r="Z21" s="1490" t="str">
        <f>Q21</f>
        <v>交通便捷度</v>
      </c>
      <c r="AA21" s="1487">
        <f t="shared" si="3"/>
        <v>1</v>
      </c>
      <c r="AB21" s="1487">
        <f t="shared" si="4"/>
        <v>1.0309278350515463</v>
      </c>
      <c r="AC21" s="1487">
        <f t="shared" si="5"/>
        <v>1.0309278350515463</v>
      </c>
    </row>
    <row r="22" spans="1:29" ht="15">
      <c r="A22" s="387"/>
      <c r="B22" s="1246"/>
      <c r="C22" s="3253" t="s">
        <v>3662</v>
      </c>
      <c r="D22" s="409"/>
      <c r="E22" s="3254" t="s">
        <v>3662</v>
      </c>
      <c r="F22" s="407"/>
      <c r="G22" s="3254" t="s">
        <v>3663</v>
      </c>
      <c r="H22" s="407"/>
      <c r="I22" s="3255" t="s">
        <v>3663</v>
      </c>
      <c r="J22" s="407"/>
      <c r="K22" s="628"/>
      <c r="L22" s="2900"/>
      <c r="M22" s="2894"/>
      <c r="N22" s="2894"/>
      <c r="O22" s="2952"/>
      <c r="P22" s="3488"/>
      <c r="Q22" s="1486"/>
      <c r="R22" s="714"/>
      <c r="S22" s="715"/>
      <c r="T22" s="714"/>
      <c r="U22" s="715"/>
      <c r="V22" s="714"/>
      <c r="W22" s="715"/>
      <c r="X22" s="1489"/>
      <c r="Y22" s="3488"/>
      <c r="Z22" s="1490"/>
      <c r="AA22" s="1487">
        <v>1</v>
      </c>
      <c r="AB22" s="1487">
        <v>1</v>
      </c>
      <c r="AC22" s="1487">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v>2</v>
      </c>
      <c r="L23" s="2900"/>
      <c r="M23" s="2894"/>
      <c r="N23" s="2894"/>
      <c r="O23" s="2952"/>
      <c r="P23" s="3488"/>
      <c r="Q23" s="1486" t="str">
        <f t="shared" ref="Q23:Q37" si="8">B23</f>
        <v>区域土地利用方向</v>
      </c>
      <c r="R23" s="714" t="s">
        <v>17</v>
      </c>
      <c r="S23" s="715">
        <f>F23</f>
        <v>100</v>
      </c>
      <c r="T23" s="714" t="s">
        <v>17</v>
      </c>
      <c r="U23" s="715">
        <f>H23</f>
        <v>100</v>
      </c>
      <c r="V23" s="714" t="s">
        <v>17</v>
      </c>
      <c r="W23" s="715">
        <f>J23</f>
        <v>100</v>
      </c>
      <c r="X23" s="1489"/>
      <c r="Y23" s="3488"/>
      <c r="Z23" s="1490" t="str">
        <f>Q23</f>
        <v>区域土地利用方向</v>
      </c>
      <c r="AA23" s="1487">
        <f t="shared" si="3"/>
        <v>1</v>
      </c>
      <c r="AB23" s="1487">
        <f t="shared" si="4"/>
        <v>1</v>
      </c>
      <c r="AC23" s="1487">
        <f t="shared" si="5"/>
        <v>1</v>
      </c>
    </row>
    <row r="24" spans="1:29" ht="15">
      <c r="A24" s="364"/>
      <c r="B24" s="415"/>
      <c r="C24" s="3256" t="s">
        <v>3662</v>
      </c>
      <c r="D24" s="407"/>
      <c r="E24" s="3254" t="s">
        <v>3662</v>
      </c>
      <c r="F24" s="407"/>
      <c r="G24" s="3255" t="s">
        <v>3662</v>
      </c>
      <c r="H24" s="407"/>
      <c r="I24" s="3255" t="s">
        <v>3662</v>
      </c>
      <c r="J24" s="407"/>
      <c r="K24" s="751"/>
      <c r="L24" s="2900"/>
      <c r="M24" s="2894"/>
      <c r="N24" s="2894"/>
      <c r="O24" s="2952"/>
      <c r="P24" s="3488"/>
      <c r="Q24" s="1486"/>
      <c r="R24" s="714"/>
      <c r="S24" s="715"/>
      <c r="T24" s="714"/>
      <c r="U24" s="715"/>
      <c r="V24" s="714"/>
      <c r="W24" s="715"/>
      <c r="X24" s="1489"/>
      <c r="Y24" s="3488"/>
      <c r="Z24" s="1490"/>
      <c r="AA24" s="1487"/>
      <c r="AB24" s="1487"/>
      <c r="AC24" s="1487"/>
    </row>
    <row r="25" spans="1:29" ht="57">
      <c r="A25" s="364"/>
      <c r="B25" s="1246" t="s">
        <v>2328</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v>2</v>
      </c>
      <c r="L25" s="2900"/>
      <c r="M25" s="2894"/>
      <c r="N25" s="2894"/>
      <c r="O25" s="2952"/>
      <c r="P25" s="3488"/>
      <c r="Q25" s="1486" t="str">
        <f t="shared" si="8"/>
        <v>自然及人文环境状况</v>
      </c>
      <c r="R25" s="714" t="s">
        <v>17</v>
      </c>
      <c r="S25" s="715">
        <f>F25</f>
        <v>100</v>
      </c>
      <c r="T25" s="714" t="s">
        <v>17</v>
      </c>
      <c r="U25" s="715">
        <f>H25</f>
        <v>100</v>
      </c>
      <c r="V25" s="714" t="s">
        <v>17</v>
      </c>
      <c r="W25" s="715">
        <f>J25</f>
        <v>100</v>
      </c>
      <c r="X25" s="1489"/>
      <c r="Y25" s="3488"/>
      <c r="Z25" s="1490" t="str">
        <f>Q25</f>
        <v>自然及人文环境状况</v>
      </c>
      <c r="AA25" s="1487">
        <f t="shared" si="3"/>
        <v>1</v>
      </c>
      <c r="AB25" s="1487">
        <f t="shared" si="4"/>
        <v>1</v>
      </c>
      <c r="AC25" s="1487">
        <f t="shared" si="5"/>
        <v>1</v>
      </c>
    </row>
    <row r="26" spans="1:29" ht="15">
      <c r="A26" s="364"/>
      <c r="B26" s="415"/>
      <c r="C26" s="3253" t="s">
        <v>3663</v>
      </c>
      <c r="D26" s="407"/>
      <c r="E26" s="3257" t="s">
        <v>3663</v>
      </c>
      <c r="F26" s="407"/>
      <c r="G26" s="3257" t="s">
        <v>3663</v>
      </c>
      <c r="H26" s="407"/>
      <c r="I26" s="3253" t="s">
        <v>3663</v>
      </c>
      <c r="J26" s="407"/>
      <c r="K26" s="628"/>
      <c r="L26" s="2900"/>
      <c r="M26" s="2894"/>
      <c r="N26" s="2894"/>
      <c r="O26" s="2952"/>
      <c r="P26" s="3488"/>
      <c r="Q26" s="1486"/>
      <c r="R26" s="714"/>
      <c r="S26" s="715"/>
      <c r="T26" s="714"/>
      <c r="U26" s="715"/>
      <c r="V26" s="714"/>
      <c r="W26" s="715"/>
      <c r="X26" s="1489"/>
      <c r="Y26" s="3488"/>
      <c r="Z26" s="1490"/>
      <c r="AA26" s="1487">
        <v>1</v>
      </c>
      <c r="AB26" s="1487">
        <v>1</v>
      </c>
      <c r="AC26" s="1487">
        <v>1</v>
      </c>
    </row>
    <row r="27" spans="1:29" s="113" customFormat="1" ht="42.75">
      <c r="A27" s="605"/>
      <c r="B27" s="1246"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102</v>
      </c>
      <c r="I27" s="413"/>
      <c r="J27" s="409">
        <f>SUMIF(99:99,I28,100:100)-SUMIF(99:99,C28,100:100)+100</f>
        <v>100</v>
      </c>
      <c r="K27" s="629">
        <v>2</v>
      </c>
      <c r="L27" s="2895"/>
      <c r="M27" s="2896"/>
      <c r="N27" s="2896"/>
      <c r="O27" s="2950"/>
      <c r="P27" s="3488"/>
      <c r="Q27" s="1477" t="str">
        <f t="shared" si="8"/>
        <v>公共配套设施</v>
      </c>
      <c r="R27" s="710" t="s">
        <v>17</v>
      </c>
      <c r="S27" s="711">
        <f>F27</f>
        <v>100</v>
      </c>
      <c r="T27" s="710" t="s">
        <v>17</v>
      </c>
      <c r="U27" s="711">
        <f>H27</f>
        <v>102</v>
      </c>
      <c r="V27" s="710" t="s">
        <v>17</v>
      </c>
      <c r="W27" s="711">
        <f>J27</f>
        <v>100</v>
      </c>
      <c r="X27" s="712"/>
      <c r="Y27" s="3488"/>
      <c r="Z27" s="55" t="str">
        <f>Q27</f>
        <v>公共配套设施</v>
      </c>
      <c r="AA27" s="1487">
        <f>D27/F27</f>
        <v>1</v>
      </c>
      <c r="AB27" s="1487">
        <f>D27/H27</f>
        <v>0.98039215686274506</v>
      </c>
      <c r="AC27" s="1487">
        <f>D27/J27</f>
        <v>1</v>
      </c>
    </row>
    <row r="28" spans="1:29" s="113" customFormat="1" ht="15">
      <c r="A28" s="605"/>
      <c r="B28" s="415"/>
      <c r="C28" s="3258" t="s">
        <v>3663</v>
      </c>
      <c r="D28" s="407"/>
      <c r="E28" s="3257" t="s">
        <v>3663</v>
      </c>
      <c r="F28" s="407"/>
      <c r="G28" s="3257" t="s">
        <v>3662</v>
      </c>
      <c r="H28" s="407"/>
      <c r="I28" s="3253" t="s">
        <v>3663</v>
      </c>
      <c r="J28" s="407"/>
      <c r="K28" s="628"/>
      <c r="L28" s="2895"/>
      <c r="M28" s="2896"/>
      <c r="N28" s="2896"/>
      <c r="O28" s="2950"/>
      <c r="P28" s="3488"/>
      <c r="Q28" s="1477"/>
      <c r="R28" s="710"/>
      <c r="S28" s="711"/>
      <c r="T28" s="710"/>
      <c r="U28" s="711"/>
      <c r="V28" s="710"/>
      <c r="W28" s="711"/>
      <c r="X28" s="712"/>
      <c r="Y28" s="3488"/>
      <c r="Z28" s="55"/>
      <c r="AA28" s="1487">
        <v>1</v>
      </c>
      <c r="AB28" s="1487">
        <v>1</v>
      </c>
      <c r="AC28" s="1487">
        <v>1</v>
      </c>
    </row>
    <row r="29" spans="1:29" s="113" customFormat="1" ht="28.5">
      <c r="A29" s="605"/>
      <c r="B29" s="1246"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v>2</v>
      </c>
      <c r="L29" s="2895"/>
      <c r="M29" s="2896"/>
      <c r="N29" s="2896"/>
      <c r="O29" s="2950"/>
      <c r="P29" s="3488"/>
      <c r="Q29" s="1477" t="str">
        <f t="shared" ref="Q29" si="9">B29</f>
        <v>基础设施水平</v>
      </c>
      <c r="R29" s="710" t="s">
        <v>17</v>
      </c>
      <c r="S29" s="711">
        <f>F29</f>
        <v>100</v>
      </c>
      <c r="T29" s="710" t="s">
        <v>17</v>
      </c>
      <c r="U29" s="711">
        <f>H29</f>
        <v>100</v>
      </c>
      <c r="V29" s="710" t="s">
        <v>17</v>
      </c>
      <c r="W29" s="711">
        <f>J29</f>
        <v>100</v>
      </c>
      <c r="X29" s="712"/>
      <c r="Y29" s="3488"/>
      <c r="Z29" s="55" t="str">
        <f>Q29</f>
        <v>基础设施水平</v>
      </c>
      <c r="AA29" s="1487">
        <f>D29/F29</f>
        <v>1</v>
      </c>
      <c r="AB29" s="1487">
        <f>D29/H29</f>
        <v>1</v>
      </c>
      <c r="AC29" s="1487">
        <f>D29/J29</f>
        <v>1</v>
      </c>
    </row>
    <row r="30" spans="1:29" s="113" customFormat="1" ht="15">
      <c r="A30" s="605"/>
      <c r="B30" s="415"/>
      <c r="C30" s="3258" t="s">
        <v>3664</v>
      </c>
      <c r="D30" s="407"/>
      <c r="E30" s="3259" t="s">
        <v>3664</v>
      </c>
      <c r="F30" s="407"/>
      <c r="G30" s="3259" t="s">
        <v>3664</v>
      </c>
      <c r="H30" s="407"/>
      <c r="I30" s="3259" t="s">
        <v>3664</v>
      </c>
      <c r="J30" s="407"/>
      <c r="K30" s="628"/>
      <c r="L30" s="2895"/>
      <c r="M30" s="2896"/>
      <c r="N30" s="2896"/>
      <c r="O30" s="2950"/>
      <c r="P30" s="3488"/>
      <c r="Q30" s="1477"/>
      <c r="R30" s="710"/>
      <c r="S30" s="711"/>
      <c r="T30" s="710"/>
      <c r="U30" s="711"/>
      <c r="V30" s="710"/>
      <c r="W30" s="711"/>
      <c r="X30" s="712"/>
      <c r="Y30" s="3488"/>
      <c r="Z30" s="55"/>
      <c r="AA30" s="1487">
        <v>1</v>
      </c>
      <c r="AB30" s="1487">
        <v>1</v>
      </c>
      <c r="AC30" s="1487">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v>2</v>
      </c>
      <c r="L31" s="2900"/>
      <c r="M31" s="2894"/>
      <c r="N31" s="2894"/>
      <c r="O31" s="2952"/>
      <c r="P31" s="3488"/>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88"/>
      <c r="Z31" s="1490" t="str">
        <f t="shared" ref="Z31:Z45" si="13">Q31</f>
        <v>临街状况</v>
      </c>
      <c r="AA31" s="1487">
        <f t="shared" si="3"/>
        <v>1</v>
      </c>
      <c r="AB31" s="1487">
        <f t="shared" si="4"/>
        <v>1</v>
      </c>
      <c r="AC31" s="1487">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v>2</v>
      </c>
      <c r="L32" s="2900"/>
      <c r="M32" s="2894"/>
      <c r="N32" s="2894"/>
      <c r="O32" s="2952"/>
      <c r="P32" s="3488"/>
      <c r="Q32" s="1486" t="str">
        <f t="shared" si="8"/>
        <v>毗邻道路的类型与等级</v>
      </c>
      <c r="R32" s="714" t="s">
        <v>17</v>
      </c>
      <c r="S32" s="715">
        <f t="shared" si="10"/>
        <v>100</v>
      </c>
      <c r="T32" s="714" t="s">
        <v>17</v>
      </c>
      <c r="U32" s="715">
        <f t="shared" si="11"/>
        <v>100</v>
      </c>
      <c r="V32" s="714" t="s">
        <v>17</v>
      </c>
      <c r="W32" s="715">
        <f t="shared" si="12"/>
        <v>100</v>
      </c>
      <c r="X32" s="1489"/>
      <c r="Y32" s="3488"/>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900"/>
      <c r="M33" s="2894"/>
      <c r="N33" s="2894"/>
      <c r="O33" s="2952"/>
      <c r="P33" s="3488"/>
      <c r="Q33" s="1486"/>
      <c r="R33" s="714"/>
      <c r="S33" s="715"/>
      <c r="T33" s="714"/>
      <c r="U33" s="715"/>
      <c r="V33" s="714"/>
      <c r="W33" s="715"/>
      <c r="X33" s="1489"/>
      <c r="Y33" s="3488"/>
      <c r="Z33" s="1490"/>
      <c r="AA33" s="1487">
        <v>1</v>
      </c>
      <c r="AB33" s="1487">
        <v>1</v>
      </c>
      <c r="AC33" s="1487">
        <v>1</v>
      </c>
    </row>
    <row r="34" spans="1:29" ht="15">
      <c r="A34" s="387"/>
      <c r="B34" s="381" t="s">
        <v>2329</v>
      </c>
      <c r="C34" s="3256" t="s">
        <v>3665</v>
      </c>
      <c r="D34" s="394">
        <v>100</v>
      </c>
      <c r="E34" s="3260" t="s">
        <v>3666</v>
      </c>
      <c r="F34" s="394">
        <f>SUMIF(107:107,E34,108:108)-SUMIF(107:107,C34,108:108)+100</f>
        <v>102</v>
      </c>
      <c r="G34" s="3260" t="s">
        <v>3667</v>
      </c>
      <c r="H34" s="394">
        <f>SUMIF(107:107,G34,108:108)-SUMIF(107:107,C34,108:108)+100</f>
        <v>101</v>
      </c>
      <c r="I34" s="3256" t="s">
        <v>3667</v>
      </c>
      <c r="J34" s="394">
        <f>SUMIF(107:107,I34,108:108)-SUMIF(107:107,C34,108:108)+100</f>
        <v>101</v>
      </c>
      <c r="K34" s="569">
        <v>1</v>
      </c>
      <c r="L34" s="2900"/>
      <c r="M34" s="2894"/>
      <c r="N34" s="2894"/>
      <c r="O34" s="2952"/>
      <c r="P34" s="3488"/>
      <c r="Q34" s="1486" t="str">
        <f t="shared" si="8"/>
        <v>土地级别</v>
      </c>
      <c r="R34" s="714" t="s">
        <v>17</v>
      </c>
      <c r="S34" s="715">
        <f t="shared" si="10"/>
        <v>102</v>
      </c>
      <c r="T34" s="714" t="s">
        <v>17</v>
      </c>
      <c r="U34" s="715">
        <f t="shared" si="11"/>
        <v>101</v>
      </c>
      <c r="V34" s="714" t="s">
        <v>17</v>
      </c>
      <c r="W34" s="715">
        <f t="shared" si="12"/>
        <v>101</v>
      </c>
      <c r="X34" s="1489"/>
      <c r="Y34" s="3488"/>
      <c r="Z34" s="1490" t="str">
        <f t="shared" si="13"/>
        <v>土地级别</v>
      </c>
      <c r="AA34" s="1487">
        <f t="shared" si="3"/>
        <v>0.98039215686274506</v>
      </c>
      <c r="AB34" s="1487">
        <f t="shared" si="4"/>
        <v>0.99009900990099009</v>
      </c>
      <c r="AC34" s="1487">
        <f t="shared" si="5"/>
        <v>0.99009900990099009</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88"/>
      <c r="Q35" s="1486">
        <f t="shared" si="8"/>
        <v>111</v>
      </c>
      <c r="R35" s="714" t="s">
        <v>17</v>
      </c>
      <c r="S35" s="715">
        <f t="shared" si="10"/>
        <v>100</v>
      </c>
      <c r="T35" s="714" t="s">
        <v>17</v>
      </c>
      <c r="U35" s="715">
        <f t="shared" si="11"/>
        <v>100</v>
      </c>
      <c r="V35" s="714" t="s">
        <v>17</v>
      </c>
      <c r="W35" s="715">
        <f t="shared" si="12"/>
        <v>100</v>
      </c>
      <c r="X35" s="1489"/>
      <c r="Y35" s="3488"/>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43" t="s">
        <v>2145</v>
      </c>
      <c r="Q36" s="1486">
        <f t="shared" si="8"/>
        <v>111</v>
      </c>
      <c r="R36" s="714" t="s">
        <v>17</v>
      </c>
      <c r="S36" s="715">
        <f t="shared" si="10"/>
        <v>100</v>
      </c>
      <c r="T36" s="714" t="s">
        <v>17</v>
      </c>
      <c r="U36" s="715">
        <f t="shared" si="11"/>
        <v>100</v>
      </c>
      <c r="V36" s="714" t="s">
        <v>17</v>
      </c>
      <c r="W36" s="715">
        <f t="shared" si="12"/>
        <v>100</v>
      </c>
      <c r="X36" s="1489"/>
      <c r="Y36" s="3492" t="s">
        <v>2145</v>
      </c>
      <c r="Z36" s="1490">
        <f t="shared" si="13"/>
        <v>111</v>
      </c>
      <c r="AA36" s="1487">
        <f t="shared" si="3"/>
        <v>1</v>
      </c>
      <c r="AB36" s="1487">
        <f t="shared" si="4"/>
        <v>1</v>
      </c>
      <c r="AC36" s="1487">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92"/>
      <c r="Q37" s="1486">
        <f t="shared" si="8"/>
        <v>111</v>
      </c>
      <c r="R37" s="717" t="s">
        <v>17</v>
      </c>
      <c r="S37" s="718">
        <f t="shared" si="10"/>
        <v>100</v>
      </c>
      <c r="T37" s="717" t="s">
        <v>17</v>
      </c>
      <c r="U37" s="718">
        <f t="shared" si="11"/>
        <v>100</v>
      </c>
      <c r="V37" s="717" t="s">
        <v>17</v>
      </c>
      <c r="W37" s="718">
        <f t="shared" si="12"/>
        <v>100</v>
      </c>
      <c r="X37" s="719"/>
      <c r="Y37" s="3492"/>
      <c r="Z37" s="720">
        <f t="shared" si="13"/>
        <v>111</v>
      </c>
      <c r="AA37" s="1487">
        <f t="shared" si="3"/>
        <v>1</v>
      </c>
      <c r="AB37" s="1487">
        <f t="shared" si="4"/>
        <v>1</v>
      </c>
      <c r="AC37" s="1487">
        <f t="shared" si="5"/>
        <v>1</v>
      </c>
    </row>
    <row r="38" spans="1:29" ht="15">
      <c r="A38" s="431" t="s">
        <v>2143</v>
      </c>
      <c r="B38" s="415" t="s">
        <v>2330</v>
      </c>
      <c r="C38" s="635">
        <f>'数据-基础表'!A3</f>
        <v>24498.84</v>
      </c>
      <c r="D38" s="426">
        <v>100</v>
      </c>
      <c r="E38" s="635">
        <f>土地案例!E5</f>
        <v>15178.6</v>
      </c>
      <c r="F38" s="426">
        <f>LOOKUP(E38,116:116,117:117)-LOOKUP(C38,116:116,117:117)+100</f>
        <v>99</v>
      </c>
      <c r="G38" s="635">
        <f>土地案例!E6</f>
        <v>15197.52</v>
      </c>
      <c r="H38" s="426">
        <f>LOOKUP(G38,116:116,117:117)-LOOKUP(C38,116:116,117:117)+100</f>
        <v>99</v>
      </c>
      <c r="I38" s="487">
        <f>土地案例!E9</f>
        <v>42276.47</v>
      </c>
      <c r="J38" s="426">
        <f>LOOKUP(I38,116:116,117:117)-LOOKUP(C38,116:116,117:117)+100</f>
        <v>102</v>
      </c>
      <c r="K38" s="570"/>
      <c r="L38" s="2900"/>
      <c r="M38" s="2894"/>
      <c r="N38" s="2894"/>
      <c r="O38" s="2952"/>
      <c r="P38" s="3492"/>
      <c r="Q38" s="1486" t="str">
        <f>B38</f>
        <v>宗地面积</v>
      </c>
      <c r="R38" s="714" t="s">
        <v>17</v>
      </c>
      <c r="S38" s="715">
        <f t="shared" si="10"/>
        <v>99</v>
      </c>
      <c r="T38" s="714" t="s">
        <v>17</v>
      </c>
      <c r="U38" s="715">
        <f t="shared" si="11"/>
        <v>99</v>
      </c>
      <c r="V38" s="714" t="s">
        <v>17</v>
      </c>
      <c r="W38" s="715">
        <f t="shared" si="12"/>
        <v>102</v>
      </c>
      <c r="X38" s="1489"/>
      <c r="Y38" s="3492"/>
      <c r="Z38" s="1490" t="str">
        <f t="shared" si="13"/>
        <v>宗地面积</v>
      </c>
      <c r="AA38" s="1487">
        <f t="shared" si="3"/>
        <v>1.0101010101010102</v>
      </c>
      <c r="AB38" s="1487">
        <f t="shared" si="4"/>
        <v>1.0101010101010102</v>
      </c>
      <c r="AC38" s="1487">
        <f t="shared" si="5"/>
        <v>0.98039215686274506</v>
      </c>
    </row>
    <row r="39" spans="1:29" ht="15">
      <c r="A39" s="431"/>
      <c r="B39" s="381" t="s">
        <v>2331</v>
      </c>
      <c r="C39" s="3262" t="s">
        <v>3669</v>
      </c>
      <c r="D39" s="394">
        <v>100</v>
      </c>
      <c r="E39" s="3262" t="s">
        <v>3669</v>
      </c>
      <c r="F39" s="394">
        <f>SUMIF(118:118,E39,119:119)-SUMIF(118:118,C39,119:119)+100</f>
        <v>100</v>
      </c>
      <c r="G39" s="3262" t="s">
        <v>3669</v>
      </c>
      <c r="H39" s="394">
        <f>SUMIF(118:118,G39,119:119)-SUMIF(118:118,C39,119:119)+100</f>
        <v>100</v>
      </c>
      <c r="I39" s="3262" t="s">
        <v>3669</v>
      </c>
      <c r="J39" s="394">
        <f>SUMIF(118:118,I39,119:119)-SUMIF(118:118,C39,119:119)+100</f>
        <v>100</v>
      </c>
      <c r="K39" s="569"/>
      <c r="L39" s="2900"/>
      <c r="M39" s="2894"/>
      <c r="N39" s="2894"/>
      <c r="O39" s="2952"/>
      <c r="P39" s="3492"/>
      <c r="Q39" s="1486" t="str">
        <f t="shared" ref="Q39:Q45" si="14">B39</f>
        <v>宗地形状</v>
      </c>
      <c r="R39" s="714" t="s">
        <v>17</v>
      </c>
      <c r="S39" s="715">
        <f t="shared" si="10"/>
        <v>100</v>
      </c>
      <c r="T39" s="714" t="s">
        <v>17</v>
      </c>
      <c r="U39" s="715">
        <f t="shared" si="11"/>
        <v>100</v>
      </c>
      <c r="V39" s="714" t="s">
        <v>17</v>
      </c>
      <c r="W39" s="715">
        <f t="shared" si="12"/>
        <v>100</v>
      </c>
      <c r="X39" s="1489"/>
      <c r="Y39" s="3492"/>
      <c r="Z39" s="1490" t="str">
        <f t="shared" si="13"/>
        <v>宗地形状</v>
      </c>
      <c r="AA39" s="1487">
        <f t="shared" si="3"/>
        <v>1</v>
      </c>
      <c r="AB39" s="1487">
        <f t="shared" si="4"/>
        <v>1</v>
      </c>
      <c r="AC39" s="1487">
        <f t="shared" si="5"/>
        <v>1</v>
      </c>
    </row>
    <row r="40" spans="1:29" ht="15">
      <c r="A40" s="431"/>
      <c r="B40" s="381" t="s">
        <v>2332</v>
      </c>
      <c r="C40" s="326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492"/>
      <c r="Q40" s="1486" t="str">
        <f t="shared" si="14"/>
        <v>临街宽度及深度</v>
      </c>
      <c r="R40" s="714" t="s">
        <v>17</v>
      </c>
      <c r="S40" s="715">
        <f t="shared" si="10"/>
        <v>100</v>
      </c>
      <c r="T40" s="714" t="s">
        <v>17</v>
      </c>
      <c r="U40" s="715">
        <f t="shared" si="11"/>
        <v>100</v>
      </c>
      <c r="V40" s="714" t="s">
        <v>17</v>
      </c>
      <c r="W40" s="715">
        <f t="shared" si="12"/>
        <v>100</v>
      </c>
      <c r="X40" s="1489"/>
      <c r="Y40" s="3492"/>
      <c r="Z40" s="1490" t="str">
        <f t="shared" si="13"/>
        <v>临街宽度及深度</v>
      </c>
      <c r="AA40" s="1487">
        <f t="shared" si="3"/>
        <v>1</v>
      </c>
      <c r="AB40" s="1487">
        <f t="shared" si="4"/>
        <v>1</v>
      </c>
      <c r="AC40" s="1487">
        <f t="shared" si="5"/>
        <v>1</v>
      </c>
    </row>
    <row r="41" spans="1:29" s="113" customFormat="1" ht="15">
      <c r="A41" s="432"/>
      <c r="B41" s="381" t="s">
        <v>2333</v>
      </c>
      <c r="C41" s="3263" t="s">
        <v>3670</v>
      </c>
      <c r="D41" s="132">
        <v>100</v>
      </c>
      <c r="E41" s="3263" t="s">
        <v>3671</v>
      </c>
      <c r="F41" s="394">
        <f>SUMIF(122:122,E41,123:123)-SUMIF(122:122,C41,123:123)+100</f>
        <v>98</v>
      </c>
      <c r="G41" s="3263" t="s">
        <v>3672</v>
      </c>
      <c r="H41" s="394">
        <f>SUMIF(122:122,G41,123:123)-SUMIF(122:122,C41,123:123)+100</f>
        <v>94</v>
      </c>
      <c r="I41" s="3263" t="s">
        <v>3671</v>
      </c>
      <c r="J41" s="394">
        <f>SUMIF(122:122,I41,123:123)-SUMIF(122:122,C41,123:123)+100</f>
        <v>98</v>
      </c>
      <c r="K41" s="569">
        <v>2</v>
      </c>
      <c r="L41" s="2895"/>
      <c r="M41" s="2896"/>
      <c r="N41" s="2896"/>
      <c r="O41" s="2950"/>
      <c r="P41" s="3492"/>
      <c r="Q41" s="1486" t="str">
        <f t="shared" si="14"/>
        <v>宗地开发程度</v>
      </c>
      <c r="R41" s="710" t="s">
        <v>17</v>
      </c>
      <c r="S41" s="711">
        <f t="shared" si="10"/>
        <v>98</v>
      </c>
      <c r="T41" s="710" t="s">
        <v>17</v>
      </c>
      <c r="U41" s="711">
        <f t="shared" si="11"/>
        <v>94</v>
      </c>
      <c r="V41" s="710" t="s">
        <v>17</v>
      </c>
      <c r="W41" s="711">
        <f t="shared" si="12"/>
        <v>98</v>
      </c>
      <c r="X41" s="712"/>
      <c r="Y41" s="3492"/>
      <c r="Z41" s="55" t="str">
        <f t="shared" si="13"/>
        <v>宗地开发程度</v>
      </c>
      <c r="AA41" s="713">
        <f t="shared" si="3"/>
        <v>1.0204081632653061</v>
      </c>
      <c r="AB41" s="713">
        <f t="shared" si="4"/>
        <v>1.0638297872340425</v>
      </c>
      <c r="AC41" s="713">
        <f t="shared" si="5"/>
        <v>1.0204081632653061</v>
      </c>
    </row>
    <row r="42" spans="1:29" ht="15">
      <c r="A42" s="431"/>
      <c r="B42" s="381" t="s">
        <v>2334</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492" t="s">
        <v>2145</v>
      </c>
      <c r="Q42" s="1486" t="str">
        <f t="shared" si="14"/>
        <v>工程地质条件</v>
      </c>
      <c r="R42" s="714" t="s">
        <v>17</v>
      </c>
      <c r="S42" s="715">
        <f t="shared" si="10"/>
        <v>100</v>
      </c>
      <c r="T42" s="714" t="s">
        <v>17</v>
      </c>
      <c r="U42" s="715">
        <f t="shared" si="11"/>
        <v>100</v>
      </c>
      <c r="V42" s="714" t="s">
        <v>17</v>
      </c>
      <c r="W42" s="715">
        <f t="shared" si="12"/>
        <v>100</v>
      </c>
      <c r="X42" s="1489"/>
      <c r="Y42" s="3492" t="s">
        <v>2145</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92"/>
      <c r="Q43" s="1486">
        <f t="shared" si="14"/>
        <v>111</v>
      </c>
      <c r="R43" s="714" t="s">
        <v>17</v>
      </c>
      <c r="S43" s="715">
        <f t="shared" si="10"/>
        <v>100</v>
      </c>
      <c r="T43" s="714" t="s">
        <v>17</v>
      </c>
      <c r="U43" s="715">
        <f t="shared" si="11"/>
        <v>100</v>
      </c>
      <c r="V43" s="714" t="s">
        <v>17</v>
      </c>
      <c r="W43" s="715">
        <f t="shared" si="12"/>
        <v>100</v>
      </c>
      <c r="X43" s="1489"/>
      <c r="Y43" s="3492"/>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92"/>
      <c r="Q44" s="1486">
        <f t="shared" si="14"/>
        <v>111</v>
      </c>
      <c r="R44" s="714" t="s">
        <v>17</v>
      </c>
      <c r="S44" s="715">
        <f t="shared" si="10"/>
        <v>100</v>
      </c>
      <c r="T44" s="714" t="s">
        <v>17</v>
      </c>
      <c r="U44" s="715">
        <f t="shared" si="11"/>
        <v>100</v>
      </c>
      <c r="V44" s="714" t="s">
        <v>17</v>
      </c>
      <c r="W44" s="715">
        <f t="shared" si="12"/>
        <v>100</v>
      </c>
      <c r="X44" s="1489"/>
      <c r="Y44" s="3492"/>
      <c r="Z44" s="1490">
        <f t="shared" si="13"/>
        <v>111</v>
      </c>
      <c r="AA44" s="1487">
        <f t="shared" si="3"/>
        <v>1</v>
      </c>
      <c r="AB44" s="1487">
        <f t="shared" si="4"/>
        <v>1</v>
      </c>
      <c r="AC44" s="1487">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92"/>
      <c r="Q45" s="1486">
        <f t="shared" si="14"/>
        <v>111</v>
      </c>
      <c r="R45" s="717" t="s">
        <v>17</v>
      </c>
      <c r="S45" s="718">
        <f t="shared" si="10"/>
        <v>100</v>
      </c>
      <c r="T45" s="717" t="s">
        <v>17</v>
      </c>
      <c r="U45" s="718">
        <f t="shared" si="11"/>
        <v>100</v>
      </c>
      <c r="V45" s="717" t="s">
        <v>17</v>
      </c>
      <c r="W45" s="718">
        <f t="shared" si="12"/>
        <v>100</v>
      </c>
      <c r="X45" s="719"/>
      <c r="Y45" s="3492"/>
      <c r="Z45" s="720">
        <f t="shared" si="13"/>
        <v>111</v>
      </c>
      <c r="AA45" s="1487">
        <f t="shared" si="3"/>
        <v>1</v>
      </c>
      <c r="AB45" s="1487">
        <f t="shared" si="4"/>
        <v>1</v>
      </c>
      <c r="AC45" s="1487">
        <f t="shared" si="5"/>
        <v>1</v>
      </c>
    </row>
    <row r="46" spans="1:29" ht="15">
      <c r="A46" s="438" t="s">
        <v>2300</v>
      </c>
      <c r="B46" s="2118" t="s">
        <v>2335</v>
      </c>
      <c r="C46" s="638" t="s">
        <v>1</v>
      </c>
      <c r="D46" s="440"/>
      <c r="E46" s="441">
        <f>土地案例!S5</f>
        <v>12825</v>
      </c>
      <c r="F46" s="442"/>
      <c r="G46" s="443">
        <f>土地案例!S6</f>
        <v>14015</v>
      </c>
      <c r="H46" s="444"/>
      <c r="I46" s="441">
        <f>土地案例!S9</f>
        <v>11413</v>
      </c>
      <c r="J46" s="444"/>
      <c r="K46" s="723"/>
      <c r="L46" s="2902"/>
      <c r="M46" s="2903"/>
      <c r="N46" s="2894"/>
      <c r="O46" s="2903"/>
      <c r="P46" s="3485" t="str">
        <f>A46</f>
        <v>成交单价</v>
      </c>
      <c r="Q46" s="3485"/>
      <c r="R46" s="3516">
        <f>E46</f>
        <v>12825</v>
      </c>
      <c r="S46" s="3516"/>
      <c r="T46" s="3516">
        <f>G46</f>
        <v>14015</v>
      </c>
      <c r="U46" s="3516"/>
      <c r="V46" s="3516">
        <f>I46</f>
        <v>11413</v>
      </c>
      <c r="W46" s="3516"/>
      <c r="X46" s="699"/>
      <c r="Y46" s="721"/>
      <c r="Z46" s="699"/>
      <c r="AA46" s="699"/>
      <c r="AB46" s="699"/>
      <c r="AC46" s="699"/>
    </row>
    <row r="47" spans="1:29" ht="15.75" thickBot="1">
      <c r="A47" s="445" t="s">
        <v>2249</v>
      </c>
      <c r="B47" s="639"/>
      <c r="C47" s="448">
        <f>R48</f>
        <v>13019</v>
      </c>
      <c r="D47" s="2488" t="s">
        <v>2638</v>
      </c>
      <c r="E47" s="448">
        <f>R47</f>
        <v>12318</v>
      </c>
      <c r="F47" s="2489"/>
      <c r="G47" s="447">
        <f>T47</f>
        <v>14518</v>
      </c>
      <c r="H47" s="2489"/>
      <c r="I47" s="448">
        <f>V47</f>
        <v>12221</v>
      </c>
      <c r="J47" s="2489"/>
      <c r="K47" s="2491">
        <f>F47+H47+J47</f>
        <v>0</v>
      </c>
      <c r="L47" s="2902"/>
      <c r="M47" s="2903"/>
      <c r="N47" s="2903"/>
      <c r="O47" s="2903"/>
      <c r="P47" s="3485" t="str">
        <f>A47</f>
        <v>比较价值（元/平方米）</v>
      </c>
      <c r="Q47" s="3485"/>
      <c r="R47" s="3545">
        <f>ROUND(PRODUCT(R46,AA7:AA45),0)</f>
        <v>12318</v>
      </c>
      <c r="S47" s="3545"/>
      <c r="T47" s="3545">
        <f>ROUND(PRODUCT(T46,AB7:AB45),0)</f>
        <v>14518</v>
      </c>
      <c r="U47" s="3545"/>
      <c r="V47" s="3545">
        <f>ROUND(PRODUCT(V46,AC7:AC45),0)</f>
        <v>12221</v>
      </c>
      <c r="W47" s="3545"/>
      <c r="X47" s="699"/>
      <c r="Y47" s="699"/>
      <c r="Z47" s="699"/>
      <c r="AA47" s="699"/>
      <c r="AB47" s="699"/>
      <c r="AC47" s="699"/>
    </row>
    <row r="48" spans="1:29" ht="15.75" thickBot="1">
      <c r="A48" s="449" t="s">
        <v>2336</v>
      </c>
      <c r="B48" s="450"/>
      <c r="C48" s="451">
        <f>R48</f>
        <v>13019</v>
      </c>
      <c r="D48" s="451"/>
      <c r="E48" s="451"/>
      <c r="F48" s="451"/>
      <c r="G48" s="451"/>
      <c r="H48" s="451"/>
      <c r="I48" s="451"/>
      <c r="J48" s="451"/>
      <c r="K48" s="724"/>
      <c r="L48" s="2902"/>
      <c r="M48" s="2903"/>
      <c r="N48" s="2903"/>
      <c r="O48" s="2903"/>
      <c r="P48" s="3482" t="str">
        <f>A48</f>
        <v>估价对象XX用房的比较价值（楼面单价，元/平方米）</v>
      </c>
      <c r="Q48" s="3483"/>
      <c r="R48" s="3546">
        <f>ROUND(IF(D47="简单平均",AVERAGE(R47:W47),R47*F47+T47*H47+V47*J47),0)</f>
        <v>13019</v>
      </c>
      <c r="S48" s="3546"/>
      <c r="T48" s="3546"/>
      <c r="U48" s="3546"/>
      <c r="V48" s="3546"/>
      <c r="W48" s="3546"/>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f>IF(E46&lt;E47,E47/E46-1,E46/E47-1)</f>
        <v>4.1159279103750501E-2</v>
      </c>
      <c r="F51" s="457" t="str">
        <f>IF(OR(E51&gt;=0.3,E51&lt;=-0.3),"超过30%","")</f>
        <v/>
      </c>
      <c r="G51" s="456">
        <f>IF(G46&lt;G47,G47/G46-1,G46/G47-1)</f>
        <v>3.589011773100248E-2</v>
      </c>
      <c r="H51" s="457" t="str">
        <f>IF(OR(G51&gt;=0.3,G51&lt;=-0.3),"超过30%","")</f>
        <v/>
      </c>
      <c r="I51" s="456">
        <f>IF(I46&lt;I47,I47/I46-1,I46/I47-1)</f>
        <v>7.079646017699126E-2</v>
      </c>
      <c r="J51" s="457" t="str">
        <f>IF(OR(I51&gt;=0.3,I51&lt;=-0.3),"超过30%","")</f>
        <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f>IF(E47&lt;G47,G47/E47-1,E47/G47-1)</f>
        <v>0.17860042214645233</v>
      </c>
      <c r="F52" s="457" t="str">
        <f>IF(OR(E52&gt;=0.2,E52&lt;=-0.2),"超过20%","")</f>
        <v/>
      </c>
      <c r="G52" s="456">
        <f>IF(G47&lt;I47,I47/G47-1,G47/I47-1)</f>
        <v>0.18795515915227878</v>
      </c>
      <c r="H52" s="457" t="str">
        <f>IF(OR(G52&gt;=0.2,G52&lt;=-0.2),"超过20%","")</f>
        <v/>
      </c>
      <c r="I52" s="456">
        <f>IF(I47&lt;E47,E47/I47-1,I47/E47-1)</f>
        <v>7.937157352098767E-3</v>
      </c>
      <c r="J52" s="457" t="str">
        <f>IF(OR(I52&gt;=0.2,I52&lt;=-0.2),"超过20%","")</f>
        <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f>IF(E46&lt;G46,G46/E46-1,E46/G46-1)</f>
        <v>9.2787524366471752E-2</v>
      </c>
      <c r="F53" s="457" t="str">
        <f>IF(OR(E53&gt;=0.3,E53&lt;=-0.3),"超过30%","")</f>
        <v/>
      </c>
      <c r="G53" s="456">
        <f>IF(G46&lt;I46,I46/G46-1,G46/I46-1)</f>
        <v>0.22798563042144915</v>
      </c>
      <c r="H53" s="457" t="str">
        <f>IF(OR(G53&gt;=0.3,G53&lt;=-0.3),"超过30%","")</f>
        <v/>
      </c>
      <c r="I53" s="456">
        <f>IF(I46&lt;E46,E46/I46-1,I46/E46-1)</f>
        <v>0.12371856654692026</v>
      </c>
      <c r="J53" s="457" t="str">
        <f>IF(OR(I53&gt;=0.3,I53&lt;=-0.3),"超过30%","")</f>
        <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2337</v>
      </c>
      <c r="B55" s="641" t="s">
        <v>2338</v>
      </c>
      <c r="C55" s="2119" t="s">
        <v>2339</v>
      </c>
      <c r="D55" s="2120" t="s">
        <v>2340</v>
      </c>
      <c r="E55" s="642" t="s">
        <v>2341</v>
      </c>
      <c r="F55" s="1002" t="s">
        <v>2342</v>
      </c>
      <c r="G55" s="3500" t="s">
        <v>2343</v>
      </c>
      <c r="H55" s="3547"/>
      <c r="I55" s="140" t="s">
        <v>2344</v>
      </c>
      <c r="J55" s="2121">
        <f>项目基本情况!F35</f>
        <v>0</v>
      </c>
      <c r="K55" s="2122" t="s">
        <v>2345</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2346</v>
      </c>
      <c r="B56" s="645">
        <f>C48</f>
        <v>13019</v>
      </c>
      <c r="C56" s="646">
        <v>1</v>
      </c>
      <c r="D56" s="1056">
        <v>1</v>
      </c>
      <c r="E56" s="646">
        <f>'数据-汇总表'!E8+'数据-汇总表'!E9</f>
        <v>85551.93</v>
      </c>
      <c r="F56" s="998">
        <f t="shared" ref="F56:F64" si="15">ROUND(B56*E56/10000,0)</f>
        <v>111380</v>
      </c>
      <c r="G56" s="3496"/>
      <c r="H56" s="3485"/>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2347</v>
      </c>
      <c r="B57" s="224">
        <f>ROUND($C$48*C57*D57,0)</f>
        <v>1953</v>
      </c>
      <c r="C57" s="176">
        <f t="shared" ref="C57:C64" si="16">IF($C$55="北京市系数",I57,J57)</f>
        <v>0.6</v>
      </c>
      <c r="D57" s="1057">
        <v>0.25</v>
      </c>
      <c r="E57" s="650">
        <f>'数据-基础表'!K13</f>
        <v>18136.540000000008</v>
      </c>
      <c r="F57" s="998">
        <f t="shared" si="15"/>
        <v>3542</v>
      </c>
      <c r="G57" s="3227" t="s">
        <v>2348</v>
      </c>
      <c r="H57" s="999" t="str">
        <f>项目基本情况!B37</f>
        <v>七级</v>
      </c>
      <c r="I57" s="1003">
        <f>SUMIF(修正!A57:A68,H57,修正!B57:B68)</f>
        <v>0.6</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2349</v>
      </c>
      <c r="B58" s="224">
        <f t="shared" ref="B58:B64" si="17">ROUND($C$48*C58*D58,0)</f>
        <v>976</v>
      </c>
      <c r="C58" s="176">
        <f t="shared" si="16"/>
        <v>0.3</v>
      </c>
      <c r="D58" s="1057">
        <v>0.25</v>
      </c>
      <c r="E58" s="650"/>
      <c r="F58" s="998">
        <f t="shared" si="15"/>
        <v>0</v>
      </c>
      <c r="G58" s="3228"/>
      <c r="H58" s="999" t="str">
        <f>项目基本情况!B37</f>
        <v>七级</v>
      </c>
      <c r="I58" s="1003">
        <f>SUMIF(修正!A57:A68,H58,修正!C57:C68)</f>
        <v>0.3</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2350</v>
      </c>
      <c r="B59" s="224">
        <f t="shared" si="17"/>
        <v>814</v>
      </c>
      <c r="C59" s="176">
        <f t="shared" si="16"/>
        <v>0.25</v>
      </c>
      <c r="D59" s="1057">
        <v>0.25</v>
      </c>
      <c r="E59" s="650"/>
      <c r="F59" s="998">
        <f t="shared" si="15"/>
        <v>0</v>
      </c>
      <c r="G59" s="3228"/>
      <c r="H59" s="999" t="str">
        <f>项目基本情况!B37</f>
        <v>七级</v>
      </c>
      <c r="I59" s="1003">
        <f>SUMIF(修正!A57:A68,H59,修正!D57:D68)</f>
        <v>0.25</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2351</v>
      </c>
      <c r="B60" s="224">
        <f t="shared" si="17"/>
        <v>0</v>
      </c>
      <c r="C60" s="176">
        <f t="shared" si="16"/>
        <v>0</v>
      </c>
      <c r="D60" s="1057">
        <v>0.25</v>
      </c>
      <c r="E60" s="223">
        <f>'数据-汇总表'!E11</f>
        <v>0</v>
      </c>
      <c r="F60" s="998">
        <f t="shared" si="15"/>
        <v>0</v>
      </c>
      <c r="G60" s="2123" t="s">
        <v>2352</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2353</v>
      </c>
      <c r="B61" s="224">
        <f t="shared" si="17"/>
        <v>0</v>
      </c>
      <c r="C61" s="176">
        <f t="shared" si="16"/>
        <v>0</v>
      </c>
      <c r="D61" s="1057">
        <v>0.25</v>
      </c>
      <c r="E61" s="223">
        <f>'数据-汇总表'!E12</f>
        <v>0</v>
      </c>
      <c r="F61" s="998">
        <f t="shared" si="15"/>
        <v>0</v>
      </c>
      <c r="G61" s="1004" t="s">
        <v>2354</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2355</v>
      </c>
      <c r="B62" s="224">
        <f t="shared" si="17"/>
        <v>0</v>
      </c>
      <c r="C62" s="176">
        <f t="shared" si="16"/>
        <v>0</v>
      </c>
      <c r="D62" s="1057">
        <v>0.25</v>
      </c>
      <c r="E62" s="223">
        <f>'数据-汇总表'!E13</f>
        <v>0</v>
      </c>
      <c r="F62" s="998">
        <f t="shared" si="15"/>
        <v>0</v>
      </c>
      <c r="G62" s="1004" t="s">
        <v>2356</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2357</v>
      </c>
      <c r="B63" s="224">
        <f t="shared" si="17"/>
        <v>488</v>
      </c>
      <c r="C63" s="176">
        <f t="shared" si="16"/>
        <v>0.15</v>
      </c>
      <c r="D63" s="1057">
        <v>0.25</v>
      </c>
      <c r="E63" s="223">
        <f>'数据-汇总表'!E14</f>
        <v>16275.06</v>
      </c>
      <c r="F63" s="998">
        <f t="shared" si="15"/>
        <v>794</v>
      </c>
      <c r="G63" s="2123" t="s">
        <v>2348</v>
      </c>
      <c r="H63" s="999" t="str">
        <f>项目基本情况!B37</f>
        <v>七级</v>
      </c>
      <c r="I63" s="1003">
        <f>SUMIF(修正!A57:A68,H63,修正!G57:G68)</f>
        <v>0.15</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2358</v>
      </c>
      <c r="B64" s="224">
        <f t="shared" si="17"/>
        <v>0</v>
      </c>
      <c r="C64" s="176">
        <f t="shared" si="16"/>
        <v>0</v>
      </c>
      <c r="D64" s="1057">
        <v>0.25</v>
      </c>
      <c r="E64" s="223">
        <f>'数据-汇总表'!E15</f>
        <v>0</v>
      </c>
      <c r="F64" s="998">
        <f t="shared" si="15"/>
        <v>0</v>
      </c>
      <c r="G64" s="2124" t="s">
        <v>2352</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2359</v>
      </c>
      <c r="B65" s="652" t="s">
        <v>28</v>
      </c>
      <c r="C65" s="652" t="s">
        <v>29</v>
      </c>
      <c r="D65" s="652" t="s">
        <v>816</v>
      </c>
      <c r="E65" s="652">
        <f>IF(B46="楼面地价",SUM(E56:E64),'数据-汇总表'!D3)</f>
        <v>119963.53</v>
      </c>
      <c r="F65" s="653">
        <f>IF(B46="楼面地价",SUM(F56:F64),ROUND(C48*E65/10000,0))</f>
        <v>115716</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2022-9-1</v>
      </c>
      <c r="D67" s="701">
        <f>EDATE(C67,-3)</f>
        <v>44713</v>
      </c>
      <c r="E67" s="701">
        <f>EDATE(D67,-3)</f>
        <v>44621</v>
      </c>
      <c r="F67" s="701">
        <f t="shared" ref="F67:O67" si="18">EDATE(E67,-3)</f>
        <v>44531</v>
      </c>
      <c r="G67" s="701">
        <f t="shared" si="18"/>
        <v>44440</v>
      </c>
      <c r="H67" s="701">
        <f t="shared" si="18"/>
        <v>44348</v>
      </c>
      <c r="I67" s="701">
        <f t="shared" si="18"/>
        <v>44256</v>
      </c>
      <c r="J67" s="701">
        <f t="shared" si="18"/>
        <v>44166</v>
      </c>
      <c r="K67" s="701">
        <f t="shared" si="18"/>
        <v>44075</v>
      </c>
      <c r="L67" s="701">
        <f t="shared" si="18"/>
        <v>43983</v>
      </c>
      <c r="M67" s="701">
        <f t="shared" si="18"/>
        <v>43891</v>
      </c>
      <c r="N67" s="701">
        <f t="shared" si="18"/>
        <v>43800</v>
      </c>
      <c r="O67" s="701">
        <f t="shared" si="18"/>
        <v>43709</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5" t="s">
        <v>2360</v>
      </c>
      <c r="B69" s="1222"/>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6" t="s">
        <v>2361</v>
      </c>
      <c r="B70" s="294" t="str">
        <f>"北京市平均增长率"&amp;TEXT(SUMIF(基准地价修正!N21:N25,A70,基准地价修正!P21:P25),"0.00%")</f>
        <v>北京市平均增长率0.00%</v>
      </c>
      <c r="C70" s="560">
        <v>100</v>
      </c>
      <c r="D70" s="552">
        <v>99.5</v>
      </c>
      <c r="E70" s="552">
        <v>99</v>
      </c>
      <c r="F70" s="552">
        <v>98.5</v>
      </c>
      <c r="G70" s="552">
        <v>98</v>
      </c>
      <c r="H70" s="552">
        <v>97.5</v>
      </c>
      <c r="I70" s="552">
        <v>97</v>
      </c>
      <c r="J70" s="552">
        <v>96.5</v>
      </c>
      <c r="K70" s="552">
        <v>96</v>
      </c>
      <c r="L70" s="552">
        <v>95.5</v>
      </c>
      <c r="M70" s="552">
        <v>95</v>
      </c>
      <c r="N70" s="552">
        <v>94.5</v>
      </c>
      <c r="O70" s="552">
        <v>94</v>
      </c>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t="s">
        <v>3652</v>
      </c>
      <c r="D74" s="487" t="s">
        <v>3654</v>
      </c>
      <c r="E74" s="487" t="s">
        <v>3656</v>
      </c>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v>100</v>
      </c>
      <c r="D75" s="493">
        <v>90</v>
      </c>
      <c r="E75" s="493">
        <v>85</v>
      </c>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0（含）-1</v>
      </c>
      <c r="D78" s="504" t="str">
        <f t="shared" ref="D78:L78" si="20">D79&amp;"（含）"&amp;"-"&amp;E79</f>
        <v>1（含）-2</v>
      </c>
      <c r="E78" s="504" t="str">
        <f t="shared" si="20"/>
        <v>2（含）-3</v>
      </c>
      <c r="F78" s="504" t="str">
        <f t="shared" si="20"/>
        <v>3（含）-4</v>
      </c>
      <c r="G78" s="504" t="str">
        <f t="shared" si="20"/>
        <v>4（含）-5</v>
      </c>
      <c r="H78" s="504" t="str">
        <f t="shared" si="20"/>
        <v>5（含）-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v>0</v>
      </c>
      <c r="D79" s="506">
        <v>1</v>
      </c>
      <c r="E79" s="506">
        <v>2</v>
      </c>
      <c r="F79" s="506">
        <v>3</v>
      </c>
      <c r="G79" s="506">
        <v>4</v>
      </c>
      <c r="H79" s="506">
        <v>5</v>
      </c>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95</v>
      </c>
      <c r="E80" s="501">
        <f t="shared" si="21"/>
        <v>90</v>
      </c>
      <c r="F80" s="501">
        <f t="shared" si="21"/>
        <v>85</v>
      </c>
      <c r="G80" s="501">
        <f t="shared" si="21"/>
        <v>80</v>
      </c>
      <c r="H80" s="501">
        <f t="shared" si="21"/>
        <v>75</v>
      </c>
      <c r="I80" s="501">
        <f t="shared" si="21"/>
        <v>70</v>
      </c>
      <c r="J80" s="501">
        <f t="shared" si="21"/>
        <v>65</v>
      </c>
      <c r="K80" s="501">
        <f t="shared" si="21"/>
        <v>60</v>
      </c>
      <c r="L80" s="501">
        <f t="shared" si="21"/>
        <v>55</v>
      </c>
      <c r="M80" s="501">
        <f t="shared" si="21"/>
        <v>50</v>
      </c>
      <c r="N80" s="2932"/>
      <c r="O80" s="2932"/>
      <c r="P80" s="2956"/>
      <c r="Q80" s="2917"/>
      <c r="R80" s="2903"/>
      <c r="S80" s="2903"/>
      <c r="T80" s="2903"/>
      <c r="U80" s="2903"/>
      <c r="V80" s="2903"/>
      <c r="W80" s="2903"/>
      <c r="X80" s="2903"/>
      <c r="Y80" s="2903"/>
      <c r="Z80" s="2903"/>
      <c r="AA80" s="2903"/>
      <c r="AB80" s="2903"/>
      <c r="AC80" s="2903"/>
    </row>
    <row r="81" spans="1:29" s="430" customFormat="1" ht="28.5" thickTop="1">
      <c r="A81" s="510"/>
      <c r="B81" s="495" t="str">
        <f>B12</f>
        <v>自持限制</v>
      </c>
      <c r="C81" s="3249" t="s">
        <v>3659</v>
      </c>
      <c r="D81" s="511" t="s">
        <v>3658</v>
      </c>
      <c r="E81" s="3249" t="s">
        <v>3661</v>
      </c>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v>100</v>
      </c>
      <c r="D82" s="493">
        <v>90</v>
      </c>
      <c r="E82" s="493">
        <v>80</v>
      </c>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2362</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95</v>
      </c>
      <c r="E90" s="501">
        <f>D90-$K17</f>
        <v>90</v>
      </c>
      <c r="F90" s="501">
        <f>E90-$K17</f>
        <v>85</v>
      </c>
      <c r="G90" s="501">
        <f>F90-$K17</f>
        <v>80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98</v>
      </c>
      <c r="E92" s="501">
        <f>D92-$K19</f>
        <v>96</v>
      </c>
      <c r="F92" s="501">
        <f>E92-$K19</f>
        <v>94</v>
      </c>
      <c r="G92" s="501">
        <f>F92-$K19</f>
        <v>92</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97</v>
      </c>
      <c r="E94" s="501">
        <f>D94-$K21</f>
        <v>94</v>
      </c>
      <c r="F94" s="501">
        <f>E94-$K21</f>
        <v>91</v>
      </c>
      <c r="G94" s="501">
        <f>F94-$K21</f>
        <v>88</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2363</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98</v>
      </c>
      <c r="E96" s="501">
        <f>D96-$K23</f>
        <v>96</v>
      </c>
      <c r="F96" s="501">
        <f>E96-$K23</f>
        <v>94</v>
      </c>
      <c r="G96" s="501">
        <f>F96-$K23</f>
        <v>92</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2364</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98</v>
      </c>
      <c r="E98" s="501">
        <f>D98-$K25</f>
        <v>96</v>
      </c>
      <c r="F98" s="501">
        <f>E98-$K25</f>
        <v>94</v>
      </c>
      <c r="G98" s="501">
        <f>F98-$K25</f>
        <v>92</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98</v>
      </c>
      <c r="E100" s="501">
        <f>D100-$K27</f>
        <v>96</v>
      </c>
      <c r="F100" s="501">
        <f>E100-$K27</f>
        <v>94</v>
      </c>
      <c r="G100" s="501">
        <f>F100-$K27</f>
        <v>92</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98</v>
      </c>
      <c r="E102" s="501">
        <f>D102-$K29</f>
        <v>96</v>
      </c>
      <c r="F102" s="501">
        <f>E102-$K29</f>
        <v>94</v>
      </c>
      <c r="G102" s="501">
        <f>F102-$K29</f>
        <v>92</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98</v>
      </c>
      <c r="E104" s="501">
        <f t="shared" si="22"/>
        <v>96</v>
      </c>
      <c r="F104" s="501">
        <f t="shared" si="22"/>
        <v>94</v>
      </c>
      <c r="G104" s="501">
        <f t="shared" si="22"/>
        <v>92</v>
      </c>
      <c r="H104" s="501">
        <f t="shared" si="22"/>
        <v>90</v>
      </c>
      <c r="I104" s="501">
        <f t="shared" si="22"/>
        <v>88</v>
      </c>
      <c r="J104" s="501">
        <f t="shared" si="22"/>
        <v>86</v>
      </c>
      <c r="K104" s="501">
        <f t="shared" si="22"/>
        <v>84</v>
      </c>
      <c r="L104" s="501">
        <f t="shared" si="22"/>
        <v>82</v>
      </c>
      <c r="M104" s="501">
        <f t="shared" si="22"/>
        <v>80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98</v>
      </c>
      <c r="E106" s="501">
        <f t="shared" si="23"/>
        <v>96</v>
      </c>
      <c r="F106" s="501">
        <f t="shared" si="23"/>
        <v>94</v>
      </c>
      <c r="G106" s="501">
        <f t="shared" si="23"/>
        <v>92</v>
      </c>
      <c r="H106" s="501">
        <f t="shared" si="23"/>
        <v>90</v>
      </c>
      <c r="I106" s="501">
        <f t="shared" si="23"/>
        <v>88</v>
      </c>
      <c r="J106" s="501">
        <f t="shared" si="23"/>
        <v>86</v>
      </c>
      <c r="K106" s="501">
        <f t="shared" si="23"/>
        <v>84</v>
      </c>
      <c r="L106" s="501">
        <f t="shared" si="23"/>
        <v>82</v>
      </c>
      <c r="M106" s="501">
        <f t="shared" si="23"/>
        <v>80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2329</v>
      </c>
      <c r="C107" s="3261" t="s">
        <v>3666</v>
      </c>
      <c r="D107" s="3261" t="s">
        <v>3667</v>
      </c>
      <c r="E107" s="3261" t="s">
        <v>3668</v>
      </c>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99</v>
      </c>
      <c r="E108" s="501">
        <f t="shared" si="24"/>
        <v>98</v>
      </c>
      <c r="F108" s="501">
        <f t="shared" si="24"/>
        <v>97</v>
      </c>
      <c r="G108" s="501">
        <f t="shared" si="24"/>
        <v>96</v>
      </c>
      <c r="H108" s="501">
        <f t="shared" si="24"/>
        <v>95</v>
      </c>
      <c r="I108" s="501">
        <f t="shared" si="24"/>
        <v>94</v>
      </c>
      <c r="J108" s="501">
        <f t="shared" si="24"/>
        <v>93</v>
      </c>
      <c r="K108" s="501">
        <f t="shared" si="24"/>
        <v>92</v>
      </c>
      <c r="L108" s="501">
        <f t="shared" si="24"/>
        <v>91</v>
      </c>
      <c r="M108" s="501">
        <f t="shared" si="24"/>
        <v>90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ht="28.5">
      <c r="A115" s="484" t="s">
        <v>2143</v>
      </c>
      <c r="B115" s="485" t="s">
        <v>2369</v>
      </c>
      <c r="C115" s="486" t="str">
        <f>C116&amp;"(含)"&amp;"-"&amp;D116</f>
        <v>0(含)-10000</v>
      </c>
      <c r="D115" s="486" t="str">
        <f t="shared" ref="D115:M115" si="25">D116&amp;"(含)"&amp;"-"&amp;E116</f>
        <v>10000(含)-20000</v>
      </c>
      <c r="E115" s="486" t="str">
        <f t="shared" si="25"/>
        <v>20000(含)-30000</v>
      </c>
      <c r="F115" s="486" t="str">
        <f t="shared" si="25"/>
        <v>30000(含)-40000</v>
      </c>
      <c r="G115" s="486" t="str">
        <f t="shared" si="25"/>
        <v>40000(含)-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v>0</v>
      </c>
      <c r="D116" s="552">
        <v>10000</v>
      </c>
      <c r="E116" s="552">
        <v>20000</v>
      </c>
      <c r="F116" s="552">
        <v>30000</v>
      </c>
      <c r="G116" s="552">
        <v>40000</v>
      </c>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v>100</v>
      </c>
      <c r="D117" s="548">
        <v>101</v>
      </c>
      <c r="E117" s="548">
        <v>102</v>
      </c>
      <c r="F117" s="548">
        <v>103</v>
      </c>
      <c r="G117" s="548">
        <v>104</v>
      </c>
      <c r="H117" s="548">
        <v>105</v>
      </c>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2370</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2371</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2372</v>
      </c>
      <c r="C122" s="3249" t="s">
        <v>3664</v>
      </c>
      <c r="D122" s="3249" t="s">
        <v>3670</v>
      </c>
      <c r="E122" s="3249" t="s">
        <v>3671</v>
      </c>
      <c r="F122" s="3249" t="s">
        <v>3673</v>
      </c>
      <c r="G122" s="3249" t="s">
        <v>3672</v>
      </c>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98</v>
      </c>
      <c r="E123" s="501">
        <f t="shared" si="28"/>
        <v>96</v>
      </c>
      <c r="F123" s="501">
        <f t="shared" si="28"/>
        <v>94</v>
      </c>
      <c r="G123" s="501">
        <f t="shared" si="28"/>
        <v>92</v>
      </c>
      <c r="H123" s="501">
        <f t="shared" si="28"/>
        <v>90</v>
      </c>
      <c r="I123" s="501">
        <f t="shared" si="28"/>
        <v>88</v>
      </c>
      <c r="J123" s="501">
        <f t="shared" si="28"/>
        <v>86</v>
      </c>
      <c r="K123" s="501">
        <f t="shared" si="28"/>
        <v>84</v>
      </c>
      <c r="L123" s="501">
        <f t="shared" si="28"/>
        <v>82</v>
      </c>
      <c r="M123" s="502">
        <f t="shared" si="28"/>
        <v>80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2373</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2374</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7"/>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500" t="s">
        <v>2226</v>
      </c>
      <c r="D4" s="3501"/>
      <c r="E4" s="3502" t="s">
        <v>2227</v>
      </c>
      <c r="F4" s="3503"/>
      <c r="G4" s="3500" t="s">
        <v>2228</v>
      </c>
      <c r="H4" s="3501"/>
      <c r="I4" s="3500" t="s">
        <v>2229</v>
      </c>
      <c r="J4" s="3501"/>
      <c r="K4" s="567" t="s">
        <v>2230</v>
      </c>
      <c r="L4" s="2893"/>
      <c r="M4" s="2894"/>
      <c r="N4" s="2894"/>
      <c r="O4" s="2894"/>
      <c r="P4" s="3504" t="s">
        <v>2231</v>
      </c>
      <c r="Q4" s="3505"/>
      <c r="R4" s="3510" t="s">
        <v>2227</v>
      </c>
      <c r="S4" s="3511"/>
      <c r="T4" s="3510" t="s">
        <v>2228</v>
      </c>
      <c r="U4" s="3511"/>
      <c r="V4" s="3516" t="s">
        <v>2229</v>
      </c>
      <c r="W4" s="3516"/>
      <c r="X4" s="1489"/>
      <c r="Y4" s="3510" t="s">
        <v>2231</v>
      </c>
      <c r="Z4" s="3511"/>
      <c r="AA4" s="3497" t="s">
        <v>2227</v>
      </c>
      <c r="AB4" s="3498" t="s">
        <v>2228</v>
      </c>
      <c r="AC4" s="3497" t="s">
        <v>2229</v>
      </c>
    </row>
    <row r="5" spans="1:29" ht="15">
      <c r="A5" s="364"/>
      <c r="B5" s="365"/>
      <c r="C5" s="3519" t="s">
        <v>2122</v>
      </c>
      <c r="D5" s="3520"/>
      <c r="E5" s="3526" t="s">
        <v>2123</v>
      </c>
      <c r="F5" s="3527"/>
      <c r="G5" s="3519" t="s">
        <v>2124</v>
      </c>
      <c r="H5" s="3520"/>
      <c r="I5" s="3519" t="s">
        <v>2125</v>
      </c>
      <c r="J5" s="3520"/>
      <c r="K5" s="567"/>
      <c r="L5" s="2893"/>
      <c r="M5" s="2894"/>
      <c r="N5" s="2894"/>
      <c r="O5" s="2894"/>
      <c r="P5" s="3506"/>
      <c r="Q5" s="3507"/>
      <c r="R5" s="3512"/>
      <c r="S5" s="3513"/>
      <c r="T5" s="3512"/>
      <c r="U5" s="3513"/>
      <c r="V5" s="3516"/>
      <c r="W5" s="3516"/>
      <c r="X5" s="1489"/>
      <c r="Y5" s="3512"/>
      <c r="Z5" s="3513"/>
      <c r="AA5" s="3498"/>
      <c r="AB5" s="3498"/>
      <c r="AC5" s="3498"/>
    </row>
    <row r="6" spans="1:29" ht="15.75" thickBot="1">
      <c r="A6" s="366"/>
      <c r="B6" s="367"/>
      <c r="C6" s="3548" t="s">
        <v>2375</v>
      </c>
      <c r="D6" s="3549"/>
      <c r="E6" s="3550" t="s">
        <v>2375</v>
      </c>
      <c r="F6" s="3551"/>
      <c r="G6" s="3548" t="s">
        <v>2375</v>
      </c>
      <c r="H6" s="3549"/>
      <c r="I6" s="3548" t="s">
        <v>2375</v>
      </c>
      <c r="J6" s="3549"/>
      <c r="K6" s="567" t="s">
        <v>2127</v>
      </c>
      <c r="L6" s="2893"/>
      <c r="M6" s="2894"/>
      <c r="N6" s="2894"/>
      <c r="O6" s="2894"/>
      <c r="P6" s="3508"/>
      <c r="Q6" s="3509"/>
      <c r="R6" s="3512"/>
      <c r="S6" s="3513"/>
      <c r="T6" s="3514"/>
      <c r="U6" s="3515"/>
      <c r="V6" s="3516"/>
      <c r="W6" s="3516"/>
      <c r="X6" s="1489"/>
      <c r="Y6" s="3514"/>
      <c r="Z6" s="3515"/>
      <c r="AA6" s="3499"/>
      <c r="AB6" s="3499"/>
      <c r="AC6" s="3499"/>
    </row>
    <row r="7" spans="1:29" s="113" customFormat="1" ht="15.75" thickBot="1">
      <c r="A7" s="368" t="s">
        <v>2128</v>
      </c>
      <c r="B7" s="369"/>
      <c r="C7" s="370">
        <f>'数据-取费表'!B2</f>
        <v>44827</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521" t="s">
        <v>2129</v>
      </c>
      <c r="Q7" s="3523"/>
      <c r="R7" s="710" t="s">
        <v>17</v>
      </c>
      <c r="S7" s="711">
        <f t="shared" ref="S7:S15" si="0">F7</f>
        <v>0</v>
      </c>
      <c r="T7" s="710" t="s">
        <v>17</v>
      </c>
      <c r="U7" s="711">
        <f t="shared" ref="U7:U15" si="1">H7</f>
        <v>0</v>
      </c>
      <c r="V7" s="710" t="s">
        <v>17</v>
      </c>
      <c r="W7" s="711">
        <f t="shared" ref="W7:W15" si="2">J7</f>
        <v>0</v>
      </c>
      <c r="X7" s="712"/>
      <c r="Y7" s="3521" t="s">
        <v>2129</v>
      </c>
      <c r="Z7" s="3522"/>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521" t="s">
        <v>2132</v>
      </c>
      <c r="Q8" s="3522"/>
      <c r="R8" s="710" t="s">
        <v>17</v>
      </c>
      <c r="S8" s="711">
        <f t="shared" si="0"/>
        <v>0</v>
      </c>
      <c r="T8" s="710" t="s">
        <v>17</v>
      </c>
      <c r="U8" s="711">
        <f t="shared" si="1"/>
        <v>0</v>
      </c>
      <c r="V8" s="710" t="s">
        <v>17</v>
      </c>
      <c r="W8" s="711">
        <f t="shared" si="2"/>
        <v>0</v>
      </c>
      <c r="X8" s="712"/>
      <c r="Y8" s="3521" t="s">
        <v>2132</v>
      </c>
      <c r="Z8" s="3522"/>
      <c r="AA8" s="713" t="e">
        <f t="shared" ref="AA8:AA40" si="3">D8/F8</f>
        <v>#DIV/0!</v>
      </c>
      <c r="AB8" s="713" t="e">
        <f t="shared" ref="AB8:AB40" si="4">D8/H8</f>
        <v>#DIV/0!</v>
      </c>
      <c r="AC8" s="713"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485" t="s">
        <v>2135</v>
      </c>
      <c r="Q9" s="1477" t="str">
        <f t="shared" ref="Q9:Q15" si="6">B9</f>
        <v>用途</v>
      </c>
      <c r="R9" s="710" t="s">
        <v>17</v>
      </c>
      <c r="S9" s="711">
        <f t="shared" si="0"/>
        <v>100</v>
      </c>
      <c r="T9" s="710" t="s">
        <v>17</v>
      </c>
      <c r="U9" s="711">
        <f t="shared" si="1"/>
        <v>100</v>
      </c>
      <c r="V9" s="710" t="s">
        <v>17</v>
      </c>
      <c r="W9" s="711">
        <f t="shared" si="2"/>
        <v>100</v>
      </c>
      <c r="X9" s="712"/>
      <c r="Y9" s="3357"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113</v>
      </c>
      <c r="G10" s="391"/>
      <c r="H10" s="132">
        <f>ROUND(100/'数据-取费表'!G16,0)</f>
        <v>113</v>
      </c>
      <c r="I10" s="391"/>
      <c r="J10" s="132">
        <f>ROUND(100/'数据-取费表'!G16,0)</f>
        <v>113</v>
      </c>
      <c r="K10" s="628"/>
      <c r="L10" s="2897"/>
      <c r="M10" s="2898"/>
      <c r="N10" s="2898"/>
      <c r="O10" s="2951"/>
      <c r="P10" s="3485"/>
      <c r="Q10" s="1477" t="str">
        <f t="shared" si="6"/>
        <v>土地使用年限（年）</v>
      </c>
      <c r="R10" s="710" t="s">
        <v>17</v>
      </c>
      <c r="S10" s="711">
        <f t="shared" si="0"/>
        <v>113</v>
      </c>
      <c r="T10" s="710" t="s">
        <v>17</v>
      </c>
      <c r="U10" s="711">
        <f t="shared" si="1"/>
        <v>113</v>
      </c>
      <c r="V10" s="710" t="s">
        <v>17</v>
      </c>
      <c r="W10" s="711">
        <f t="shared" si="2"/>
        <v>113</v>
      </c>
      <c r="X10" s="712"/>
      <c r="Y10" s="3357"/>
      <c r="Z10" s="55" t="str">
        <f t="shared" si="7"/>
        <v>土地使用年限（年）</v>
      </c>
      <c r="AA10" s="713">
        <f t="shared" si="3"/>
        <v>0.88495575221238942</v>
      </c>
      <c r="AB10" s="713">
        <f t="shared" si="4"/>
        <v>0.88495575221238942</v>
      </c>
      <c r="AC10" s="713">
        <f t="shared" si="5"/>
        <v>0.88495575221238942</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85"/>
      <c r="Q11" s="1477" t="str">
        <f t="shared" si="6"/>
        <v>容积率</v>
      </c>
      <c r="R11" s="710" t="s">
        <v>17</v>
      </c>
      <c r="S11" s="711" t="e">
        <f t="shared" si="0"/>
        <v>#N/A</v>
      </c>
      <c r="T11" s="710" t="s">
        <v>17</v>
      </c>
      <c r="U11" s="711" t="e">
        <f t="shared" si="1"/>
        <v>#N/A</v>
      </c>
      <c r="V11" s="710" t="s">
        <v>17</v>
      </c>
      <c r="W11" s="711" t="e">
        <f t="shared" si="2"/>
        <v>#N/A</v>
      </c>
      <c r="X11" s="712"/>
      <c r="Y11" s="3357"/>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85"/>
      <c r="Q12" s="1477">
        <f t="shared" si="6"/>
        <v>111</v>
      </c>
      <c r="R12" s="710" t="s">
        <v>17</v>
      </c>
      <c r="S12" s="711">
        <f t="shared" si="0"/>
        <v>100</v>
      </c>
      <c r="T12" s="710" t="s">
        <v>17</v>
      </c>
      <c r="U12" s="711">
        <f t="shared" si="1"/>
        <v>100</v>
      </c>
      <c r="V12" s="710" t="s">
        <v>17</v>
      </c>
      <c r="W12" s="711">
        <f t="shared" si="2"/>
        <v>100</v>
      </c>
      <c r="X12" s="712"/>
      <c r="Y12" s="3357"/>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85"/>
      <c r="Q13" s="1477">
        <f t="shared" si="6"/>
        <v>111</v>
      </c>
      <c r="R13" s="710" t="s">
        <v>17</v>
      </c>
      <c r="S13" s="711">
        <f t="shared" si="0"/>
        <v>100</v>
      </c>
      <c r="T13" s="710" t="s">
        <v>17</v>
      </c>
      <c r="U13" s="711">
        <f t="shared" si="1"/>
        <v>100</v>
      </c>
      <c r="V13" s="710" t="s">
        <v>17</v>
      </c>
      <c r="W13" s="711">
        <f t="shared" si="2"/>
        <v>100</v>
      </c>
      <c r="X13" s="712"/>
      <c r="Y13" s="3357"/>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85"/>
      <c r="Q14" s="1477">
        <f t="shared" si="6"/>
        <v>111</v>
      </c>
      <c r="R14" s="710" t="s">
        <v>17</v>
      </c>
      <c r="S14" s="711">
        <f t="shared" si="0"/>
        <v>100</v>
      </c>
      <c r="T14" s="710" t="s">
        <v>17</v>
      </c>
      <c r="U14" s="711">
        <f t="shared" si="1"/>
        <v>100</v>
      </c>
      <c r="V14" s="710" t="s">
        <v>17</v>
      </c>
      <c r="W14" s="711">
        <f t="shared" si="2"/>
        <v>100</v>
      </c>
      <c r="X14" s="712"/>
      <c r="Y14" s="3357"/>
      <c r="Z14" s="55">
        <f t="shared" si="7"/>
        <v>111</v>
      </c>
      <c r="AA14" s="713">
        <f t="shared" si="3"/>
        <v>1</v>
      </c>
      <c r="AB14" s="713">
        <f t="shared" si="4"/>
        <v>1</v>
      </c>
      <c r="AC14" s="713">
        <f t="shared" si="5"/>
        <v>1</v>
      </c>
    </row>
    <row r="15" spans="1:29" ht="57">
      <c r="A15" s="399" t="s">
        <v>2139</v>
      </c>
      <c r="B15" s="585" t="s">
        <v>2376</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87" t="s">
        <v>2140</v>
      </c>
      <c r="Q15" s="1486" t="str">
        <f t="shared" si="6"/>
        <v>产业集聚程度</v>
      </c>
      <c r="R15" s="714" t="s">
        <v>17</v>
      </c>
      <c r="S15" s="715">
        <f t="shared" si="0"/>
        <v>100</v>
      </c>
      <c r="T15" s="714" t="s">
        <v>17</v>
      </c>
      <c r="U15" s="715">
        <f t="shared" si="1"/>
        <v>100</v>
      </c>
      <c r="V15" s="714" t="s">
        <v>17</v>
      </c>
      <c r="W15" s="715">
        <f t="shared" si="2"/>
        <v>100</v>
      </c>
      <c r="X15" s="1489"/>
      <c r="Y15" s="3487" t="s">
        <v>2140</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900"/>
      <c r="M16" s="2894"/>
      <c r="N16" s="2894"/>
      <c r="O16" s="2952"/>
      <c r="P16" s="3488"/>
      <c r="Q16" s="1486"/>
      <c r="R16" s="714"/>
      <c r="S16" s="715"/>
      <c r="T16" s="714"/>
      <c r="U16" s="715"/>
      <c r="V16" s="714"/>
      <c r="W16" s="715"/>
      <c r="X16" s="1489"/>
      <c r="Y16" s="3488"/>
      <c r="Z16" s="1490"/>
      <c r="AA16" s="1487">
        <v>1</v>
      </c>
      <c r="AB16" s="1487">
        <v>1</v>
      </c>
      <c r="AC16" s="1487">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88"/>
      <c r="Q17" s="1486" t="str">
        <f>B17</f>
        <v>交通便捷度</v>
      </c>
      <c r="R17" s="714" t="s">
        <v>17</v>
      </c>
      <c r="S17" s="715">
        <f>F17</f>
        <v>100</v>
      </c>
      <c r="T17" s="714" t="s">
        <v>17</v>
      </c>
      <c r="U17" s="715">
        <f>H17</f>
        <v>100</v>
      </c>
      <c r="V17" s="714" t="s">
        <v>17</v>
      </c>
      <c r="W17" s="715">
        <f>J17</f>
        <v>100</v>
      </c>
      <c r="X17" s="1489"/>
      <c r="Y17" s="3488"/>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900"/>
      <c r="M18" s="2894"/>
      <c r="N18" s="2894"/>
      <c r="O18" s="2952"/>
      <c r="P18" s="3488"/>
      <c r="Q18" s="1486"/>
      <c r="R18" s="714"/>
      <c r="S18" s="715"/>
      <c r="T18" s="714"/>
      <c r="U18" s="715"/>
      <c r="V18" s="714"/>
      <c r="W18" s="715"/>
      <c r="X18" s="1489"/>
      <c r="Y18" s="3488"/>
      <c r="Z18" s="1490"/>
      <c r="AA18" s="1487">
        <v>1</v>
      </c>
      <c r="AB18" s="1487">
        <v>1</v>
      </c>
      <c r="AC18" s="1487">
        <v>1</v>
      </c>
    </row>
    <row r="19" spans="1:29" ht="15">
      <c r="A19" s="387"/>
      <c r="B19" s="587" t="s">
        <v>2327</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88"/>
      <c r="Q19" s="1486" t="str">
        <f t="shared" ref="Q19:Q33" si="8">B19</f>
        <v>区域土地利用方向</v>
      </c>
      <c r="R19" s="714" t="s">
        <v>17</v>
      </c>
      <c r="S19" s="715">
        <f>F19</f>
        <v>100</v>
      </c>
      <c r="T19" s="714" t="s">
        <v>17</v>
      </c>
      <c r="U19" s="715">
        <f>H19</f>
        <v>100</v>
      </c>
      <c r="V19" s="714" t="s">
        <v>17</v>
      </c>
      <c r="W19" s="715">
        <f>J19</f>
        <v>100</v>
      </c>
      <c r="X19" s="1489"/>
      <c r="Y19" s="3488"/>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1"/>
      <c r="L20" s="2900"/>
      <c r="M20" s="2894"/>
      <c r="N20" s="2894"/>
      <c r="O20" s="2952"/>
      <c r="P20" s="3488"/>
      <c r="Q20" s="1486"/>
      <c r="R20" s="714"/>
      <c r="S20" s="715"/>
      <c r="T20" s="714"/>
      <c r="U20" s="715"/>
      <c r="V20" s="714"/>
      <c r="W20" s="715"/>
      <c r="X20" s="1489"/>
      <c r="Y20" s="3488"/>
      <c r="Z20" s="1490"/>
      <c r="AA20" s="1487"/>
      <c r="AB20" s="1487"/>
      <c r="AC20" s="1487"/>
    </row>
    <row r="21" spans="1:29" ht="71.25">
      <c r="A21" s="364"/>
      <c r="B21" s="587" t="s">
        <v>2377</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88"/>
      <c r="Q21" s="1486" t="str">
        <f t="shared" si="8"/>
        <v>环境状况</v>
      </c>
      <c r="R21" s="714" t="s">
        <v>17</v>
      </c>
      <c r="S21" s="715">
        <f>F21</f>
        <v>100</v>
      </c>
      <c r="T21" s="714" t="s">
        <v>17</v>
      </c>
      <c r="U21" s="715">
        <f>H21</f>
        <v>100</v>
      </c>
      <c r="V21" s="714" t="s">
        <v>17</v>
      </c>
      <c r="W21" s="715">
        <f>J21</f>
        <v>100</v>
      </c>
      <c r="X21" s="1489"/>
      <c r="Y21" s="3488"/>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900"/>
      <c r="M22" s="2894"/>
      <c r="N22" s="2894"/>
      <c r="O22" s="2952"/>
      <c r="P22" s="3488"/>
      <c r="Q22" s="1486"/>
      <c r="R22" s="714"/>
      <c r="S22" s="715"/>
      <c r="T22" s="714"/>
      <c r="U22" s="715"/>
      <c r="V22" s="714"/>
      <c r="W22" s="715"/>
      <c r="X22" s="1489"/>
      <c r="Y22" s="3488"/>
      <c r="Z22" s="1490"/>
      <c r="AA22" s="1487">
        <v>1</v>
      </c>
      <c r="AB22" s="1487">
        <v>1</v>
      </c>
      <c r="AC22" s="1487">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88"/>
      <c r="Q23" s="1477" t="str">
        <f t="shared" si="8"/>
        <v>公共配套设施</v>
      </c>
      <c r="R23" s="710" t="s">
        <v>17</v>
      </c>
      <c r="S23" s="711">
        <f>F23</f>
        <v>100</v>
      </c>
      <c r="T23" s="710" t="s">
        <v>17</v>
      </c>
      <c r="U23" s="711">
        <f>H23</f>
        <v>100</v>
      </c>
      <c r="V23" s="710" t="s">
        <v>17</v>
      </c>
      <c r="W23" s="711">
        <f>J23</f>
        <v>100</v>
      </c>
      <c r="X23" s="712"/>
      <c r="Y23" s="3488"/>
      <c r="Z23" s="55" t="str">
        <f>Q23</f>
        <v>公共配套设施</v>
      </c>
      <c r="AA23" s="1487">
        <f>D23/F23</f>
        <v>1</v>
      </c>
      <c r="AB23" s="1487">
        <f>D23/H23</f>
        <v>1</v>
      </c>
      <c r="AC23" s="1487">
        <f>D23/J23</f>
        <v>1</v>
      </c>
    </row>
    <row r="24" spans="1:29" s="113" customFormat="1" ht="15">
      <c r="A24" s="605"/>
      <c r="B24" s="588"/>
      <c r="C24" s="2114"/>
      <c r="D24" s="407"/>
      <c r="E24" s="2040"/>
      <c r="F24" s="407"/>
      <c r="G24" s="2040"/>
      <c r="H24" s="407"/>
      <c r="I24" s="406"/>
      <c r="J24" s="407"/>
      <c r="K24" s="628"/>
      <c r="L24" s="2895"/>
      <c r="M24" s="2896"/>
      <c r="N24" s="2896"/>
      <c r="O24" s="2950"/>
      <c r="P24" s="3488"/>
      <c r="Q24" s="1477"/>
      <c r="R24" s="710"/>
      <c r="S24" s="711"/>
      <c r="T24" s="710"/>
      <c r="U24" s="711"/>
      <c r="V24" s="710"/>
      <c r="W24" s="711"/>
      <c r="X24" s="712"/>
      <c r="Y24" s="3488"/>
      <c r="Z24" s="55"/>
      <c r="AA24" s="713">
        <v>1</v>
      </c>
      <c r="AB24" s="713">
        <v>1</v>
      </c>
      <c r="AC24" s="713">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88"/>
      <c r="Q25" s="1477" t="str">
        <f t="shared" ref="Q25" si="9">B25</f>
        <v>基础设施水平</v>
      </c>
      <c r="R25" s="710" t="s">
        <v>17</v>
      </c>
      <c r="S25" s="711">
        <f>F25</f>
        <v>100</v>
      </c>
      <c r="T25" s="710" t="s">
        <v>17</v>
      </c>
      <c r="U25" s="711">
        <f>H25</f>
        <v>100</v>
      </c>
      <c r="V25" s="710" t="s">
        <v>17</v>
      </c>
      <c r="W25" s="711">
        <f>J25</f>
        <v>100</v>
      </c>
      <c r="X25" s="712"/>
      <c r="Y25" s="3488"/>
      <c r="Z25" s="55" t="str">
        <f>Q25</f>
        <v>基础设施水平</v>
      </c>
      <c r="AA25" s="1487">
        <f>D25/F25</f>
        <v>1</v>
      </c>
      <c r="AB25" s="1487">
        <f>D25/H25</f>
        <v>1</v>
      </c>
      <c r="AC25" s="1487">
        <f>D25/J25</f>
        <v>1</v>
      </c>
    </row>
    <row r="26" spans="1:29" s="113" customFormat="1" ht="15">
      <c r="A26" s="605"/>
      <c r="B26" s="588"/>
      <c r="C26" s="2114"/>
      <c r="D26" s="407"/>
      <c r="E26" s="2115"/>
      <c r="F26" s="407"/>
      <c r="G26" s="2115"/>
      <c r="H26" s="407"/>
      <c r="I26" s="2115"/>
      <c r="J26" s="407"/>
      <c r="K26" s="628"/>
      <c r="L26" s="2895"/>
      <c r="M26" s="2896"/>
      <c r="N26" s="2896"/>
      <c r="O26" s="2950"/>
      <c r="P26" s="3488"/>
      <c r="Q26" s="1477"/>
      <c r="R26" s="710"/>
      <c r="S26" s="711"/>
      <c r="T26" s="710"/>
      <c r="U26" s="711"/>
      <c r="V26" s="710"/>
      <c r="W26" s="711"/>
      <c r="X26" s="712"/>
      <c r="Y26" s="3488"/>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88"/>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88"/>
      <c r="Z27" s="1490" t="str">
        <f t="shared" ref="Z27:Z40" si="13">Q27</f>
        <v>临街状况</v>
      </c>
      <c r="AA27" s="1487">
        <f t="shared" si="3"/>
        <v>1</v>
      </c>
      <c r="AB27" s="1487">
        <f t="shared" si="4"/>
        <v>1</v>
      </c>
      <c r="AC27" s="1487">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88"/>
      <c r="Q28" s="1486" t="str">
        <f t="shared" si="8"/>
        <v>毗邻道路的类型与等级</v>
      </c>
      <c r="R28" s="714" t="s">
        <v>17</v>
      </c>
      <c r="S28" s="715">
        <f t="shared" si="10"/>
        <v>100</v>
      </c>
      <c r="T28" s="714" t="s">
        <v>17</v>
      </c>
      <c r="U28" s="715">
        <f t="shared" si="11"/>
        <v>100</v>
      </c>
      <c r="V28" s="714" t="s">
        <v>17</v>
      </c>
      <c r="W28" s="715">
        <f t="shared" si="12"/>
        <v>100</v>
      </c>
      <c r="X28" s="1489"/>
      <c r="Y28" s="3488"/>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900"/>
      <c r="M29" s="2894"/>
      <c r="N29" s="2894"/>
      <c r="O29" s="2952"/>
      <c r="P29" s="3488"/>
      <c r="Q29" s="1486"/>
      <c r="R29" s="714"/>
      <c r="S29" s="715"/>
      <c r="T29" s="714"/>
      <c r="U29" s="715"/>
      <c r="V29" s="714"/>
      <c r="W29" s="715"/>
      <c r="X29" s="1489"/>
      <c r="Y29" s="3488"/>
      <c r="Z29" s="1490"/>
      <c r="AA29" s="1487">
        <v>1</v>
      </c>
      <c r="AB29" s="1487">
        <v>1</v>
      </c>
      <c r="AC29" s="1487">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88"/>
      <c r="Q30" s="1486" t="str">
        <f t="shared" si="8"/>
        <v>土地级别</v>
      </c>
      <c r="R30" s="714" t="s">
        <v>17</v>
      </c>
      <c r="S30" s="715">
        <f t="shared" si="10"/>
        <v>100</v>
      </c>
      <c r="T30" s="714" t="s">
        <v>17</v>
      </c>
      <c r="U30" s="715">
        <f t="shared" si="11"/>
        <v>100</v>
      </c>
      <c r="V30" s="714" t="s">
        <v>17</v>
      </c>
      <c r="W30" s="715">
        <f t="shared" si="12"/>
        <v>100</v>
      </c>
      <c r="X30" s="1489"/>
      <c r="Y30" s="3488"/>
      <c r="Z30" s="1490" t="str">
        <f t="shared" si="13"/>
        <v>土地级别</v>
      </c>
      <c r="AA30" s="1487">
        <f t="shared" si="3"/>
        <v>1</v>
      </c>
      <c r="AB30" s="1487">
        <f t="shared" si="4"/>
        <v>1</v>
      </c>
      <c r="AC30" s="1487">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88"/>
      <c r="Q31" s="1486">
        <f t="shared" si="8"/>
        <v>111</v>
      </c>
      <c r="R31" s="714" t="s">
        <v>17</v>
      </c>
      <c r="S31" s="715">
        <f t="shared" si="10"/>
        <v>100</v>
      </c>
      <c r="T31" s="714" t="s">
        <v>17</v>
      </c>
      <c r="U31" s="715">
        <f t="shared" si="11"/>
        <v>100</v>
      </c>
      <c r="V31" s="714" t="s">
        <v>17</v>
      </c>
      <c r="W31" s="715">
        <f t="shared" si="12"/>
        <v>100</v>
      </c>
      <c r="X31" s="1489"/>
      <c r="Y31" s="3488"/>
      <c r="Z31" s="1490">
        <f t="shared" si="13"/>
        <v>111</v>
      </c>
      <c r="AA31" s="1487">
        <f t="shared" si="3"/>
        <v>1</v>
      </c>
      <c r="AB31" s="1487">
        <f t="shared" si="4"/>
        <v>1</v>
      </c>
      <c r="AC31" s="1487">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43" t="s">
        <v>2145</v>
      </c>
      <c r="Q32" s="1486">
        <f t="shared" si="8"/>
        <v>111</v>
      </c>
      <c r="R32" s="714" t="s">
        <v>17</v>
      </c>
      <c r="S32" s="715">
        <f t="shared" si="10"/>
        <v>100</v>
      </c>
      <c r="T32" s="714" t="s">
        <v>17</v>
      </c>
      <c r="U32" s="715">
        <f t="shared" si="11"/>
        <v>100</v>
      </c>
      <c r="V32" s="714" t="s">
        <v>17</v>
      </c>
      <c r="W32" s="715">
        <f t="shared" si="12"/>
        <v>100</v>
      </c>
      <c r="X32" s="1489"/>
      <c r="Y32" s="3492" t="s">
        <v>2145</v>
      </c>
      <c r="Z32" s="1490">
        <f t="shared" si="13"/>
        <v>111</v>
      </c>
      <c r="AA32" s="1487">
        <f t="shared" si="3"/>
        <v>1</v>
      </c>
      <c r="AB32" s="1487">
        <f t="shared" si="4"/>
        <v>1</v>
      </c>
      <c r="AC32" s="1487">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92"/>
      <c r="Q33" s="1486">
        <f t="shared" si="8"/>
        <v>111</v>
      </c>
      <c r="R33" s="717" t="s">
        <v>17</v>
      </c>
      <c r="S33" s="718">
        <f t="shared" si="10"/>
        <v>100</v>
      </c>
      <c r="T33" s="717" t="s">
        <v>17</v>
      </c>
      <c r="U33" s="718">
        <f t="shared" si="11"/>
        <v>100</v>
      </c>
      <c r="V33" s="717" t="s">
        <v>17</v>
      </c>
      <c r="W33" s="718">
        <f t="shared" si="12"/>
        <v>100</v>
      </c>
      <c r="X33" s="719"/>
      <c r="Y33" s="3492"/>
      <c r="Z33" s="720">
        <f t="shared" si="13"/>
        <v>111</v>
      </c>
      <c r="AA33" s="1487">
        <f t="shared" si="3"/>
        <v>1</v>
      </c>
      <c r="AB33" s="1487">
        <f t="shared" si="4"/>
        <v>1</v>
      </c>
      <c r="AC33" s="1487">
        <f t="shared" si="5"/>
        <v>1</v>
      </c>
    </row>
    <row r="34" spans="1:31" ht="15">
      <c r="A34" s="399" t="s">
        <v>2143</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92"/>
      <c r="Q34" s="1486" t="str">
        <f>B34</f>
        <v>宗地面积</v>
      </c>
      <c r="R34" s="714" t="s">
        <v>17</v>
      </c>
      <c r="S34" s="715" t="e">
        <f t="shared" si="10"/>
        <v>#N/A</v>
      </c>
      <c r="T34" s="714" t="s">
        <v>17</v>
      </c>
      <c r="U34" s="715" t="e">
        <f t="shared" si="11"/>
        <v>#N/A</v>
      </c>
      <c r="V34" s="714" t="s">
        <v>17</v>
      </c>
      <c r="W34" s="715" t="e">
        <f t="shared" si="12"/>
        <v>#N/A</v>
      </c>
      <c r="X34" s="1489"/>
      <c r="Y34" s="3492"/>
      <c r="Z34" s="1490" t="str">
        <f t="shared" si="13"/>
        <v>宗地面积</v>
      </c>
      <c r="AA34" s="1487" t="e">
        <f t="shared" si="3"/>
        <v>#N/A</v>
      </c>
      <c r="AB34" s="1487" t="e">
        <f t="shared" si="4"/>
        <v>#N/A</v>
      </c>
      <c r="AC34" s="1487" t="e">
        <f t="shared" si="5"/>
        <v>#N/A</v>
      </c>
    </row>
    <row r="35" spans="1:31" ht="15">
      <c r="A35" s="431"/>
      <c r="B35" s="381" t="s">
        <v>2331</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492"/>
      <c r="Q35" s="1486" t="str">
        <f t="shared" ref="Q35:Q40" si="14">B35</f>
        <v>宗地形状</v>
      </c>
      <c r="R35" s="714" t="s">
        <v>17</v>
      </c>
      <c r="S35" s="715">
        <f t="shared" si="10"/>
        <v>100</v>
      </c>
      <c r="T35" s="714" t="s">
        <v>17</v>
      </c>
      <c r="U35" s="715">
        <f t="shared" si="11"/>
        <v>100</v>
      </c>
      <c r="V35" s="714" t="s">
        <v>17</v>
      </c>
      <c r="W35" s="715">
        <f t="shared" si="12"/>
        <v>100</v>
      </c>
      <c r="X35" s="1489"/>
      <c r="Y35" s="3492"/>
      <c r="Z35" s="1490" t="str">
        <f t="shared" si="13"/>
        <v>宗地形状</v>
      </c>
      <c r="AA35" s="1487">
        <f t="shared" si="3"/>
        <v>1</v>
      </c>
      <c r="AB35" s="1487">
        <f t="shared" si="4"/>
        <v>1</v>
      </c>
      <c r="AC35" s="1487">
        <f t="shared" si="5"/>
        <v>1</v>
      </c>
    </row>
    <row r="36" spans="1:31" s="113" customFormat="1" ht="15">
      <c r="A36" s="432"/>
      <c r="B36" s="381" t="s">
        <v>2333</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492"/>
      <c r="Q36" s="1486" t="str">
        <f t="shared" si="14"/>
        <v>宗地开发程度</v>
      </c>
      <c r="R36" s="710" t="s">
        <v>17</v>
      </c>
      <c r="S36" s="711">
        <f t="shared" si="10"/>
        <v>100</v>
      </c>
      <c r="T36" s="710" t="s">
        <v>17</v>
      </c>
      <c r="U36" s="711">
        <f t="shared" si="11"/>
        <v>100</v>
      </c>
      <c r="V36" s="710" t="s">
        <v>17</v>
      </c>
      <c r="W36" s="711">
        <f t="shared" si="12"/>
        <v>100</v>
      </c>
      <c r="X36" s="712"/>
      <c r="Y36" s="3492"/>
      <c r="Z36" s="55" t="str">
        <f t="shared" si="13"/>
        <v>宗地开发程度</v>
      </c>
      <c r="AA36" s="713">
        <f t="shared" si="3"/>
        <v>1</v>
      </c>
      <c r="AB36" s="713">
        <f t="shared" si="4"/>
        <v>1</v>
      </c>
      <c r="AC36" s="713">
        <f t="shared" si="5"/>
        <v>1</v>
      </c>
    </row>
    <row r="37" spans="1:31" ht="15">
      <c r="A37" s="431"/>
      <c r="B37" s="381" t="s">
        <v>2334</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492" t="s">
        <v>2145</v>
      </c>
      <c r="Q37" s="1486" t="str">
        <f t="shared" si="14"/>
        <v>工程地质条件</v>
      </c>
      <c r="R37" s="714" t="s">
        <v>17</v>
      </c>
      <c r="S37" s="715">
        <f t="shared" si="10"/>
        <v>100</v>
      </c>
      <c r="T37" s="714" t="s">
        <v>17</v>
      </c>
      <c r="U37" s="715">
        <f t="shared" si="11"/>
        <v>100</v>
      </c>
      <c r="V37" s="714" t="s">
        <v>17</v>
      </c>
      <c r="W37" s="715">
        <f t="shared" si="12"/>
        <v>100</v>
      </c>
      <c r="X37" s="1489"/>
      <c r="Y37" s="3492" t="s">
        <v>2145</v>
      </c>
      <c r="Z37" s="1490" t="str">
        <f t="shared" si="13"/>
        <v>工程地质条件</v>
      </c>
      <c r="AA37" s="1487">
        <f t="shared" si="3"/>
        <v>1</v>
      </c>
      <c r="AB37" s="1487">
        <f t="shared" si="4"/>
        <v>1</v>
      </c>
      <c r="AC37" s="1487">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92"/>
      <c r="Q38" s="1486">
        <f t="shared" si="14"/>
        <v>111</v>
      </c>
      <c r="R38" s="714" t="s">
        <v>17</v>
      </c>
      <c r="S38" s="715">
        <f t="shared" si="10"/>
        <v>100</v>
      </c>
      <c r="T38" s="714" t="s">
        <v>17</v>
      </c>
      <c r="U38" s="715">
        <f t="shared" si="11"/>
        <v>100</v>
      </c>
      <c r="V38" s="714" t="s">
        <v>17</v>
      </c>
      <c r="W38" s="715">
        <f t="shared" si="12"/>
        <v>100</v>
      </c>
      <c r="X38" s="1489"/>
      <c r="Y38" s="3492"/>
      <c r="Z38" s="1490">
        <f t="shared" si="13"/>
        <v>111</v>
      </c>
      <c r="AA38" s="1487">
        <f t="shared" si="3"/>
        <v>1</v>
      </c>
      <c r="AB38" s="1487">
        <f t="shared" si="4"/>
        <v>1</v>
      </c>
      <c r="AC38" s="1487">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92"/>
      <c r="Q39" s="1486">
        <f t="shared" si="14"/>
        <v>111</v>
      </c>
      <c r="R39" s="714" t="s">
        <v>17</v>
      </c>
      <c r="S39" s="715">
        <f t="shared" si="10"/>
        <v>100</v>
      </c>
      <c r="T39" s="714" t="s">
        <v>17</v>
      </c>
      <c r="U39" s="715">
        <f t="shared" si="11"/>
        <v>100</v>
      </c>
      <c r="V39" s="714" t="s">
        <v>17</v>
      </c>
      <c r="W39" s="715">
        <f t="shared" si="12"/>
        <v>100</v>
      </c>
      <c r="X39" s="1489"/>
      <c r="Y39" s="3492"/>
      <c r="Z39" s="1490">
        <f t="shared" si="13"/>
        <v>111</v>
      </c>
      <c r="AA39" s="1487">
        <f t="shared" si="3"/>
        <v>1</v>
      </c>
      <c r="AB39" s="1487">
        <f t="shared" si="4"/>
        <v>1</v>
      </c>
      <c r="AC39" s="1487">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92"/>
      <c r="Q40" s="1486">
        <f t="shared" si="14"/>
        <v>111</v>
      </c>
      <c r="R40" s="717" t="s">
        <v>17</v>
      </c>
      <c r="S40" s="718">
        <f t="shared" si="10"/>
        <v>100</v>
      </c>
      <c r="T40" s="717" t="s">
        <v>17</v>
      </c>
      <c r="U40" s="718">
        <f t="shared" si="11"/>
        <v>100</v>
      </c>
      <c r="V40" s="717" t="s">
        <v>17</v>
      </c>
      <c r="W40" s="718">
        <f t="shared" si="12"/>
        <v>100</v>
      </c>
      <c r="X40" s="719"/>
      <c r="Y40" s="3492"/>
      <c r="Z40" s="720">
        <f t="shared" si="13"/>
        <v>111</v>
      </c>
      <c r="AA40" s="1487">
        <f t="shared" si="3"/>
        <v>1</v>
      </c>
      <c r="AB40" s="1487">
        <f t="shared" si="4"/>
        <v>1</v>
      </c>
      <c r="AC40" s="1487">
        <f t="shared" si="5"/>
        <v>1</v>
      </c>
    </row>
    <row r="41" spans="1:31" ht="15">
      <c r="A41" s="438" t="s">
        <v>2300</v>
      </c>
      <c r="B41" s="2118" t="s">
        <v>2378</v>
      </c>
      <c r="C41" s="638" t="s">
        <v>1</v>
      </c>
      <c r="D41" s="440"/>
      <c r="E41" s="441"/>
      <c r="F41" s="442"/>
      <c r="G41" s="443"/>
      <c r="H41" s="444"/>
      <c r="I41" s="441"/>
      <c r="J41" s="444"/>
      <c r="K41" s="723"/>
      <c r="L41" s="2902"/>
      <c r="M41" s="2894"/>
      <c r="N41" s="2894"/>
      <c r="O41" s="2903"/>
      <c r="P41" s="3485" t="str">
        <f>A41</f>
        <v>成交单价</v>
      </c>
      <c r="Q41" s="3485"/>
      <c r="R41" s="3516">
        <f>E41</f>
        <v>0</v>
      </c>
      <c r="S41" s="3516"/>
      <c r="T41" s="3516">
        <f>G41</f>
        <v>0</v>
      </c>
      <c r="U41" s="3516"/>
      <c r="V41" s="3516">
        <f>I41</f>
        <v>0</v>
      </c>
      <c r="W41" s="3516"/>
      <c r="X41" s="699"/>
      <c r="Y41" s="721"/>
      <c r="Z41" s="699"/>
      <c r="AA41" s="699"/>
      <c r="AB41" s="699"/>
      <c r="AC41" s="699"/>
    </row>
    <row r="42" spans="1:31" ht="15.75" thickBot="1">
      <c r="A42" s="445" t="s">
        <v>2249</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485" t="str">
        <f>A42</f>
        <v>比较价值（元/平方米）</v>
      </c>
      <c r="Q42" s="3485"/>
      <c r="R42" s="3545" t="e">
        <f>ROUND(PRODUCT(R41,AA7:AA40),0)</f>
        <v>#DIV/0!</v>
      </c>
      <c r="S42" s="3545"/>
      <c r="T42" s="3545" t="e">
        <f>ROUND(PRODUCT(T41,AB7:AB40),0)</f>
        <v>#DIV/0!</v>
      </c>
      <c r="U42" s="3545"/>
      <c r="V42" s="3545" t="e">
        <f>ROUND(PRODUCT(V41,AC7:AC40),0)</f>
        <v>#DIV/0!</v>
      </c>
      <c r="W42" s="3545"/>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482" t="str">
        <f>A43</f>
        <v>估价对象XX用房的比较价值（楼面单价，元/平方米）</v>
      </c>
      <c r="Q43" s="3483"/>
      <c r="R43" s="3546" t="e">
        <f>ROUND(IF(D42="简单平均",AVERAGE(R42:W42),R42*F42+T42*H42+V42*J42),0)</f>
        <v>#DIV/0!</v>
      </c>
      <c r="S43" s="3546"/>
      <c r="T43" s="3546"/>
      <c r="U43" s="3546"/>
      <c r="V43" s="3546"/>
      <c r="W43" s="3546"/>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2337</v>
      </c>
      <c r="B50" s="641" t="s">
        <v>2338</v>
      </c>
      <c r="C50" s="2119" t="s">
        <v>2339</v>
      </c>
      <c r="D50" s="2120" t="s">
        <v>2340</v>
      </c>
      <c r="E50" s="642" t="s">
        <v>2341</v>
      </c>
      <c r="F50" s="643" t="s">
        <v>2342</v>
      </c>
      <c r="G50" s="3500" t="s">
        <v>2343</v>
      </c>
      <c r="H50" s="3547"/>
      <c r="I50" s="1490" t="s">
        <v>2379</v>
      </c>
      <c r="J50" s="1490">
        <f>项目基本情况!F35</f>
        <v>0</v>
      </c>
      <c r="K50" s="2122" t="s">
        <v>2345</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2346</v>
      </c>
      <c r="B51" s="645" t="e">
        <f>C43</f>
        <v>#DIV/0!</v>
      </c>
      <c r="C51" s="646">
        <v>1</v>
      </c>
      <c r="D51" s="1056">
        <v>1</v>
      </c>
      <c r="E51" s="646">
        <f>'数据-汇总表'!E8+'数据-汇总表'!E9</f>
        <v>85551.93</v>
      </c>
      <c r="F51" s="647" t="e">
        <f t="shared" ref="F51:F60" si="15">ROUND(B51*E51/10000,0)</f>
        <v>#DIV/0!</v>
      </c>
      <c r="G51" s="3496"/>
      <c r="H51" s="3485"/>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2347</v>
      </c>
      <c r="B52" s="224" t="e">
        <f>ROUND($C$43*C52*D52,0)</f>
        <v>#DIV/0!</v>
      </c>
      <c r="C52" s="176">
        <f t="shared" ref="C52:C60" si="16">IF($C$50="北京市系数",I52,J52)</f>
        <v>0.6</v>
      </c>
      <c r="D52" s="1057">
        <v>0.25</v>
      </c>
      <c r="E52" s="650"/>
      <c r="F52" s="647" t="e">
        <f t="shared" si="15"/>
        <v>#DIV/0!</v>
      </c>
      <c r="G52" s="3227" t="s">
        <v>2348</v>
      </c>
      <c r="H52" s="999" t="str">
        <f>项目基本情况!B37</f>
        <v>七级</v>
      </c>
      <c r="I52" s="860">
        <f>SUMIF(修正!A57:A68,H52,修正!B57:B68)</f>
        <v>0.6</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2349</v>
      </c>
      <c r="B53" s="224" t="e">
        <f t="shared" ref="B53:B60" si="17">ROUND($C$43*C53*D53,0)</f>
        <v>#DIV/0!</v>
      </c>
      <c r="C53" s="176">
        <f t="shared" si="16"/>
        <v>0.3</v>
      </c>
      <c r="D53" s="1057">
        <v>0.25</v>
      </c>
      <c r="E53" s="650"/>
      <c r="F53" s="647" t="e">
        <f t="shared" si="15"/>
        <v>#DIV/0!</v>
      </c>
      <c r="G53" s="3228"/>
      <c r="H53" s="999" t="str">
        <f>项目基本情况!B37</f>
        <v>七级</v>
      </c>
      <c r="I53" s="860">
        <f>SUMIF(修正!A57:A68,H53,修正!C57:C68)</f>
        <v>0.3</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2350</v>
      </c>
      <c r="B54" s="224" t="e">
        <f t="shared" si="17"/>
        <v>#DIV/0!</v>
      </c>
      <c r="C54" s="176">
        <f t="shared" si="16"/>
        <v>0.25</v>
      </c>
      <c r="D54" s="1057">
        <v>0.25</v>
      </c>
      <c r="E54" s="650"/>
      <c r="F54" s="647" t="e">
        <f t="shared" si="15"/>
        <v>#DIV/0!</v>
      </c>
      <c r="G54" s="3228"/>
      <c r="H54" s="999" t="str">
        <f>项目基本情况!B37</f>
        <v>七级</v>
      </c>
      <c r="I54" s="860">
        <f>SUMIF(修正!A57:A68,H54,修正!D57:D68)</f>
        <v>0.25</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2351</v>
      </c>
      <c r="B56" s="224" t="e">
        <f t="shared" si="17"/>
        <v>#DIV/0!</v>
      </c>
      <c r="C56" s="176">
        <f t="shared" si="16"/>
        <v>0</v>
      </c>
      <c r="D56" s="1057">
        <v>0.25</v>
      </c>
      <c r="E56" s="223">
        <f>'数据-汇总表'!E11</f>
        <v>0</v>
      </c>
      <c r="F56" s="647" t="e">
        <f t="shared" si="15"/>
        <v>#DIV/0!</v>
      </c>
      <c r="G56" s="2123" t="s">
        <v>2352</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2357</v>
      </c>
      <c r="B59" s="224" t="e">
        <f t="shared" si="17"/>
        <v>#DIV/0!</v>
      </c>
      <c r="C59" s="176">
        <f t="shared" si="16"/>
        <v>0.15</v>
      </c>
      <c r="D59" s="1057">
        <v>0.25</v>
      </c>
      <c r="E59" s="223">
        <f>'数据-汇总表'!E14</f>
        <v>16275.06</v>
      </c>
      <c r="F59" s="647" t="e">
        <f t="shared" si="15"/>
        <v>#DIV/0!</v>
      </c>
      <c r="G59" s="2123" t="s">
        <v>2348</v>
      </c>
      <c r="H59" s="999" t="str">
        <f>项目基本情况!B37</f>
        <v>七级</v>
      </c>
      <c r="I59" s="860">
        <f>SUMIF(修正!A57:A68,H59,修正!G57:G68)</f>
        <v>0.15</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2358</v>
      </c>
      <c r="B60" s="224" t="e">
        <f t="shared" si="17"/>
        <v>#DIV/0!</v>
      </c>
      <c r="C60" s="176">
        <f t="shared" si="16"/>
        <v>0</v>
      </c>
      <c r="D60" s="1057">
        <v>0.25</v>
      </c>
      <c r="E60" s="223">
        <f>'数据-汇总表'!E15</f>
        <v>0</v>
      </c>
      <c r="F60" s="647" t="e">
        <f t="shared" si="15"/>
        <v>#DIV/0!</v>
      </c>
      <c r="G60" s="2124" t="s">
        <v>2352</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2359</v>
      </c>
      <c r="B61" s="652" t="s">
        <v>28</v>
      </c>
      <c r="C61" s="652" t="s">
        <v>29</v>
      </c>
      <c r="D61" s="652" t="s">
        <v>816</v>
      </c>
      <c r="E61" s="652">
        <f>IF(B41="楼面地价",SUM(E51:E60),'数据-汇总表'!D3)</f>
        <v>24498.84</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2022-9-1</v>
      </c>
      <c r="D63" s="701">
        <f>EDATE(C63,-3)</f>
        <v>44713</v>
      </c>
      <c r="E63" s="701">
        <f>EDATE(D63,-3)</f>
        <v>44621</v>
      </c>
      <c r="F63" s="701">
        <f t="shared" ref="F63:O63" si="18">EDATE(E63,-3)</f>
        <v>44531</v>
      </c>
      <c r="G63" s="701">
        <f t="shared" si="18"/>
        <v>44440</v>
      </c>
      <c r="H63" s="701">
        <f t="shared" si="18"/>
        <v>44348</v>
      </c>
      <c r="I63" s="701">
        <f t="shared" si="18"/>
        <v>44256</v>
      </c>
      <c r="J63" s="701">
        <f t="shared" si="18"/>
        <v>44166</v>
      </c>
      <c r="K63" s="701">
        <f t="shared" si="18"/>
        <v>44075</v>
      </c>
      <c r="L63" s="701">
        <f t="shared" si="18"/>
        <v>43983</v>
      </c>
      <c r="M63" s="701">
        <f t="shared" si="18"/>
        <v>43891</v>
      </c>
      <c r="N63" s="701">
        <f t="shared" si="18"/>
        <v>43800</v>
      </c>
      <c r="O63" s="701">
        <f t="shared" si="18"/>
        <v>43709</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5" t="s">
        <v>2360</v>
      </c>
      <c r="B65" s="1222"/>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2363</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2364</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2381</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2329</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2370</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2372</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2373</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2382</v>
      </c>
      <c r="B1" s="203"/>
      <c r="C1" s="207" t="s">
        <v>2383</v>
      </c>
      <c r="D1" s="348">
        <f>SUM(D29:D30,D33:D39)</f>
        <v>0</v>
      </c>
      <c r="E1" s="2131"/>
      <c r="F1" s="2131"/>
      <c r="G1" s="2131"/>
      <c r="H1" s="2131"/>
      <c r="I1" s="2131"/>
      <c r="J1" s="2131"/>
      <c r="K1" s="1233"/>
      <c r="L1" s="2132" t="s">
        <v>2384</v>
      </c>
      <c r="M1" s="975">
        <f>SUMPRODUCT((区片价!B5:B9=I2)*(区片价!C3:F3=E2)*(区片价!C5:F9))</f>
        <v>0</v>
      </c>
      <c r="N1" s="978">
        <f>SUMPRODUCT((因素修正幅度!B5:B9=I2)*(因素修正幅度!C3:F3=E2)*(因素修正幅度!C5:F9))</f>
        <v>0</v>
      </c>
      <c r="O1" s="2133"/>
      <c r="P1" s="2133"/>
      <c r="Q1" s="1233"/>
      <c r="R1" s="1326" t="s">
        <v>2385</v>
      </c>
      <c r="S1" s="1326" t="s">
        <v>2386</v>
      </c>
      <c r="T1" s="1326" t="s">
        <v>2387</v>
      </c>
      <c r="U1" s="1326" t="s">
        <v>2388</v>
      </c>
      <c r="V1" s="1326" t="s">
        <v>2389</v>
      </c>
      <c r="W1" s="1330"/>
      <c r="X1" s="1330"/>
      <c r="Y1" s="1330"/>
      <c r="Z1" s="1330"/>
      <c r="AA1" s="1330"/>
      <c r="AB1" s="1330"/>
      <c r="AC1" s="1331"/>
      <c r="AD1" s="1332"/>
      <c r="AE1" s="1332"/>
      <c r="AF1" s="1332"/>
      <c r="AG1" s="1332"/>
      <c r="AH1" s="1332"/>
      <c r="AI1" s="1332"/>
      <c r="AJ1" s="1333"/>
    </row>
    <row r="2" spans="1:36" ht="15.75">
      <c r="A2" s="207" t="s">
        <v>2390</v>
      </c>
      <c r="B2" s="210" t="e">
        <f>C26</f>
        <v>#DIV/0!</v>
      </c>
      <c r="C2" s="2135" t="s">
        <v>2391</v>
      </c>
      <c r="D2" s="2136" t="s">
        <v>2392</v>
      </c>
      <c r="E2" s="2137"/>
      <c r="F2" s="2136" t="s">
        <v>2393</v>
      </c>
      <c r="G2" s="2138">
        <f>IF(E2="商业",项目基本情况!B37,IF(E2="办公",项目基本情况!C37,IF(E2="住宅",项目基本情况!D37,项目基本情况!E37)))</f>
        <v>0</v>
      </c>
      <c r="H2" s="2136" t="s">
        <v>2394</v>
      </c>
      <c r="I2" s="2138">
        <f>IF(E2="商业",项目基本情况!B38,IF(E2="办公",项目基本情况!C38,IF(E2="住宅",项目基本情况!D38,项目基本情况!E38)))</f>
        <v>0</v>
      </c>
      <c r="J2" s="2139"/>
      <c r="K2" s="1233"/>
      <c r="L2" s="2140" t="s">
        <v>2395</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2396</v>
      </c>
      <c r="B3" s="210" t="e">
        <f>ROUND(B2*10000/D1,0)</f>
        <v>#DIV/0!</v>
      </c>
      <c r="C3" s="2135" t="s">
        <v>2397</v>
      </c>
      <c r="D3" s="2136" t="s">
        <v>2398</v>
      </c>
      <c r="E3" s="2141"/>
      <c r="F3" s="2142" t="s">
        <v>2399</v>
      </c>
      <c r="G3" s="837">
        <f>IF(F3="宗地容积率",'数据-汇总表'!I4,IF(F3="估价对象容积率",'数据-汇总表'!I6,'数据-汇总表'!I7))</f>
        <v>3.49</v>
      </c>
      <c r="H3" s="175" t="s">
        <v>2400</v>
      </c>
      <c r="I3" s="862"/>
      <c r="J3" s="2139" t="s">
        <v>2401</v>
      </c>
      <c r="K3" s="1233"/>
      <c r="L3" s="2140" t="s">
        <v>2402</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55"/>
      <c r="B4" s="3556"/>
      <c r="C4" s="3556"/>
      <c r="D4" s="3557"/>
      <c r="E4" s="3557"/>
      <c r="F4" s="3557"/>
      <c r="G4" s="3557"/>
      <c r="H4" s="3557"/>
      <c r="I4" s="3557"/>
      <c r="J4" s="3558"/>
      <c r="K4" s="1233"/>
      <c r="L4" s="2140" t="s">
        <v>2403</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2404</v>
      </c>
      <c r="C5" s="838" t="e">
        <f>ROUND(IF(E2="商业",C6*C7+C16,(IF(E2="住宅",C6*C12+C16,C6+C16))),0)</f>
        <v>#DIV/0!</v>
      </c>
      <c r="D5" s="1473" t="e">
        <f>ROUND(C6+C16,0)</f>
        <v>#DIV/0!</v>
      </c>
      <c r="E5" s="1473"/>
      <c r="F5" s="2145"/>
      <c r="G5" s="2146"/>
      <c r="H5" s="2146"/>
      <c r="I5" s="2146"/>
      <c r="J5" s="2147"/>
      <c r="K5" s="2148"/>
      <c r="L5" s="2140" t="s">
        <v>2405</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2406</v>
      </c>
      <c r="B6" s="2154" t="s">
        <v>2407</v>
      </c>
      <c r="C6" s="839">
        <f>SUMIF(L1:L12,G2,M1:M12)</f>
        <v>0</v>
      </c>
      <c r="D6" s="2155" t="s">
        <v>2408</v>
      </c>
      <c r="E6" s="2156"/>
      <c r="F6" s="2156"/>
      <c r="G6" s="2157"/>
      <c r="H6" s="2157"/>
      <c r="I6" s="2157"/>
      <c r="J6" s="2158"/>
      <c r="K6" s="1518"/>
      <c r="L6" s="2140" t="s">
        <v>2409</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59" t="str">
        <f>IF(E2="商业",IF(C8="不临58条商业街","",2),"")</f>
        <v/>
      </c>
      <c r="B7" s="2159" t="s">
        <v>2410</v>
      </c>
      <c r="C7" s="840" t="e">
        <f>IF(C8="不临58条商业街",1,ROUND(1+(1.6*E8+1.2*E9+0.8*E10+0.4*E11)*C9,4))</f>
        <v>#DIV/0!</v>
      </c>
      <c r="D7" s="2160" t="s">
        <v>2411</v>
      </c>
      <c r="E7" s="863"/>
      <c r="F7" s="2161"/>
      <c r="G7" s="2162"/>
      <c r="H7" s="2162"/>
      <c r="I7" s="2162"/>
      <c r="J7" s="2163"/>
      <c r="K7" s="1518"/>
      <c r="L7" s="2140" t="s">
        <v>2412</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2413</v>
      </c>
      <c r="X7" s="1328">
        <f>G2</f>
        <v>0</v>
      </c>
      <c r="Y7" s="1328" t="s">
        <v>2414</v>
      </c>
      <c r="Z7" s="1329">
        <f>G3</f>
        <v>3.49</v>
      </c>
      <c r="AA7" s="1330"/>
      <c r="AB7" s="1330"/>
      <c r="AC7" s="1331"/>
      <c r="AD7" s="1332"/>
      <c r="AE7" s="1332"/>
      <c r="AF7" s="1332"/>
      <c r="AG7" s="1332"/>
      <c r="AH7" s="1332"/>
      <c r="AI7" s="1332"/>
      <c r="AJ7" s="1333"/>
    </row>
    <row r="8" spans="1:36" ht="15">
      <c r="A8" s="3560"/>
      <c r="B8" s="175" t="s">
        <v>2415</v>
      </c>
      <c r="C8" s="2164"/>
      <c r="D8" s="841" t="s">
        <v>139</v>
      </c>
      <c r="E8" s="842" t="e">
        <f>ROUND(C11/E7,4)</f>
        <v>#DIV/0!</v>
      </c>
      <c r="F8" s="2165" t="s">
        <v>2416</v>
      </c>
      <c r="G8" s="2166"/>
      <c r="H8" s="2166"/>
      <c r="I8" s="2166"/>
      <c r="J8" s="2167"/>
      <c r="K8" s="1233"/>
      <c r="L8" s="2140" t="s">
        <v>2417</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552" t="s">
        <v>2418</v>
      </c>
      <c r="X8" s="3553"/>
      <c r="Y8" s="1334" t="s">
        <v>2419</v>
      </c>
      <c r="Z8" s="1334" t="s">
        <v>2420</v>
      </c>
      <c r="AA8" s="1334" t="s">
        <v>2421</v>
      </c>
      <c r="AB8" s="1334" t="s">
        <v>2422</v>
      </c>
      <c r="AC8" s="1334" t="s">
        <v>2423</v>
      </c>
      <c r="AD8" s="1334" t="s">
        <v>2424</v>
      </c>
      <c r="AE8" s="1334" t="s">
        <v>2425</v>
      </c>
      <c r="AF8" s="1334" t="s">
        <v>2426</v>
      </c>
      <c r="AG8" s="1334" t="s">
        <v>2427</v>
      </c>
      <c r="AH8" s="1334" t="s">
        <v>2428</v>
      </c>
      <c r="AI8" s="1334" t="s">
        <v>2429</v>
      </c>
      <c r="AJ8" s="1334" t="s">
        <v>2430</v>
      </c>
    </row>
    <row r="9" spans="1:36" ht="15">
      <c r="A9" s="3560"/>
      <c r="B9" s="175" t="s">
        <v>2431</v>
      </c>
      <c r="C9" s="843">
        <f>SUMIF(修正!C71:C138,C8,修正!E71:E138)</f>
        <v>0</v>
      </c>
      <c r="D9" s="176" t="s">
        <v>140</v>
      </c>
      <c r="E9" s="176" t="e">
        <f>ROUND(C11/E7,4)</f>
        <v>#DIV/0!</v>
      </c>
      <c r="F9" s="2165" t="s">
        <v>2432</v>
      </c>
      <c r="G9" s="2166"/>
      <c r="H9" s="2166"/>
      <c r="I9" s="2166"/>
      <c r="J9" s="2167"/>
      <c r="K9" s="1233"/>
      <c r="L9" s="2140" t="s">
        <v>2433</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554" t="s">
        <v>2434</v>
      </c>
      <c r="X9" s="1335" t="s">
        <v>2435</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60"/>
      <c r="B10" s="175" t="s">
        <v>2436</v>
      </c>
      <c r="C10" s="176">
        <f>SUMIF(修正!C71:C138,C8,修正!F71:F138)</f>
        <v>0</v>
      </c>
      <c r="D10" s="176" t="s">
        <v>141</v>
      </c>
      <c r="E10" s="176" t="e">
        <f>ROUND(C11/E7,4)</f>
        <v>#DIV/0!</v>
      </c>
      <c r="F10" s="2165" t="s">
        <v>2437</v>
      </c>
      <c r="G10" s="2166"/>
      <c r="H10" s="2166"/>
      <c r="I10" s="2166"/>
      <c r="J10" s="2167"/>
      <c r="K10" s="1233"/>
      <c r="L10" s="2140" t="s">
        <v>2438</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554"/>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60"/>
      <c r="B11" s="2168" t="s">
        <v>2439</v>
      </c>
      <c r="C11" s="844">
        <f>C10/4</f>
        <v>0</v>
      </c>
      <c r="D11" s="844" t="s">
        <v>142</v>
      </c>
      <c r="E11" s="844" t="e">
        <f>ROUND(C11/E7,4)</f>
        <v>#DIV/0!</v>
      </c>
      <c r="F11" s="2169" t="s">
        <v>2440</v>
      </c>
      <c r="G11" s="2170"/>
      <c r="H11" s="2170"/>
      <c r="I11" s="2170"/>
      <c r="J11" s="2171"/>
      <c r="K11" s="1233"/>
      <c r="L11" s="2140" t="s">
        <v>2441</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554" t="s">
        <v>2442</v>
      </c>
      <c r="X11" s="1338" t="s">
        <v>2443</v>
      </c>
      <c r="Y11" s="1339">
        <f>$G$3</f>
        <v>3.49</v>
      </c>
      <c r="Z11" s="1339">
        <f t="shared" ref="Z11:AJ11" si="3">$G$3</f>
        <v>3.49</v>
      </c>
      <c r="AA11" s="1339">
        <f t="shared" si="3"/>
        <v>3.49</v>
      </c>
      <c r="AB11" s="1339">
        <f t="shared" si="3"/>
        <v>3.49</v>
      </c>
      <c r="AC11" s="1339">
        <f t="shared" si="3"/>
        <v>3.49</v>
      </c>
      <c r="AD11" s="1339">
        <f t="shared" si="3"/>
        <v>3.49</v>
      </c>
      <c r="AE11" s="1339">
        <f t="shared" si="3"/>
        <v>3.49</v>
      </c>
      <c r="AF11" s="1339">
        <f t="shared" si="3"/>
        <v>3.49</v>
      </c>
      <c r="AG11" s="1339">
        <f t="shared" si="3"/>
        <v>3.49</v>
      </c>
      <c r="AH11" s="1339">
        <f t="shared" si="3"/>
        <v>3.49</v>
      </c>
      <c r="AI11" s="1339">
        <f t="shared" si="3"/>
        <v>3.49</v>
      </c>
      <c r="AJ11" s="1339">
        <f t="shared" si="3"/>
        <v>3.49</v>
      </c>
    </row>
    <row r="12" spans="1:36" ht="25.5" thickBot="1">
      <c r="A12" s="3559" t="s">
        <v>2444</v>
      </c>
      <c r="B12" s="2172" t="s">
        <v>2445</v>
      </c>
      <c r="C12" s="840">
        <f>ROUND(C15*D15*E15*F15*G15*H15*I15*J15,4)</f>
        <v>1</v>
      </c>
      <c r="D12" s="2173" t="s">
        <v>2446</v>
      </c>
      <c r="E12" s="2174"/>
      <c r="F12" s="2174"/>
      <c r="G12" s="2175"/>
      <c r="H12" s="2175"/>
      <c r="I12" s="2175"/>
      <c r="J12" s="2176"/>
      <c r="K12" s="1233"/>
      <c r="L12" s="2177" t="s">
        <v>2447</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554"/>
      <c r="X12" s="1340" t="s">
        <v>2448</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61"/>
      <c r="B13" s="2178" t="s">
        <v>2449</v>
      </c>
      <c r="C13" s="2179" t="s">
        <v>2450</v>
      </c>
      <c r="D13" s="1484" t="s">
        <v>2451</v>
      </c>
      <c r="E13" s="1484" t="s">
        <v>2452</v>
      </c>
      <c r="F13" s="30" t="s">
        <v>2453</v>
      </c>
      <c r="G13" s="2180" t="s">
        <v>2454</v>
      </c>
      <c r="H13" s="2180" t="s">
        <v>2454</v>
      </c>
      <c r="I13" s="2180" t="s">
        <v>2454</v>
      </c>
      <c r="J13" s="2181" t="s">
        <v>2454</v>
      </c>
      <c r="K13" s="1233"/>
      <c r="L13" s="1233"/>
      <c r="M13" s="1233"/>
      <c r="N13" s="1233"/>
      <c r="O13" s="1233"/>
      <c r="P13" s="1233"/>
      <c r="Q13" s="1233"/>
      <c r="R13" s="1326">
        <v>12</v>
      </c>
      <c r="S13" s="1327"/>
      <c r="T13" s="1326" t="e">
        <f t="shared" si="0"/>
        <v>#DIV/0!</v>
      </c>
      <c r="U13" s="1327"/>
      <c r="V13" s="1326" t="e">
        <f t="shared" si="1"/>
        <v>#DIV/0!</v>
      </c>
      <c r="W13" s="3554"/>
      <c r="X13" s="1340"/>
      <c r="Y13" s="1337">
        <f>(-0.163*(Y12^2)-0.59*Y12+7617)*(10^(-4))/Y11</f>
        <v>0.21825214899713466</v>
      </c>
      <c r="Z13" s="1337">
        <f t="shared" ref="Z13:AJ13" si="5">(-0.163*(Z12^2)-0.59*Z12+7617)*(10^(-4))/Z11</f>
        <v>0.21825214899713466</v>
      </c>
      <c r="AA13" s="1337">
        <f t="shared" si="5"/>
        <v>0.21825214899713466</v>
      </c>
      <c r="AB13" s="1337">
        <f t="shared" si="5"/>
        <v>0.21825214899713466</v>
      </c>
      <c r="AC13" s="1337">
        <f t="shared" si="5"/>
        <v>0.21825214899713466</v>
      </c>
      <c r="AD13" s="1337">
        <f t="shared" si="5"/>
        <v>0.21825214899713466</v>
      </c>
      <c r="AE13" s="1337">
        <f t="shared" si="5"/>
        <v>0.21825214899713466</v>
      </c>
      <c r="AF13" s="1337">
        <f t="shared" si="5"/>
        <v>0.21825214899713466</v>
      </c>
      <c r="AG13" s="1337">
        <f t="shared" si="5"/>
        <v>0.21825214899713466</v>
      </c>
      <c r="AH13" s="1337">
        <f t="shared" si="5"/>
        <v>0.21825214899713466</v>
      </c>
      <c r="AI13" s="1337">
        <f t="shared" si="5"/>
        <v>0.21825214899713466</v>
      </c>
      <c r="AJ13" s="1337">
        <f t="shared" si="5"/>
        <v>0.21825214899713466</v>
      </c>
    </row>
    <row r="14" spans="1:36" ht="15">
      <c r="A14" s="3561"/>
      <c r="B14" s="2182"/>
      <c r="C14" s="2183"/>
      <c r="D14" s="2184"/>
      <c r="E14" s="2184"/>
      <c r="F14" s="2185"/>
      <c r="G14" s="2186" t="s">
        <v>2455</v>
      </c>
      <c r="H14" s="2187"/>
      <c r="I14" s="2188"/>
      <c r="J14" s="2189"/>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62"/>
      <c r="B15" s="2190" t="s">
        <v>2456</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59" t="s">
        <v>2461</v>
      </c>
      <c r="B16" s="2159" t="s">
        <v>2462</v>
      </c>
      <c r="C16" s="2321" t="e">
        <f>ROUND(IF(F17="与级别开发程度一致",0,(G17-E17)/C17),0)</f>
        <v>#DIV/0!</v>
      </c>
      <c r="D16" s="3575" t="s">
        <v>2466</v>
      </c>
      <c r="E16" s="3576"/>
      <c r="F16" s="3575" t="s">
        <v>2463</v>
      </c>
      <c r="G16" s="3576"/>
      <c r="H16" s="2191"/>
      <c r="I16" s="2191"/>
      <c r="J16" s="2325"/>
      <c r="K16" s="2191"/>
      <c r="L16" s="2191"/>
      <c r="M16" s="2191"/>
      <c r="N16" s="2191"/>
      <c r="O16" s="2192"/>
      <c r="P16" s="2133"/>
      <c r="Q16" s="1233"/>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63"/>
      <c r="B17" s="2332" t="s">
        <v>2465</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2468</v>
      </c>
      <c r="C18" s="2328">
        <f>SUMIF(修正!C20:C51,E3,修正!E20:E51)</f>
        <v>0</v>
      </c>
      <c r="D18" s="2329"/>
      <c r="E18" s="2330"/>
      <c r="F18" s="2330"/>
      <c r="G18" s="2330"/>
      <c r="H18" s="2330"/>
      <c r="I18" s="2330"/>
      <c r="J18" s="2331"/>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8"/>
    </row>
    <row r="19" spans="1:37" s="2152" customFormat="1" ht="27.75" thickBot="1">
      <c r="A19" s="2196" t="s">
        <v>628</v>
      </c>
      <c r="B19" s="2197" t="s">
        <v>2469</v>
      </c>
      <c r="C19" s="845" t="e">
        <f>ROUND(IF(H19="按公示增长率计算",SUMPRODUCT((地价!A3:A37=YEAR(G19)&amp;"-"&amp;ROUNDUP(MONTH(G19)/3,0))*(地价!X2:AB2=E2)*(地价!X3:AB37)),IF(H19="地价指数",M20/M19,(1+I19)^O19)),4)</f>
        <v>#VALUE!</v>
      </c>
      <c r="D19" s="2201" t="s">
        <v>2470</v>
      </c>
      <c r="E19" s="846">
        <v>41640</v>
      </c>
      <c r="F19" s="2201" t="s">
        <v>2471</v>
      </c>
      <c r="G19" s="847">
        <f>'数据-取费表'!B2</f>
        <v>44827</v>
      </c>
      <c r="H19" s="2202"/>
      <c r="I19" s="848" t="str">
        <f>IF(H19="季度增幅（自定义）",SUMIF(N21:N24,E2,O21:O24),"")</f>
        <v/>
      </c>
      <c r="J19" s="2199"/>
      <c r="K19" s="1240"/>
      <c r="L19" s="2203" t="s">
        <v>2472</v>
      </c>
      <c r="M19" s="1448">
        <f>ROUND(SUMIF(地价!B2:F2,E2,地价!B37:F37),0)</f>
        <v>0</v>
      </c>
      <c r="N19" s="2204" t="s">
        <v>2473</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1"/>
      <c r="AH19" s="2290"/>
      <c r="AI19" s="2972"/>
      <c r="AJ19" s="2972"/>
      <c r="AK19" s="2205"/>
    </row>
    <row r="20" spans="1:37" s="2152" customFormat="1" ht="27.75" thickBot="1">
      <c r="A20" s="2206" t="s">
        <v>629</v>
      </c>
      <c r="B20" s="2207" t="s">
        <v>2474</v>
      </c>
      <c r="C20" s="850" t="e">
        <f>ROUND(POWER(1+G20,J20-I20)*(POWER(1+G20,I20)-1)/(POWER(1+G20,J20)-1),4)</f>
        <v>#DIV/0!</v>
      </c>
      <c r="D20" s="2208" t="s">
        <v>2475</v>
      </c>
      <c r="E20" s="1455">
        <f>存贷款利率!E22/100</f>
        <v>4.3499999999999997E-2</v>
      </c>
      <c r="F20" s="2208" t="s">
        <v>2467</v>
      </c>
      <c r="G20" s="854">
        <f>SUMIF(M26:P26,E2,M28:P28)</f>
        <v>0</v>
      </c>
      <c r="H20" s="2208" t="s">
        <v>2476</v>
      </c>
      <c r="I20" s="855" t="e">
        <f>SUMIF('数据-取费表'!C6:C15,E2,'数据-取费表'!F6:F15)/COUNTIF('数据-取费表'!C6:C15,E2)</f>
        <v>#DIV/0!</v>
      </c>
      <c r="J20" s="856">
        <f>IF(E2="住宅",70,IF(E2="商业",40,50))</f>
        <v>50</v>
      </c>
      <c r="K20" s="1240"/>
      <c r="L20" s="2209" t="s">
        <v>2477</v>
      </c>
      <c r="M20" s="1449">
        <f>ROUND(SUMPRODUCT((地价!A4:A37=YEAR(G19)&amp;"-"&amp;ROUNDUP(MONTH(G19)/3,0))*(地价!B2:F2=E2)*(地价!B4:F37)),0)</f>
        <v>0</v>
      </c>
      <c r="N20" s="2210" t="s">
        <v>2478</v>
      </c>
      <c r="O20" s="2211" t="s">
        <v>2479</v>
      </c>
      <c r="P20" s="2212" t="s">
        <v>2480</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2" customFormat="1" ht="15">
      <c r="A21" s="2213" t="s">
        <v>630</v>
      </c>
      <c r="B21" s="2214" t="s">
        <v>2481</v>
      </c>
      <c r="C21" s="857">
        <f>IF(B21="容积率修正",IF(G3&lt;=10,D22,J22),C23)</f>
        <v>0</v>
      </c>
      <c r="D21" s="2215"/>
      <c r="E21" s="2215"/>
      <c r="F21" s="2215"/>
      <c r="G21" s="2215"/>
      <c r="H21" s="2215"/>
      <c r="I21" s="2215"/>
      <c r="J21" s="2216"/>
      <c r="K21" s="1240"/>
      <c r="L21" s="2968"/>
      <c r="M21" s="2968"/>
      <c r="N21" s="2217" t="s">
        <v>2482</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2" customFormat="1" ht="14.25">
      <c r="A22" s="2091" t="s">
        <v>2483</v>
      </c>
      <c r="B22" s="2218" t="s">
        <v>2484</v>
      </c>
      <c r="C22" s="1486" t="s">
        <v>2485</v>
      </c>
      <c r="D22" s="1486">
        <f>IF(E22=G22,F22,IF(G3&lt;=10,ROUND(F22+(H22-F22)*(G3-E22)/(G22-E22),4),"——"))</f>
        <v>0</v>
      </c>
      <c r="E22" s="837">
        <f>ROUNDDOWN(G3,1)</f>
        <v>3.4</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3.5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8" t="str">
        <f>IF(G3&gt;10,D113,"——")</f>
        <v>——</v>
      </c>
      <c r="K22" s="1240"/>
      <c r="L22" s="2968"/>
      <c r="M22" s="2968"/>
      <c r="N22" s="2217" t="s">
        <v>2486</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1" t="s">
        <v>2487</v>
      </c>
      <c r="B23" s="2219" t="s">
        <v>2488</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2489</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2490</v>
      </c>
      <c r="C24" s="845">
        <f>SUMIF(A45:A88,E2,B45:B88)</f>
        <v>0</v>
      </c>
      <c r="D24" s="2198"/>
      <c r="E24" s="2225"/>
      <c r="F24" s="2225"/>
      <c r="G24" s="2225"/>
      <c r="H24" s="2225"/>
      <c r="I24" s="2225"/>
      <c r="J24" s="2226"/>
      <c r="K24" s="1240"/>
      <c r="L24" s="2968"/>
      <c r="M24" s="2968"/>
      <c r="N24" s="2227" t="s">
        <v>2491</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6" t="s">
        <v>632</v>
      </c>
      <c r="B25" s="2228" t="s">
        <v>2492</v>
      </c>
      <c r="C25" s="851"/>
      <c r="D25" s="2162"/>
      <c r="E25" s="2162"/>
      <c r="F25" s="2229"/>
      <c r="G25" s="2162"/>
      <c r="H25" s="2162"/>
      <c r="I25" s="2162"/>
      <c r="J25" s="2163"/>
      <c r="K25" s="1233"/>
      <c r="L25" s="2133"/>
      <c r="M25" s="2133"/>
      <c r="N25" s="2963" t="s">
        <v>2493</v>
      </c>
      <c r="O25" s="2964"/>
      <c r="P25" s="2965">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2494</v>
      </c>
      <c r="C26" s="2492" t="e">
        <f>IF(B21="容积率修正",E29+SUM(E33:E39),SUM(V2:V16)+SUM(E33:E39))</f>
        <v>#DIV/0!</v>
      </c>
      <c r="D26" s="2231"/>
      <c r="E26" s="2187"/>
      <c r="F26" s="2232"/>
      <c r="G26" s="2187"/>
      <c r="H26" s="2187"/>
      <c r="I26" s="2187"/>
      <c r="J26" s="2233"/>
      <c r="K26" s="1233"/>
      <c r="L26" s="2966" t="s">
        <v>2392</v>
      </c>
      <c r="M26" s="2160" t="s">
        <v>2457</v>
      </c>
      <c r="N26" s="2160" t="s">
        <v>2458</v>
      </c>
      <c r="O26" s="2160" t="s">
        <v>2459</v>
      </c>
      <c r="P26" s="2967" t="s">
        <v>2460</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2495</v>
      </c>
      <c r="C27" s="852" t="e">
        <f>E30+SUM(I33:I39)</f>
        <v>#DIV/0!</v>
      </c>
      <c r="D27" s="2235"/>
      <c r="E27" s="2236"/>
      <c r="F27" s="2237"/>
      <c r="G27" s="2236"/>
      <c r="H27" s="2236"/>
      <c r="I27" s="2236"/>
      <c r="J27" s="2238"/>
      <c r="K27" s="1233"/>
      <c r="L27" s="2193"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2496</v>
      </c>
      <c r="C28" s="2241" t="s">
        <v>2497</v>
      </c>
      <c r="D28" s="2241" t="s">
        <v>2498</v>
      </c>
      <c r="E28" s="2242" t="s">
        <v>2499</v>
      </c>
      <c r="F28" s="2243"/>
      <c r="G28" s="2175"/>
      <c r="H28" s="2175"/>
      <c r="I28" s="2175"/>
      <c r="J28" s="2176"/>
      <c r="K28" s="1233"/>
      <c r="L28" s="2194"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2500</v>
      </c>
      <c r="C29" s="180" t="e">
        <f>ROUND(C5*C18*C19*C20*C21*C24,0)</f>
        <v>#DIV/0!</v>
      </c>
      <c r="D29" s="2246"/>
      <c r="E29" s="860" t="e">
        <f>ROUND(C29*D29/10000,0)</f>
        <v>#DIV/0!</v>
      </c>
      <c r="F29" s="2247" t="s">
        <v>2501</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2502</v>
      </c>
      <c r="C30" s="193" t="e">
        <f>ROUND(IF(E2="工业",C29*M39,C29*M38),0)</f>
        <v>#DIV/0!</v>
      </c>
      <c r="D30" s="2252"/>
      <c r="E30" s="860" t="e">
        <f>ROUND(C30*D30/10000,0)</f>
        <v>#DIV/0!</v>
      </c>
      <c r="F30" s="2253" t="s">
        <v>2503</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2504</v>
      </c>
      <c r="C31" s="2258" t="s">
        <v>2505</v>
      </c>
      <c r="D31" s="2175"/>
      <c r="E31" s="2258"/>
      <c r="F31" s="2258"/>
      <c r="G31" s="2173" t="s">
        <v>2506</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2497</v>
      </c>
      <c r="D32" s="455" t="s">
        <v>2498</v>
      </c>
      <c r="E32" s="455" t="s">
        <v>2499</v>
      </c>
      <c r="F32" s="348" t="s">
        <v>2507</v>
      </c>
      <c r="G32" s="2261" t="s">
        <v>2497</v>
      </c>
      <c r="H32" s="2261" t="s">
        <v>2498</v>
      </c>
      <c r="I32" s="2261"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72"/>
      <c r="B33" s="2262" t="s">
        <v>2508</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77"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73"/>
      <c r="B34" s="2179" t="s">
        <v>2509</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73"/>
      <c r="B35" s="2179" t="s">
        <v>2510</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7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74"/>
      <c r="B36" s="2179" t="s">
        <v>2511</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74"/>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2512</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2513</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2514</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5" t="s">
        <v>2515</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2516</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2460</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2621</v>
      </c>
      <c r="C41" s="348" t="e">
        <f>ROUND(POWER(1+E41,H41-G41)*(POWER(1+E41,G41)-1)/(POWER(1+E41,H41)-1),4)</f>
        <v>#DIV/0!</v>
      </c>
      <c r="D41" s="176" t="s">
        <v>2467</v>
      </c>
      <c r="E41" s="2319">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2517</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2518</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2519</v>
      </c>
      <c r="B47" s="1485" t="s">
        <v>2520</v>
      </c>
      <c r="C47" s="1485" t="s">
        <v>2521</v>
      </c>
      <c r="D47" s="1485" t="s">
        <v>2522</v>
      </c>
      <c r="E47" s="758" t="s">
        <v>2523</v>
      </c>
      <c r="F47" s="2280" t="s">
        <v>2524</v>
      </c>
      <c r="G47" s="1485" t="s">
        <v>574</v>
      </c>
      <c r="H47" s="2281" t="s">
        <v>2525</v>
      </c>
      <c r="I47" s="1485"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79" t="s">
        <v>2527</v>
      </c>
      <c r="B48" s="2282" t="str">
        <f>估价对象房地状况!C4</f>
        <v>估价对象位于XX商圈，周边商业氛围成熟，人流量大，商业繁华度好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9" t="s">
        <v>2528</v>
      </c>
      <c r="B49" s="2283" t="str">
        <f>估价对象房地状况!C18</f>
        <v>估价对象周边道路状况、公共交通通达情况、停车便捷程度，综合评价交通便捷度较好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2529</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2530</v>
      </c>
      <c r="B51" s="2284" t="s">
        <v>2531</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2532</v>
      </c>
      <c r="B52" s="2283">
        <f>估价对象房地状况!C24</f>
        <v>0</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2533</v>
      </c>
      <c r="B53" s="2285" t="s">
        <v>2534</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6" t="s">
        <v>2535</v>
      </c>
      <c r="B54" s="1446" t="str">
        <f>估价对象房地状况!C21</f>
        <v>估价对象所在区域公共配套设施齐备情况</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2536</v>
      </c>
      <c r="B55" s="2283" t="str">
        <f>估价对象房地状况!C22</f>
        <v>估价对象所在区域基础设施水平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7" t="s">
        <v>2537</v>
      </c>
      <c r="B56" s="2288" t="str">
        <f>估价对象房地状况!C20</f>
        <v>区域自然环境：；人文环境；综合评价环境状况一般</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2538</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2519</v>
      </c>
      <c r="B58" s="1485"/>
      <c r="C58" s="1485" t="s">
        <v>2521</v>
      </c>
      <c r="D58" s="1485" t="s">
        <v>2522</v>
      </c>
      <c r="E58" s="758" t="s">
        <v>2523</v>
      </c>
      <c r="F58" s="2280" t="s">
        <v>2539</v>
      </c>
      <c r="G58" s="1485" t="s">
        <v>574</v>
      </c>
      <c r="H58" s="2281" t="s">
        <v>2525</v>
      </c>
      <c r="I58" s="1485"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79" t="s">
        <v>2540</v>
      </c>
      <c r="B59" s="2282" t="str">
        <f>估价对象房地状况!C17</f>
        <v>估价对象位于XX商圈，周边办公楼项目较多，入驻率高，办公集聚程度较好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9" t="s">
        <v>2528</v>
      </c>
      <c r="B60" s="2283" t="str">
        <f>估价对象房地状况!C18</f>
        <v>估价对象周边道路状况、公共交通通达情况、停车便捷程度，综合评价交通便捷度较好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2529</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2530</v>
      </c>
      <c r="B62" s="2284" t="s">
        <v>2531</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2532</v>
      </c>
      <c r="B63" s="2283">
        <f>估价对象房地状况!C24</f>
        <v>0</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2533</v>
      </c>
      <c r="B64" s="2285" t="s">
        <v>2534</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9" t="s">
        <v>2535</v>
      </c>
      <c r="B65" s="1446" t="str">
        <f>估价对象房地状况!C21</f>
        <v>估价对象所在区域公共配套设施齐备情况</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2536</v>
      </c>
      <c r="B66" s="1446" t="str">
        <f>估价对象房地状况!C22</f>
        <v>估价对象所在区域基础设施水平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7" t="s">
        <v>2537</v>
      </c>
      <c r="B67" s="2289" t="str">
        <f>估价对象房地状况!C20</f>
        <v>区域自然环境：；人文环境；综合评价环境状况一般</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2541</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2519</v>
      </c>
      <c r="B69" s="1485"/>
      <c r="C69" s="1485" t="s">
        <v>2521</v>
      </c>
      <c r="D69" s="1485" t="s">
        <v>2522</v>
      </c>
      <c r="E69" s="758" t="s">
        <v>2523</v>
      </c>
      <c r="F69" s="2280" t="s">
        <v>2539</v>
      </c>
      <c r="G69" s="1485" t="s">
        <v>574</v>
      </c>
      <c r="H69" s="2281" t="s">
        <v>2525</v>
      </c>
      <c r="I69" s="1485"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79" t="s">
        <v>2542</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9" t="s">
        <v>2528</v>
      </c>
      <c r="B71" s="2283" t="str">
        <f>估价对象房地状况!C18</f>
        <v>估价对象周边道路状况、公共交通通达情况、停车便捷程度，综合评价交通便捷度较好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2529</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2543</v>
      </c>
      <c r="B73" s="2283">
        <f>估价对象房地状况!C24</f>
        <v>0</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9" t="s">
        <v>2535</v>
      </c>
      <c r="B74" s="1446" t="str">
        <f>估价对象房地状况!C21</f>
        <v>估价对象所在区域公共配套设施齐备情况</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2536</v>
      </c>
      <c r="B75" s="1446" t="str">
        <f>估价对象房地状况!C22</f>
        <v>估价对象所在区域基础设施水平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2533</v>
      </c>
      <c r="B76" s="2285" t="s">
        <v>2534</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c r="A77" s="2279" t="s">
        <v>2537</v>
      </c>
      <c r="B77" s="2282" t="str">
        <f>估价对象房地状况!C20</f>
        <v>区域自然环境：；人文环境；综合评价环境状况一般</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2544</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2545</v>
      </c>
      <c r="B79" s="2276">
        <f>1+E81</f>
        <v>1</v>
      </c>
      <c r="C79" s="753"/>
      <c r="D79" s="753"/>
      <c r="E79" s="754"/>
      <c r="F79" s="2278"/>
      <c r="G79" s="6"/>
      <c r="H79" s="6"/>
      <c r="I79" s="6"/>
      <c r="J79" s="7"/>
      <c r="K79" s="7"/>
      <c r="L79" s="7"/>
      <c r="M79" s="7"/>
      <c r="N79" s="7"/>
      <c r="Z79" s="2134"/>
      <c r="AA79" s="2200"/>
      <c r="AG79" s="1235"/>
      <c r="AK79" s="2200"/>
    </row>
    <row r="80" spans="1:37" ht="24.75">
      <c r="A80" s="2279" t="s">
        <v>2519</v>
      </c>
      <c r="B80" s="1485"/>
      <c r="C80" s="1485" t="s">
        <v>2521</v>
      </c>
      <c r="D80" s="1485" t="s">
        <v>2522</v>
      </c>
      <c r="E80" s="758" t="s">
        <v>2523</v>
      </c>
      <c r="F80" s="2280" t="s">
        <v>2539</v>
      </c>
      <c r="G80" s="1485" t="s">
        <v>574</v>
      </c>
      <c r="H80" s="2281" t="s">
        <v>2525</v>
      </c>
      <c r="I80" s="1485" t="s">
        <v>2526</v>
      </c>
      <c r="J80" s="560" t="s">
        <v>2177</v>
      </c>
      <c r="K80" s="560" t="s">
        <v>2178</v>
      </c>
      <c r="L80" s="560" t="s">
        <v>2179</v>
      </c>
      <c r="M80" s="560" t="s">
        <v>2180</v>
      </c>
      <c r="N80" s="560" t="s">
        <v>2181</v>
      </c>
      <c r="Z80" s="2134"/>
      <c r="AA80" s="2200"/>
      <c r="AG80" s="1235"/>
      <c r="AK80" s="2200"/>
    </row>
    <row r="81" spans="1:37" ht="38.25">
      <c r="A81" s="2279" t="s">
        <v>2546</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2528</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2529</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2543</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2535</v>
      </c>
      <c r="B85" s="1446"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2536</v>
      </c>
      <c r="B86" s="1446"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2533</v>
      </c>
      <c r="B87" s="2285" t="s">
        <v>2547</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2548</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64" t="s">
        <v>2549</v>
      </c>
      <c r="B90" s="3564"/>
      <c r="C90" s="3564"/>
      <c r="D90" s="3564"/>
      <c r="E90" s="3564"/>
      <c r="F90" s="3564"/>
      <c r="G90" s="3564"/>
      <c r="H90" s="3564"/>
      <c r="I90" s="3564"/>
      <c r="J90" s="3564"/>
      <c r="K90" s="2293"/>
      <c r="L90" s="2293"/>
      <c r="M90" s="2293"/>
      <c r="N90" s="2293"/>
    </row>
    <row r="91" spans="1:37">
      <c r="A91" s="3566" t="s">
        <v>2550</v>
      </c>
      <c r="B91" s="3566" t="s">
        <v>2551</v>
      </c>
      <c r="C91" s="2247" t="s">
        <v>2552</v>
      </c>
      <c r="D91" s="2248"/>
      <c r="E91" s="2248"/>
      <c r="F91" s="2248"/>
      <c r="G91" s="2248"/>
      <c r="H91" s="2248"/>
      <c r="I91" s="2248"/>
      <c r="J91" s="2294"/>
      <c r="K91" s="2295"/>
      <c r="L91" s="2295"/>
      <c r="M91" s="2295"/>
      <c r="N91" s="2295"/>
    </row>
    <row r="92" spans="1:37">
      <c r="A92" s="3566"/>
      <c r="B92" s="3566"/>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67" t="s">
        <v>2553</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68"/>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68"/>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68"/>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68"/>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68"/>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68"/>
      <c r="B99" s="2296" t="s">
        <v>2435</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69"/>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67" t="s">
        <v>2554</v>
      </c>
      <c r="B101" s="2300" t="s">
        <v>2555</v>
      </c>
      <c r="C101" s="2301">
        <f>$G$3</f>
        <v>3.49</v>
      </c>
      <c r="D101" s="2301">
        <f t="shared" ref="D101:N101" si="31">$G$3</f>
        <v>3.49</v>
      </c>
      <c r="E101" s="2301">
        <f t="shared" si="31"/>
        <v>3.49</v>
      </c>
      <c r="F101" s="2301">
        <f t="shared" si="31"/>
        <v>3.49</v>
      </c>
      <c r="G101" s="2301">
        <f t="shared" si="31"/>
        <v>3.49</v>
      </c>
      <c r="H101" s="2301">
        <f t="shared" si="31"/>
        <v>3.49</v>
      </c>
      <c r="I101" s="2301">
        <f t="shared" si="31"/>
        <v>3.49</v>
      </c>
      <c r="J101" s="2301">
        <f t="shared" si="31"/>
        <v>3.49</v>
      </c>
      <c r="K101" s="2301">
        <f t="shared" si="31"/>
        <v>3.49</v>
      </c>
      <c r="L101" s="2301">
        <f t="shared" si="31"/>
        <v>3.49</v>
      </c>
      <c r="M101" s="2301">
        <f t="shared" si="31"/>
        <v>3.49</v>
      </c>
      <c r="N101" s="2301">
        <f t="shared" si="31"/>
        <v>3.49</v>
      </c>
    </row>
    <row r="102" spans="1:14">
      <c r="A102" s="3568"/>
      <c r="B102" s="2296">
        <v>1</v>
      </c>
      <c r="C102" s="2297">
        <f>1.9362/C101</f>
        <v>0.55478510028653294</v>
      </c>
      <c r="D102" s="2297">
        <f>1.9362/D101</f>
        <v>0.55478510028653294</v>
      </c>
      <c r="E102" s="2297">
        <f>1.8629/E101</f>
        <v>0.53378223495702004</v>
      </c>
      <c r="F102" s="2297">
        <f>1.8629/F101</f>
        <v>0.53378223495702004</v>
      </c>
      <c r="G102" s="2297">
        <f>1.8629/G101</f>
        <v>0.53378223495702004</v>
      </c>
      <c r="H102" s="2297">
        <f>1.8629/H101</f>
        <v>0.53378223495702004</v>
      </c>
      <c r="I102" s="2297">
        <f>1.8629/I101</f>
        <v>0.53378223495702004</v>
      </c>
      <c r="J102" s="2297">
        <f>1.942/J101</f>
        <v>0.55644699140401144</v>
      </c>
      <c r="K102" s="2297">
        <f>1.942/K101</f>
        <v>0.55644699140401144</v>
      </c>
      <c r="L102" s="2297">
        <f>1.942/L101</f>
        <v>0.55644699140401144</v>
      </c>
      <c r="M102" s="2297">
        <f>1.942/M101</f>
        <v>0.55644699140401144</v>
      </c>
      <c r="N102" s="2297">
        <f>1.942/N101</f>
        <v>0.55644699140401144</v>
      </c>
    </row>
    <row r="103" spans="1:14">
      <c r="A103" s="3568"/>
      <c r="B103" s="2296">
        <v>2</v>
      </c>
      <c r="C103" s="2297">
        <f>1.4198/C101</f>
        <v>0.40681948424068765</v>
      </c>
      <c r="D103" s="2297">
        <f>1.4198/D101</f>
        <v>0.40681948424068765</v>
      </c>
      <c r="E103" s="2297">
        <f>1.3372/E101</f>
        <v>0.38315186246418337</v>
      </c>
      <c r="F103" s="2297">
        <f>1.3372/F101</f>
        <v>0.38315186246418337</v>
      </c>
      <c r="G103" s="2297">
        <f>1.3372/G101</f>
        <v>0.38315186246418337</v>
      </c>
      <c r="H103" s="2297">
        <f>1.3372/H101</f>
        <v>0.38315186246418337</v>
      </c>
      <c r="I103" s="2297">
        <f>1.3372/I101</f>
        <v>0.38315186246418337</v>
      </c>
      <c r="J103" s="2297">
        <f>1.2799/J101</f>
        <v>0.36673352435530082</v>
      </c>
      <c r="K103" s="2297">
        <f>1.2799/K101</f>
        <v>0.36673352435530082</v>
      </c>
      <c r="L103" s="2297">
        <f>1.2799/L101</f>
        <v>0.36673352435530082</v>
      </c>
      <c r="M103" s="2297">
        <f>1.2799/M101</f>
        <v>0.36673352435530082</v>
      </c>
      <c r="N103" s="2297">
        <f>1.2799/N101</f>
        <v>0.36673352435530082</v>
      </c>
    </row>
    <row r="104" spans="1:14">
      <c r="A104" s="3568"/>
      <c r="B104" s="2296">
        <v>3</v>
      </c>
      <c r="C104" s="2297">
        <f>1.1594/C101</f>
        <v>0.33220630372492832</v>
      </c>
      <c r="D104" s="2297">
        <f>1.1594/D101</f>
        <v>0.33220630372492832</v>
      </c>
      <c r="E104" s="2297">
        <f>1.0788/E101</f>
        <v>0.30911174785100282</v>
      </c>
      <c r="F104" s="2297">
        <f>1.0788/F101</f>
        <v>0.30911174785100282</v>
      </c>
      <c r="G104" s="2297">
        <f>1.0788/G101</f>
        <v>0.30911174785100282</v>
      </c>
      <c r="H104" s="2297">
        <f>1.0788/H101</f>
        <v>0.30911174785100282</v>
      </c>
      <c r="I104" s="2297">
        <f>1.0788/I101</f>
        <v>0.30911174785100282</v>
      </c>
      <c r="J104" s="2297">
        <f>1.0072/J101</f>
        <v>0.28859598853868196</v>
      </c>
      <c r="K104" s="2297">
        <f>1.0072/K101</f>
        <v>0.28859598853868196</v>
      </c>
      <c r="L104" s="2297">
        <f>1.0072/L101</f>
        <v>0.28859598853868196</v>
      </c>
      <c r="M104" s="2297">
        <f>1.0072/M101</f>
        <v>0.28859598853868196</v>
      </c>
      <c r="N104" s="2297">
        <f>1.0072/N101</f>
        <v>0.28859598853868196</v>
      </c>
    </row>
    <row r="105" spans="1:14">
      <c r="A105" s="3568"/>
      <c r="B105" s="2296">
        <v>4</v>
      </c>
      <c r="C105" s="2297">
        <f>0.9622/C101</f>
        <v>0.27570200573065901</v>
      </c>
      <c r="D105" s="2297">
        <f>0.9622/D101</f>
        <v>0.27570200573065901</v>
      </c>
      <c r="E105" s="2297">
        <f>0.8656/E101</f>
        <v>0.24802292263610315</v>
      </c>
      <c r="F105" s="2297">
        <f>0.8656/F101</f>
        <v>0.24802292263610315</v>
      </c>
      <c r="G105" s="2297">
        <f>0.8656/G101</f>
        <v>0.24802292263610315</v>
      </c>
      <c r="H105" s="2297">
        <f>0.8656/H101</f>
        <v>0.24802292263610315</v>
      </c>
      <c r="I105" s="2297">
        <f>0.8656/I101</f>
        <v>0.24802292263610315</v>
      </c>
      <c r="J105" s="2297">
        <f>0.7525/J101</f>
        <v>0.21561604584527216</v>
      </c>
      <c r="K105" s="2297">
        <f>0.7525/K101</f>
        <v>0.21561604584527216</v>
      </c>
      <c r="L105" s="2297">
        <f>0.7525/L101</f>
        <v>0.21561604584527216</v>
      </c>
      <c r="M105" s="2297">
        <f>0.7525/M101</f>
        <v>0.21561604584527216</v>
      </c>
      <c r="N105" s="2297">
        <f>0.7525/N101</f>
        <v>0.21561604584527216</v>
      </c>
    </row>
    <row r="106" spans="1:14">
      <c r="A106" s="3568"/>
      <c r="B106" s="2296">
        <v>5</v>
      </c>
      <c r="C106" s="2297">
        <f>0.8417/C101</f>
        <v>0.24117478510028653</v>
      </c>
      <c r="D106" s="2297">
        <f>0.8417/D101</f>
        <v>0.24117478510028653</v>
      </c>
      <c r="E106" s="2297">
        <f>0.7371/E101</f>
        <v>0.21120343839541544</v>
      </c>
      <c r="F106" s="2297">
        <f>0.7371/F101</f>
        <v>0.21120343839541544</v>
      </c>
      <c r="G106" s="2297">
        <f>0.7371/G101</f>
        <v>0.21120343839541544</v>
      </c>
      <c r="H106" s="2297">
        <f>0.7371/H101</f>
        <v>0.21120343839541544</v>
      </c>
      <c r="I106" s="2297">
        <f>0.7371/I101</f>
        <v>0.21120343839541544</v>
      </c>
      <c r="J106" s="2297">
        <f>0.5659/J101</f>
        <v>0.16214899713467046</v>
      </c>
      <c r="K106" s="2297">
        <f>0.5659/K101</f>
        <v>0.16214899713467046</v>
      </c>
      <c r="L106" s="2297">
        <f>0.5659/L101</f>
        <v>0.16214899713467046</v>
      </c>
      <c r="M106" s="2297">
        <f>0.5659/M101</f>
        <v>0.16214899713467046</v>
      </c>
      <c r="N106" s="2297">
        <f>0.5659/N101</f>
        <v>0.16214899713467046</v>
      </c>
    </row>
    <row r="107" spans="1:14">
      <c r="A107" s="3568"/>
      <c r="B107" s="2296">
        <v>6</v>
      </c>
      <c r="C107" s="2297">
        <f>0.7608/C101</f>
        <v>0.21799426934097421</v>
      </c>
      <c r="D107" s="2297">
        <f>0.7608/D101</f>
        <v>0.21799426934097421</v>
      </c>
      <c r="E107" s="2297">
        <f>0.6482/E101</f>
        <v>0.18573065902578795</v>
      </c>
      <c r="F107" s="2297">
        <f>0.6482/F101</f>
        <v>0.18573065902578795</v>
      </c>
      <c r="G107" s="2297">
        <f>0.6482/G101</f>
        <v>0.18573065902578795</v>
      </c>
      <c r="H107" s="2297">
        <f>0.6482/H101</f>
        <v>0.18573065902578795</v>
      </c>
      <c r="I107" s="2297">
        <f>0.6482/I101</f>
        <v>0.18573065902578795</v>
      </c>
      <c r="J107" s="2297">
        <f>0.4525/J101</f>
        <v>0.12965616045845271</v>
      </c>
      <c r="K107" s="2297">
        <f>0.4525/K101</f>
        <v>0.12965616045845271</v>
      </c>
      <c r="L107" s="2297">
        <f>0.4525/L101</f>
        <v>0.12965616045845271</v>
      </c>
      <c r="M107" s="2297">
        <f>0.4525/M101</f>
        <v>0.12965616045845271</v>
      </c>
      <c r="N107" s="2297">
        <f>0.4525/N101</f>
        <v>0.12965616045845271</v>
      </c>
    </row>
    <row r="108" spans="1:14">
      <c r="A108" s="3568"/>
      <c r="B108" s="3570" t="s">
        <v>2556</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69"/>
      <c r="B109" s="3571"/>
      <c r="C109" s="2299">
        <f>(-0.163*(C108^2)-0.59*C108+7617)*(10^(-4))/C101</f>
        <v>0.21825214899713466</v>
      </c>
      <c r="D109" s="2299">
        <f>(-0.163*(D108^2)-0.59*D108+7617)*(10^(-4))/D101</f>
        <v>0.21825214899713466</v>
      </c>
      <c r="E109" s="2299">
        <f>(-0.161*(E108^2)-7.509*E108+6533)*(10^(-4))/E101</f>
        <v>0.18719197707736387</v>
      </c>
      <c r="F109" s="2299">
        <f>(-0.161*(F108^2)-7.509*F108+6533)*(10^(-4))/F101</f>
        <v>0.18719197707736387</v>
      </c>
      <c r="G109" s="2299">
        <f>(-0.161*(G108^2)-7.509*G108+6533)*(10^(-4))/G101</f>
        <v>0.18719197707736387</v>
      </c>
      <c r="H109" s="2299">
        <f>(-0.161*(H108^2)-7.509*H108+6533)*(10^(-4))/H101</f>
        <v>0.18719197707736387</v>
      </c>
      <c r="I109" s="2299">
        <f>(-0.161*(I108^2)-7.509*I108+6533)*(10^(-4))/I101</f>
        <v>0.18719197707736387</v>
      </c>
      <c r="J109" s="2299">
        <f>(-0.214*(J108^2)-21.991*J108+4665)*(10^(-4))/J101</f>
        <v>0.13366762177650429</v>
      </c>
      <c r="K109" s="2299">
        <f>(-0.214*(K108^2)-21.991*K108+4665)*(10^(-4))/K101</f>
        <v>0.13366762177650429</v>
      </c>
      <c r="L109" s="2299">
        <f>(-0.214*(L108^2)-21.991*L108+4665)*(10^(-4))/L101</f>
        <v>0.13366762177650429</v>
      </c>
      <c r="M109" s="2299">
        <f>(-0.214*(M108^2)-21.991*M108+4665)*(10^(-4))/M101</f>
        <v>0.13366762177650429</v>
      </c>
      <c r="N109" s="2299">
        <f>(-0.214*(N108^2)-21.991*N108+4665)*(10^(-4))/N101</f>
        <v>0.13366762177650429</v>
      </c>
    </row>
    <row r="110" spans="1:14">
      <c r="A110" s="3565" t="s">
        <v>2557</v>
      </c>
      <c r="B110" s="3565"/>
      <c r="C110" s="3565"/>
      <c r="D110" s="3565"/>
      <c r="E110" s="3565"/>
      <c r="F110" s="3565"/>
      <c r="G110" s="3565"/>
      <c r="H110" s="3565"/>
      <c r="I110" s="3565"/>
      <c r="J110" s="3565"/>
      <c r="K110" s="2302"/>
      <c r="L110" s="2302"/>
      <c r="M110" s="2302"/>
      <c r="N110" s="2302"/>
    </row>
    <row r="112" spans="1:14" ht="13.5" thickBot="1"/>
    <row r="113" spans="1:13" ht="25.5" thickBot="1">
      <c r="A113" s="824" t="s">
        <v>2558</v>
      </c>
      <c r="B113" s="1178">
        <f>G3</f>
        <v>3.49</v>
      </c>
      <c r="C113" s="825" t="s">
        <v>2559</v>
      </c>
      <c r="D113" s="826">
        <f>SUMPRODUCT((A115:A118=F113)*(B114:M114=H113)*B115:M118)</f>
        <v>0</v>
      </c>
      <c r="E113" s="2138" t="s">
        <v>2392</v>
      </c>
      <c r="F113" s="2304">
        <f>E2</f>
        <v>0</v>
      </c>
      <c r="G113" s="2138" t="s">
        <v>2393</v>
      </c>
      <c r="H113" s="2304">
        <f>G2</f>
        <v>0</v>
      </c>
      <c r="I113" s="2138"/>
      <c r="J113" s="2305"/>
      <c r="K113" s="2305"/>
      <c r="L113" s="2305"/>
      <c r="M113" s="2305"/>
    </row>
    <row r="114" spans="1:13">
      <c r="A114" s="829"/>
      <c r="B114" s="2306" t="s">
        <v>2560</v>
      </c>
      <c r="C114" s="2306" t="s">
        <v>2561</v>
      </c>
      <c r="D114" s="2306" t="s">
        <v>2562</v>
      </c>
      <c r="E114" s="2307" t="s">
        <v>2563</v>
      </c>
      <c r="F114" s="2307" t="s">
        <v>2564</v>
      </c>
      <c r="G114" s="2307" t="s">
        <v>2565</v>
      </c>
      <c r="H114" s="2308" t="s">
        <v>2566</v>
      </c>
      <c r="I114" s="2308" t="s">
        <v>2567</v>
      </c>
      <c r="J114" s="2309" t="s">
        <v>2568</v>
      </c>
      <c r="K114" s="2309" t="s">
        <v>2569</v>
      </c>
      <c r="L114" s="2309" t="s">
        <v>2570</v>
      </c>
      <c r="M114" s="2310" t="s">
        <v>2571</v>
      </c>
    </row>
    <row r="115" spans="1:13">
      <c r="A115" s="830" t="s">
        <v>2457</v>
      </c>
      <c r="B115" s="831">
        <f>ROUND(0.9335-0.0094*B113,4)</f>
        <v>0.90069999999999995</v>
      </c>
      <c r="C115" s="831">
        <f>B115</f>
        <v>0.90069999999999995</v>
      </c>
      <c r="D115" s="831">
        <f>ROUND(0.8331-0.0109*B113,4)</f>
        <v>0.79510000000000003</v>
      </c>
      <c r="E115" s="831">
        <f>D115</f>
        <v>0.79510000000000003</v>
      </c>
      <c r="F115" s="831">
        <f>E115</f>
        <v>0.79510000000000003</v>
      </c>
      <c r="G115" s="831">
        <f>F115</f>
        <v>0.79510000000000003</v>
      </c>
      <c r="H115" s="831">
        <f>G115</f>
        <v>0.79510000000000003</v>
      </c>
      <c r="I115" s="831">
        <f>ROUND(0.689-0.0155*B113,4)</f>
        <v>0.63490000000000002</v>
      </c>
      <c r="J115" s="831">
        <f t="shared" ref="J115:M118" si="33">I115</f>
        <v>0.63490000000000002</v>
      </c>
      <c r="K115" s="831">
        <f t="shared" si="33"/>
        <v>0.63490000000000002</v>
      </c>
      <c r="L115" s="831">
        <f t="shared" si="33"/>
        <v>0.63490000000000002</v>
      </c>
      <c r="M115" s="832">
        <f t="shared" si="33"/>
        <v>0.63490000000000002</v>
      </c>
    </row>
    <row r="116" spans="1:13">
      <c r="A116" s="830" t="s">
        <v>2458</v>
      </c>
      <c r="B116" s="831">
        <f>ROUND(0.949-0.012*B113,4)</f>
        <v>0.90710000000000002</v>
      </c>
      <c r="C116" s="831">
        <f>B116</f>
        <v>0.90710000000000002</v>
      </c>
      <c r="D116" s="831">
        <f>ROUND(0.8567-0.013*B113,4)</f>
        <v>0.81130000000000002</v>
      </c>
      <c r="E116" s="831">
        <f t="shared" ref="E116:H117" si="34">D116</f>
        <v>0.81130000000000002</v>
      </c>
      <c r="F116" s="831">
        <f t="shared" si="34"/>
        <v>0.81130000000000002</v>
      </c>
      <c r="G116" s="831">
        <f t="shared" si="34"/>
        <v>0.81130000000000002</v>
      </c>
      <c r="H116" s="831">
        <f t="shared" si="34"/>
        <v>0.81130000000000002</v>
      </c>
      <c r="I116" s="831">
        <f>ROUND(0.7694-0.014*B113,4)</f>
        <v>0.72050000000000003</v>
      </c>
      <c r="J116" s="831">
        <f t="shared" si="33"/>
        <v>0.72050000000000003</v>
      </c>
      <c r="K116" s="831">
        <f t="shared" si="33"/>
        <v>0.72050000000000003</v>
      </c>
      <c r="L116" s="831">
        <f t="shared" si="33"/>
        <v>0.72050000000000003</v>
      </c>
      <c r="M116" s="832">
        <f t="shared" si="33"/>
        <v>0.72050000000000003</v>
      </c>
    </row>
    <row r="117" spans="1:13">
      <c r="A117" s="830" t="s">
        <v>2459</v>
      </c>
      <c r="B117" s="831">
        <f>ROUND(0.8808-0.006*B113,4)</f>
        <v>0.8599</v>
      </c>
      <c r="C117" s="831">
        <f>B117</f>
        <v>0.8599</v>
      </c>
      <c r="D117" s="831">
        <f>ROUND(0.8748-0.008*B113,4)</f>
        <v>0.84689999999999999</v>
      </c>
      <c r="E117" s="831">
        <f t="shared" si="34"/>
        <v>0.84689999999999999</v>
      </c>
      <c r="F117" s="831">
        <f t="shared" si="34"/>
        <v>0.84689999999999999</v>
      </c>
      <c r="G117" s="831">
        <f t="shared" si="34"/>
        <v>0.84689999999999999</v>
      </c>
      <c r="H117" s="831">
        <f t="shared" si="34"/>
        <v>0.84689999999999999</v>
      </c>
      <c r="I117" s="831">
        <f>ROUND(0.7412-0.0095*B113,4)</f>
        <v>0.70799999999999996</v>
      </c>
      <c r="J117" s="831">
        <f t="shared" si="33"/>
        <v>0.70799999999999996</v>
      </c>
      <c r="K117" s="831">
        <f t="shared" si="33"/>
        <v>0.70799999999999996</v>
      </c>
      <c r="L117" s="831">
        <f t="shared" si="33"/>
        <v>0.70799999999999996</v>
      </c>
      <c r="M117" s="832">
        <f t="shared" si="33"/>
        <v>0.70799999999999996</v>
      </c>
    </row>
    <row r="118" spans="1:13" ht="13.5" thickBot="1">
      <c r="A118" s="670" t="s">
        <v>2460</v>
      </c>
      <c r="B118" s="833">
        <f>ROUND(0.7275-0.01*B113,4)</f>
        <v>0.69259999999999999</v>
      </c>
      <c r="C118" s="833">
        <f>B118</f>
        <v>0.69259999999999999</v>
      </c>
      <c r="D118" s="833">
        <f>ROUND(0.7043-0.012*B113,4)</f>
        <v>0.66239999999999999</v>
      </c>
      <c r="E118" s="833">
        <f>D118</f>
        <v>0.66239999999999999</v>
      </c>
      <c r="F118" s="833">
        <f>E118</f>
        <v>0.66239999999999999</v>
      </c>
      <c r="G118" s="833">
        <f>ROUND(0.6299-0.0122*B113,4)</f>
        <v>0.58730000000000004</v>
      </c>
      <c r="H118" s="833">
        <f>G118</f>
        <v>0.58730000000000004</v>
      </c>
      <c r="I118" s="833">
        <f>ROUND(0.5667-0.0136*B113,4)</f>
        <v>0.51919999999999999</v>
      </c>
      <c r="J118" s="833">
        <f t="shared" si="33"/>
        <v>0.51919999999999999</v>
      </c>
      <c r="K118" s="833">
        <f t="shared" si="33"/>
        <v>0.51919999999999999</v>
      </c>
      <c r="L118" s="833">
        <f t="shared" si="33"/>
        <v>0.51919999999999999</v>
      </c>
      <c r="M118" s="834">
        <f t="shared" si="33"/>
        <v>0.51919999999999999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2950</v>
      </c>
      <c r="B19" s="3209" t="s">
        <v>2951</v>
      </c>
      <c r="C19" s="3210" t="s">
        <v>2952</v>
      </c>
      <c r="D19" s="3211"/>
      <c r="E19" s="3205" t="s">
        <v>2953</v>
      </c>
      <c r="F19" s="803"/>
      <c r="G19" s="803"/>
    </row>
    <row r="20" spans="1:13" s="808" customFormat="1" ht="19.5" customHeight="1">
      <c r="A20" s="3587" t="s">
        <v>2954</v>
      </c>
      <c r="B20" s="3582" t="s">
        <v>2955</v>
      </c>
      <c r="C20" s="3212" t="s">
        <v>2956</v>
      </c>
      <c r="D20" s="3213"/>
      <c r="E20" s="3214">
        <v>1</v>
      </c>
      <c r="F20" s="3215" t="s">
        <v>2957</v>
      </c>
      <c r="G20" s="807"/>
      <c r="H20" s="801"/>
      <c r="I20" s="801"/>
    </row>
    <row r="21" spans="1:13" s="808" customFormat="1" ht="19.5" customHeight="1">
      <c r="A21" s="3588"/>
      <c r="B21" s="3581"/>
      <c r="C21" s="805" t="s">
        <v>2958</v>
      </c>
      <c r="D21" s="806"/>
      <c r="E21" s="3216">
        <v>1</v>
      </c>
      <c r="F21" s="3215" t="s">
        <v>2959</v>
      </c>
      <c r="G21" s="807"/>
      <c r="H21" s="801"/>
      <c r="I21" s="801"/>
    </row>
    <row r="22" spans="1:13" s="808" customFormat="1" ht="19.5" customHeight="1">
      <c r="A22" s="3588"/>
      <c r="B22" s="3581"/>
      <c r="C22" s="805" t="s">
        <v>2960</v>
      </c>
      <c r="D22" s="806"/>
      <c r="E22" s="3216">
        <v>0.9</v>
      </c>
      <c r="F22" s="3215" t="s">
        <v>2961</v>
      </c>
      <c r="G22" s="807"/>
      <c r="H22" s="801"/>
      <c r="I22" s="801"/>
    </row>
    <row r="23" spans="1:13" s="808" customFormat="1" ht="19.5" customHeight="1">
      <c r="A23" s="3588"/>
      <c r="B23" s="3581"/>
      <c r="C23" s="805" t="s">
        <v>2962</v>
      </c>
      <c r="D23" s="806"/>
      <c r="E23" s="3216">
        <v>0.9</v>
      </c>
      <c r="F23" s="3215" t="s">
        <v>2963</v>
      </c>
      <c r="G23" s="807"/>
      <c r="H23" s="801"/>
      <c r="I23" s="801"/>
    </row>
    <row r="24" spans="1:13" s="808" customFormat="1" ht="19.5" customHeight="1">
      <c r="A24" s="3588"/>
      <c r="B24" s="3581"/>
      <c r="C24" s="805" t="s">
        <v>2964</v>
      </c>
      <c r="D24" s="806"/>
      <c r="E24" s="3216">
        <v>0.8</v>
      </c>
      <c r="F24" s="3215" t="s">
        <v>2965</v>
      </c>
      <c r="G24" s="807"/>
      <c r="H24" s="801"/>
      <c r="I24" s="801"/>
    </row>
    <row r="25" spans="1:13" s="808" customFormat="1" ht="19.5" customHeight="1" thickBot="1">
      <c r="A25" s="3589"/>
      <c r="B25" s="3583"/>
      <c r="C25" s="3217" t="s">
        <v>2966</v>
      </c>
      <c r="D25" s="3218"/>
      <c r="E25" s="3219">
        <v>0.8</v>
      </c>
      <c r="F25" s="3215" t="s">
        <v>2967</v>
      </c>
      <c r="G25" s="807"/>
      <c r="H25" s="801"/>
      <c r="I25" s="801"/>
    </row>
    <row r="26" spans="1:13" s="808" customFormat="1" ht="19.5" customHeight="1" thickBot="1">
      <c r="A26" s="3220" t="s">
        <v>2968</v>
      </c>
      <c r="B26" s="3221" t="s">
        <v>2955</v>
      </c>
      <c r="C26" s="3222" t="s">
        <v>2969</v>
      </c>
      <c r="D26" s="3223"/>
      <c r="E26" s="3224">
        <v>1</v>
      </c>
      <c r="F26" s="3215" t="s">
        <v>2970</v>
      </c>
      <c r="G26" s="807"/>
      <c r="H26" s="801"/>
      <c r="I26" s="801"/>
    </row>
    <row r="27" spans="1:13" s="808" customFormat="1" ht="19.5" customHeight="1">
      <c r="A27" s="3584" t="s">
        <v>2971</v>
      </c>
      <c r="B27" s="3582" t="s">
        <v>2971</v>
      </c>
      <c r="C27" s="3212" t="s">
        <v>2972</v>
      </c>
      <c r="D27" s="3213"/>
      <c r="E27" s="3214">
        <v>1</v>
      </c>
      <c r="F27" s="3215" t="s">
        <v>2973</v>
      </c>
      <c r="G27" s="807"/>
      <c r="H27" s="801"/>
      <c r="I27" s="801"/>
    </row>
    <row r="28" spans="1:13" s="808" customFormat="1" ht="19.5" customHeight="1">
      <c r="A28" s="3585"/>
      <c r="B28" s="3581"/>
      <c r="C28" s="805" t="s">
        <v>2974</v>
      </c>
      <c r="D28" s="806"/>
      <c r="E28" s="3216">
        <v>1</v>
      </c>
      <c r="F28" s="3215" t="s">
        <v>2975</v>
      </c>
      <c r="G28" s="807"/>
      <c r="H28" s="801"/>
      <c r="I28" s="801"/>
    </row>
    <row r="29" spans="1:13" s="808" customFormat="1" ht="19.5" customHeight="1">
      <c r="A29" s="3585"/>
      <c r="B29" s="3581"/>
      <c r="C29" s="805" t="s">
        <v>2976</v>
      </c>
      <c r="D29" s="806"/>
      <c r="E29" s="3216">
        <v>0.8</v>
      </c>
      <c r="F29" s="3215" t="s">
        <v>2977</v>
      </c>
      <c r="G29" s="807"/>
      <c r="H29" s="801"/>
      <c r="I29" s="801"/>
    </row>
    <row r="30" spans="1:13" s="808" customFormat="1" ht="19.5" customHeight="1">
      <c r="A30" s="3585"/>
      <c r="B30" s="3581"/>
      <c r="C30" s="805" t="s">
        <v>2978</v>
      </c>
      <c r="D30" s="806"/>
      <c r="E30" s="3216">
        <v>0.8</v>
      </c>
      <c r="F30" s="3215" t="s">
        <v>2979</v>
      </c>
      <c r="G30" s="807"/>
      <c r="H30" s="801"/>
      <c r="I30" s="801"/>
    </row>
    <row r="31" spans="1:13" s="808" customFormat="1" ht="19.5" customHeight="1">
      <c r="A31" s="3585"/>
      <c r="B31" s="3581"/>
      <c r="C31" s="805" t="s">
        <v>2980</v>
      </c>
      <c r="D31" s="806"/>
      <c r="E31" s="3216">
        <v>0.8</v>
      </c>
      <c r="F31" s="3215" t="s">
        <v>2981</v>
      </c>
      <c r="G31" s="807"/>
      <c r="H31" s="801"/>
      <c r="I31" s="801"/>
    </row>
    <row r="32" spans="1:13" s="808" customFormat="1" ht="19.5" customHeight="1">
      <c r="A32" s="3585"/>
      <c r="B32" s="3581"/>
      <c r="C32" s="805" t="s">
        <v>2982</v>
      </c>
      <c r="D32" s="806"/>
      <c r="E32" s="3216">
        <v>0.7</v>
      </c>
      <c r="F32" s="3215" t="s">
        <v>2983</v>
      </c>
      <c r="G32" s="807"/>
      <c r="H32" s="801"/>
      <c r="I32" s="801"/>
    </row>
    <row r="33" spans="1:9" s="808" customFormat="1" ht="19.5" customHeight="1">
      <c r="A33" s="3585"/>
      <c r="B33" s="3581"/>
      <c r="C33" s="805" t="s">
        <v>2984</v>
      </c>
      <c r="D33" s="806"/>
      <c r="E33" s="3216">
        <v>0.8</v>
      </c>
      <c r="F33" s="3215" t="s">
        <v>2985</v>
      </c>
      <c r="G33" s="807"/>
      <c r="H33" s="801"/>
      <c r="I33" s="801"/>
    </row>
    <row r="34" spans="1:9" s="808" customFormat="1" ht="19.5" customHeight="1">
      <c r="A34" s="3585"/>
      <c r="B34" s="3581"/>
      <c r="C34" s="805" t="s">
        <v>2986</v>
      </c>
      <c r="D34" s="806"/>
      <c r="E34" s="3216">
        <v>0.6</v>
      </c>
      <c r="F34" s="3215" t="s">
        <v>2987</v>
      </c>
      <c r="G34" s="807"/>
      <c r="H34" s="801"/>
      <c r="I34" s="801"/>
    </row>
    <row r="35" spans="1:9" s="808" customFormat="1" ht="19.5" customHeight="1">
      <c r="A35" s="3585"/>
      <c r="B35" s="3581"/>
      <c r="C35" s="805" t="s">
        <v>2988</v>
      </c>
      <c r="D35" s="806"/>
      <c r="E35" s="3216">
        <v>0.2</v>
      </c>
      <c r="F35" s="3215" t="s">
        <v>2989</v>
      </c>
      <c r="G35" s="807"/>
      <c r="H35" s="801"/>
      <c r="I35" s="801"/>
    </row>
    <row r="36" spans="1:9" s="808" customFormat="1" ht="19.5" customHeight="1">
      <c r="A36" s="3585"/>
      <c r="B36" s="3581"/>
      <c r="C36" s="805" t="s">
        <v>2990</v>
      </c>
      <c r="D36" s="806"/>
      <c r="E36" s="3216">
        <v>0.2</v>
      </c>
      <c r="F36" s="3215" t="s">
        <v>2991</v>
      </c>
      <c r="G36" s="807"/>
      <c r="H36" s="801"/>
      <c r="I36" s="801"/>
    </row>
    <row r="37" spans="1:9" s="808" customFormat="1" ht="19.5" customHeight="1">
      <c r="A37" s="3585"/>
      <c r="B37" s="3579" t="s">
        <v>2992</v>
      </c>
      <c r="C37" s="805" t="s">
        <v>2993</v>
      </c>
      <c r="D37" s="806"/>
      <c r="E37" s="3216">
        <v>0.6</v>
      </c>
      <c r="F37" s="3215" t="s">
        <v>2994</v>
      </c>
      <c r="G37" s="807"/>
      <c r="H37" s="801"/>
      <c r="I37" s="801"/>
    </row>
    <row r="38" spans="1:9" s="808" customFormat="1" ht="19.5" customHeight="1">
      <c r="A38" s="3585"/>
      <c r="B38" s="3581"/>
      <c r="C38" s="805" t="s">
        <v>2995</v>
      </c>
      <c r="D38" s="806"/>
      <c r="E38" s="3216">
        <v>0.6</v>
      </c>
      <c r="F38" s="3215" t="s">
        <v>2996</v>
      </c>
      <c r="G38" s="807"/>
      <c r="H38" s="801"/>
      <c r="I38" s="801"/>
    </row>
    <row r="39" spans="1:9" s="808" customFormat="1" ht="19.5" customHeight="1" thickBot="1">
      <c r="A39" s="3586"/>
      <c r="B39" s="3583"/>
      <c r="C39" s="3217" t="s">
        <v>2997</v>
      </c>
      <c r="D39" s="3218"/>
      <c r="E39" s="3219">
        <v>0.6</v>
      </c>
      <c r="F39" s="3215" t="s">
        <v>2998</v>
      </c>
      <c r="G39" s="807"/>
      <c r="H39" s="801"/>
      <c r="I39" s="801"/>
    </row>
    <row r="40" spans="1:9" s="808" customFormat="1" ht="19.5" customHeight="1" thickBot="1">
      <c r="A40" s="3220" t="s">
        <v>2999</v>
      </c>
      <c r="B40" s="3221" t="s">
        <v>2999</v>
      </c>
      <c r="C40" s="3222" t="s">
        <v>3000</v>
      </c>
      <c r="D40" s="3223"/>
      <c r="E40" s="3224">
        <v>1</v>
      </c>
      <c r="F40" s="3215" t="s">
        <v>3001</v>
      </c>
      <c r="G40" s="807"/>
      <c r="H40" s="801"/>
      <c r="I40" s="801"/>
    </row>
    <row r="41" spans="1:9" s="808" customFormat="1" ht="19.5" customHeight="1">
      <c r="A41" s="3587" t="s">
        <v>3002</v>
      </c>
      <c r="B41" s="3582" t="s">
        <v>3003</v>
      </c>
      <c r="C41" s="3212" t="s">
        <v>3004</v>
      </c>
      <c r="D41" s="3213"/>
      <c r="E41" s="3214">
        <v>1</v>
      </c>
      <c r="F41" s="3215" t="s">
        <v>3005</v>
      </c>
      <c r="G41" s="807"/>
      <c r="H41" s="801"/>
      <c r="I41" s="801"/>
    </row>
    <row r="42" spans="1:9" s="808" customFormat="1" ht="19.5" customHeight="1">
      <c r="A42" s="3588"/>
      <c r="B42" s="3581"/>
      <c r="C42" s="805" t="s">
        <v>3006</v>
      </c>
      <c r="D42" s="806"/>
      <c r="E42" s="3216">
        <v>1</v>
      </c>
      <c r="F42" s="3215" t="s">
        <v>3007</v>
      </c>
      <c r="G42" s="807"/>
      <c r="H42" s="801"/>
      <c r="I42" s="801"/>
    </row>
    <row r="43" spans="1:9" s="808" customFormat="1" ht="19.5" customHeight="1">
      <c r="A43" s="3588"/>
      <c r="B43" s="3580"/>
      <c r="C43" s="805" t="s">
        <v>3008</v>
      </c>
      <c r="D43" s="806"/>
      <c r="E43" s="3216">
        <v>1.5</v>
      </c>
      <c r="F43" s="3215" t="s">
        <v>3009</v>
      </c>
      <c r="G43" s="807"/>
      <c r="H43" s="801"/>
      <c r="I43" s="801"/>
    </row>
    <row r="44" spans="1:9" s="808" customFormat="1" ht="19.5" customHeight="1">
      <c r="A44" s="3588"/>
      <c r="B44" s="3225" t="s">
        <v>2971</v>
      </c>
      <c r="C44" s="805" t="s">
        <v>3010</v>
      </c>
      <c r="D44" s="806"/>
      <c r="E44" s="3216">
        <v>2</v>
      </c>
      <c r="F44" s="3215" t="s">
        <v>3011</v>
      </c>
      <c r="G44" s="807"/>
      <c r="H44" s="801"/>
      <c r="I44" s="801"/>
    </row>
    <row r="45" spans="1:9" s="808" customFormat="1" ht="19.5" customHeight="1">
      <c r="A45" s="3588"/>
      <c r="B45" s="3579" t="s">
        <v>3012</v>
      </c>
      <c r="C45" s="805" t="s">
        <v>3013</v>
      </c>
      <c r="D45" s="806"/>
      <c r="E45" s="3216">
        <v>1</v>
      </c>
      <c r="F45" s="3215" t="s">
        <v>3014</v>
      </c>
      <c r="G45" s="807"/>
      <c r="H45" s="801"/>
      <c r="I45" s="801"/>
    </row>
    <row r="46" spans="1:9" s="808" customFormat="1" ht="19.5" customHeight="1">
      <c r="A46" s="3588"/>
      <c r="B46" s="3581"/>
      <c r="C46" s="805" t="s">
        <v>3015</v>
      </c>
      <c r="D46" s="806"/>
      <c r="E46" s="3216">
        <v>1</v>
      </c>
      <c r="F46" s="3215" t="s">
        <v>3016</v>
      </c>
      <c r="G46" s="807"/>
      <c r="H46" s="801"/>
      <c r="I46" s="801"/>
    </row>
    <row r="47" spans="1:9" s="808" customFormat="1" ht="19.5" customHeight="1">
      <c r="A47" s="3588"/>
      <c r="B47" s="3581"/>
      <c r="C47" s="805" t="s">
        <v>3017</v>
      </c>
      <c r="D47" s="806"/>
      <c r="E47" s="3216">
        <v>1</v>
      </c>
      <c r="F47" s="3215" t="s">
        <v>3018</v>
      </c>
      <c r="G47" s="807"/>
      <c r="H47" s="801"/>
      <c r="I47" s="801"/>
    </row>
    <row r="48" spans="1:9" s="808" customFormat="1" ht="19.5" customHeight="1">
      <c r="A48" s="3588"/>
      <c r="B48" s="3581"/>
      <c r="C48" s="805" t="s">
        <v>3019</v>
      </c>
      <c r="D48" s="806"/>
      <c r="E48" s="3216">
        <v>1</v>
      </c>
      <c r="F48" s="3215" t="s">
        <v>3020</v>
      </c>
      <c r="G48" s="807"/>
      <c r="H48" s="801"/>
      <c r="I48" s="801"/>
    </row>
    <row r="49" spans="1:9" s="808" customFormat="1" ht="19.5" customHeight="1">
      <c r="A49" s="3588"/>
      <c r="B49" s="3581"/>
      <c r="C49" s="805" t="s">
        <v>3021</v>
      </c>
      <c r="D49" s="806"/>
      <c r="E49" s="3216">
        <v>1</v>
      </c>
      <c r="F49" s="3215" t="s">
        <v>3022</v>
      </c>
      <c r="G49" s="807"/>
      <c r="H49" s="801"/>
      <c r="I49" s="801"/>
    </row>
    <row r="50" spans="1:9" s="808" customFormat="1" ht="19.5" customHeight="1">
      <c r="A50" s="3588"/>
      <c r="B50" s="3581"/>
      <c r="C50" s="805" t="s">
        <v>3023</v>
      </c>
      <c r="D50" s="806"/>
      <c r="E50" s="3216">
        <v>1</v>
      </c>
      <c r="F50" s="3215" t="s">
        <v>3024</v>
      </c>
      <c r="G50" s="807"/>
      <c r="H50" s="801"/>
      <c r="I50" s="801"/>
    </row>
    <row r="51" spans="1:9" s="808" customFormat="1" ht="19.5" customHeight="1" thickBot="1">
      <c r="A51" s="3589"/>
      <c r="B51" s="3583"/>
      <c r="C51" s="3217" t="s">
        <v>3025</v>
      </c>
      <c r="D51" s="3218"/>
      <c r="E51" s="3219">
        <v>1</v>
      </c>
      <c r="F51" s="3215"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5">
        <v>1</v>
      </c>
      <c r="B73" s="3579" t="s">
        <v>3028</v>
      </c>
      <c r="C73" s="3205" t="s">
        <v>3029</v>
      </c>
      <c r="D73" s="3205" t="s">
        <v>3030</v>
      </c>
      <c r="E73" s="3226">
        <v>0.2</v>
      </c>
      <c r="F73" s="3225">
        <v>25</v>
      </c>
    </row>
    <row r="74" spans="1:7" s="801" customFormat="1" ht="24">
      <c r="A74" s="3225">
        <v>2</v>
      </c>
      <c r="B74" s="3581"/>
      <c r="C74" s="3205" t="s">
        <v>3031</v>
      </c>
      <c r="D74" s="3205" t="s">
        <v>3032</v>
      </c>
      <c r="E74" s="3226">
        <v>0.2</v>
      </c>
      <c r="F74" s="3225">
        <v>25</v>
      </c>
    </row>
    <row r="75" spans="1:7" s="801" customFormat="1" ht="24">
      <c r="A75" s="3225">
        <v>3</v>
      </c>
      <c r="B75" s="3581"/>
      <c r="C75" s="3205" t="s">
        <v>3033</v>
      </c>
      <c r="D75" s="3205" t="s">
        <v>3034</v>
      </c>
      <c r="E75" s="3226">
        <v>0.2</v>
      </c>
      <c r="F75" s="3225">
        <v>25</v>
      </c>
    </row>
    <row r="76" spans="1:7" s="801" customFormat="1" ht="13.5">
      <c r="A76" s="3225">
        <v>4</v>
      </c>
      <c r="B76" s="3581"/>
      <c r="C76" s="3205" t="s">
        <v>3035</v>
      </c>
      <c r="D76" s="3205" t="s">
        <v>3036</v>
      </c>
      <c r="E76" s="3226">
        <v>0.15</v>
      </c>
      <c r="F76" s="3225">
        <v>20</v>
      </c>
    </row>
    <row r="77" spans="1:7" s="801" customFormat="1" ht="24">
      <c r="A77" s="3225">
        <v>5</v>
      </c>
      <c r="B77" s="3581"/>
      <c r="C77" s="3205" t="s">
        <v>3037</v>
      </c>
      <c r="D77" s="3205" t="s">
        <v>3038</v>
      </c>
      <c r="E77" s="3226">
        <v>0.15</v>
      </c>
      <c r="F77" s="3225">
        <v>20</v>
      </c>
    </row>
    <row r="78" spans="1:7" s="801" customFormat="1" ht="24">
      <c r="A78" s="3225">
        <v>6</v>
      </c>
      <c r="B78" s="3581"/>
      <c r="C78" s="3205" t="s">
        <v>3039</v>
      </c>
      <c r="D78" s="3205" t="s">
        <v>3040</v>
      </c>
      <c r="E78" s="3226">
        <v>0.15</v>
      </c>
      <c r="F78" s="3225">
        <v>20</v>
      </c>
    </row>
    <row r="79" spans="1:7" s="801" customFormat="1" ht="24">
      <c r="A79" s="3225">
        <v>7</v>
      </c>
      <c r="B79" s="3581"/>
      <c r="C79" s="3205" t="s">
        <v>3041</v>
      </c>
      <c r="D79" s="3205" t="s">
        <v>3042</v>
      </c>
      <c r="E79" s="3226">
        <v>0.15</v>
      </c>
      <c r="F79" s="3225">
        <v>20</v>
      </c>
    </row>
    <row r="80" spans="1:7" s="801" customFormat="1" ht="24">
      <c r="A80" s="3225">
        <v>8</v>
      </c>
      <c r="B80" s="3581"/>
      <c r="C80" s="3205" t="s">
        <v>3043</v>
      </c>
      <c r="D80" s="3205" t="s">
        <v>3044</v>
      </c>
      <c r="E80" s="3226">
        <v>0.1</v>
      </c>
      <c r="F80" s="3225">
        <v>15</v>
      </c>
    </row>
    <row r="81" spans="1:6" s="801" customFormat="1" ht="24">
      <c r="A81" s="3225">
        <v>9</v>
      </c>
      <c r="B81" s="3581"/>
      <c r="C81" s="3205" t="s">
        <v>3045</v>
      </c>
      <c r="D81" s="3205" t="s">
        <v>3046</v>
      </c>
      <c r="E81" s="3226">
        <v>0.1</v>
      </c>
      <c r="F81" s="3225">
        <v>15</v>
      </c>
    </row>
    <row r="82" spans="1:6" s="801" customFormat="1" ht="24">
      <c r="A82" s="3225">
        <v>10</v>
      </c>
      <c r="B82" s="3581"/>
      <c r="C82" s="3205" t="s">
        <v>3047</v>
      </c>
      <c r="D82" s="3205" t="s">
        <v>3048</v>
      </c>
      <c r="E82" s="3226">
        <v>0.1</v>
      </c>
      <c r="F82" s="3225">
        <v>15</v>
      </c>
    </row>
    <row r="83" spans="1:6" s="801" customFormat="1" ht="24">
      <c r="A83" s="3225">
        <v>11</v>
      </c>
      <c r="B83" s="3581"/>
      <c r="C83" s="3205" t="s">
        <v>3049</v>
      </c>
      <c r="D83" s="3205" t="s">
        <v>3050</v>
      </c>
      <c r="E83" s="3226">
        <v>0.1</v>
      </c>
      <c r="F83" s="3225">
        <v>15</v>
      </c>
    </row>
    <row r="84" spans="1:6" s="801" customFormat="1" ht="24">
      <c r="A84" s="3225">
        <v>12</v>
      </c>
      <c r="B84" s="3581"/>
      <c r="C84" s="3205" t="s">
        <v>3051</v>
      </c>
      <c r="D84" s="3205" t="s">
        <v>3052</v>
      </c>
      <c r="E84" s="3226">
        <v>0.1</v>
      </c>
      <c r="F84" s="3225">
        <v>15</v>
      </c>
    </row>
    <row r="85" spans="1:6" s="801" customFormat="1" ht="13.5">
      <c r="A85" s="3225">
        <v>13</v>
      </c>
      <c r="B85" s="3581"/>
      <c r="C85" s="3205" t="s">
        <v>3053</v>
      </c>
      <c r="D85" s="3205" t="s">
        <v>3054</v>
      </c>
      <c r="E85" s="3226">
        <v>0.1</v>
      </c>
      <c r="F85" s="3225">
        <v>15</v>
      </c>
    </row>
    <row r="86" spans="1:6" s="801" customFormat="1" ht="13.5">
      <c r="A86" s="3225">
        <v>14</v>
      </c>
      <c r="B86" s="3581"/>
      <c r="C86" s="3205" t="s">
        <v>3055</v>
      </c>
      <c r="D86" s="3205" t="s">
        <v>3056</v>
      </c>
      <c r="E86" s="3226">
        <v>0.1</v>
      </c>
      <c r="F86" s="3225">
        <v>15</v>
      </c>
    </row>
    <row r="87" spans="1:6" s="801" customFormat="1" ht="13.5">
      <c r="A87" s="3225">
        <v>15</v>
      </c>
      <c r="B87" s="3581"/>
      <c r="C87" s="3205" t="s">
        <v>3057</v>
      </c>
      <c r="D87" s="3205" t="s">
        <v>3058</v>
      </c>
      <c r="E87" s="3226">
        <v>0.1</v>
      </c>
      <c r="F87" s="3225">
        <v>15</v>
      </c>
    </row>
    <row r="88" spans="1:6" s="801" customFormat="1" ht="24">
      <c r="A88" s="3225">
        <v>16</v>
      </c>
      <c r="B88" s="3581"/>
      <c r="C88" s="3205" t="s">
        <v>3059</v>
      </c>
      <c r="D88" s="3205" t="s">
        <v>3060</v>
      </c>
      <c r="E88" s="3226">
        <v>0.1</v>
      </c>
      <c r="F88" s="3225">
        <v>15</v>
      </c>
    </row>
    <row r="89" spans="1:6" s="801" customFormat="1" ht="24">
      <c r="A89" s="3225">
        <v>17</v>
      </c>
      <c r="B89" s="3580"/>
      <c r="C89" s="3205" t="s">
        <v>3061</v>
      </c>
      <c r="D89" s="3205" t="s">
        <v>3062</v>
      </c>
      <c r="E89" s="3226">
        <v>0.1</v>
      </c>
      <c r="F89" s="3225">
        <v>15</v>
      </c>
    </row>
    <row r="90" spans="1:6" s="801" customFormat="1" ht="13.5">
      <c r="A90" s="3225">
        <v>18</v>
      </c>
      <c r="B90" s="3579" t="s">
        <v>3063</v>
      </c>
      <c r="C90" s="3205" t="s">
        <v>3064</v>
      </c>
      <c r="D90" s="3205" t="s">
        <v>3065</v>
      </c>
      <c r="E90" s="3226">
        <v>0.2</v>
      </c>
      <c r="F90" s="3225">
        <v>25</v>
      </c>
    </row>
    <row r="91" spans="1:6" s="801" customFormat="1" ht="24">
      <c r="A91" s="3225">
        <v>19</v>
      </c>
      <c r="B91" s="3581"/>
      <c r="C91" s="3205" t="s">
        <v>3066</v>
      </c>
      <c r="D91" s="3205" t="s">
        <v>3067</v>
      </c>
      <c r="E91" s="3226">
        <v>0.2</v>
      </c>
      <c r="F91" s="3225">
        <v>25</v>
      </c>
    </row>
    <row r="92" spans="1:6" s="801" customFormat="1" ht="13.5">
      <c r="A92" s="3225">
        <v>20</v>
      </c>
      <c r="B92" s="3581"/>
      <c r="C92" s="3205" t="s">
        <v>3068</v>
      </c>
      <c r="D92" s="3205" t="s">
        <v>3069</v>
      </c>
      <c r="E92" s="3226">
        <v>0.15</v>
      </c>
      <c r="F92" s="3225">
        <v>20</v>
      </c>
    </row>
    <row r="93" spans="1:6" s="801" customFormat="1" ht="24">
      <c r="A93" s="3225">
        <v>21</v>
      </c>
      <c r="B93" s="3581"/>
      <c r="C93" s="3205" t="s">
        <v>3070</v>
      </c>
      <c r="D93" s="3205" t="s">
        <v>3071</v>
      </c>
      <c r="E93" s="3226">
        <v>0.15</v>
      </c>
      <c r="F93" s="3225">
        <v>20</v>
      </c>
    </row>
    <row r="94" spans="1:6" s="801" customFormat="1" ht="24">
      <c r="A94" s="3225">
        <v>22</v>
      </c>
      <c r="B94" s="3581"/>
      <c r="C94" s="3205" t="s">
        <v>3072</v>
      </c>
      <c r="D94" s="3205" t="s">
        <v>3073</v>
      </c>
      <c r="E94" s="3226">
        <v>0.15</v>
      </c>
      <c r="F94" s="3225">
        <v>20</v>
      </c>
    </row>
    <row r="95" spans="1:6" s="801" customFormat="1" ht="36">
      <c r="A95" s="3225">
        <v>23</v>
      </c>
      <c r="B95" s="3581"/>
      <c r="C95" s="3205" t="s">
        <v>3074</v>
      </c>
      <c r="D95" s="3205" t="s">
        <v>3075</v>
      </c>
      <c r="E95" s="3226">
        <v>0.15</v>
      </c>
      <c r="F95" s="3225">
        <v>20</v>
      </c>
    </row>
    <row r="96" spans="1:6" s="801" customFormat="1" ht="13.5">
      <c r="A96" s="3225">
        <v>24</v>
      </c>
      <c r="B96" s="3581"/>
      <c r="C96" s="3205" t="s">
        <v>3076</v>
      </c>
      <c r="D96" s="3205" t="s">
        <v>3077</v>
      </c>
      <c r="E96" s="3226">
        <v>0.1</v>
      </c>
      <c r="F96" s="3225">
        <v>15</v>
      </c>
    </row>
    <row r="97" spans="1:6" s="801" customFormat="1" ht="24">
      <c r="A97" s="3225">
        <v>25</v>
      </c>
      <c r="B97" s="3581"/>
      <c r="C97" s="3205" t="s">
        <v>3078</v>
      </c>
      <c r="D97" s="3205" t="s">
        <v>3079</v>
      </c>
      <c r="E97" s="3226">
        <v>0.1</v>
      </c>
      <c r="F97" s="3225">
        <v>15</v>
      </c>
    </row>
    <row r="98" spans="1:6" s="801" customFormat="1" ht="24">
      <c r="A98" s="3225">
        <v>26</v>
      </c>
      <c r="B98" s="3581"/>
      <c r="C98" s="3205" t="s">
        <v>3080</v>
      </c>
      <c r="D98" s="3205" t="s">
        <v>3081</v>
      </c>
      <c r="E98" s="3226">
        <v>0.1</v>
      </c>
      <c r="F98" s="3225">
        <v>15</v>
      </c>
    </row>
    <row r="99" spans="1:6" s="801" customFormat="1" ht="24">
      <c r="A99" s="3225">
        <v>27</v>
      </c>
      <c r="B99" s="3581"/>
      <c r="C99" s="3205" t="s">
        <v>3082</v>
      </c>
      <c r="D99" s="3205" t="s">
        <v>3083</v>
      </c>
      <c r="E99" s="3226">
        <v>0.1</v>
      </c>
      <c r="F99" s="3225">
        <v>15</v>
      </c>
    </row>
    <row r="100" spans="1:6" s="801" customFormat="1" ht="24">
      <c r="A100" s="3225">
        <v>28</v>
      </c>
      <c r="B100" s="3581"/>
      <c r="C100" s="3205" t="s">
        <v>3084</v>
      </c>
      <c r="D100" s="3205" t="s">
        <v>3085</v>
      </c>
      <c r="E100" s="3226">
        <v>0.1</v>
      </c>
      <c r="F100" s="3225">
        <v>15</v>
      </c>
    </row>
    <row r="101" spans="1:6" s="801" customFormat="1" ht="24">
      <c r="A101" s="3225">
        <v>29</v>
      </c>
      <c r="B101" s="3581"/>
      <c r="C101" s="3205" t="s">
        <v>3086</v>
      </c>
      <c r="D101" s="3205" t="s">
        <v>3087</v>
      </c>
      <c r="E101" s="3226">
        <v>0.1</v>
      </c>
      <c r="F101" s="3225">
        <v>15</v>
      </c>
    </row>
    <row r="102" spans="1:6" s="801" customFormat="1" ht="24">
      <c r="A102" s="3225">
        <v>30</v>
      </c>
      <c r="B102" s="3581"/>
      <c r="C102" s="3205" t="s">
        <v>3088</v>
      </c>
      <c r="D102" s="3205" t="s">
        <v>3089</v>
      </c>
      <c r="E102" s="3226">
        <v>0.1</v>
      </c>
      <c r="F102" s="3225">
        <v>15</v>
      </c>
    </row>
    <row r="103" spans="1:6" s="801" customFormat="1" ht="24">
      <c r="A103" s="3225">
        <v>31</v>
      </c>
      <c r="B103" s="3581"/>
      <c r="C103" s="3205" t="s">
        <v>3090</v>
      </c>
      <c r="D103" s="3205" t="s">
        <v>3091</v>
      </c>
      <c r="E103" s="3226">
        <v>0.1</v>
      </c>
      <c r="F103" s="3225">
        <v>15</v>
      </c>
    </row>
    <row r="104" spans="1:6" s="801" customFormat="1" ht="24">
      <c r="A104" s="3225">
        <v>32</v>
      </c>
      <c r="B104" s="3581"/>
      <c r="C104" s="3205" t="s">
        <v>3092</v>
      </c>
      <c r="D104" s="3205" t="s">
        <v>3093</v>
      </c>
      <c r="E104" s="3226">
        <v>0.1</v>
      </c>
      <c r="F104" s="3225">
        <v>15</v>
      </c>
    </row>
    <row r="105" spans="1:6" s="801" customFormat="1" ht="24">
      <c r="A105" s="3225">
        <v>33</v>
      </c>
      <c r="B105" s="3581"/>
      <c r="C105" s="3205" t="s">
        <v>3094</v>
      </c>
      <c r="D105" s="3205" t="s">
        <v>3095</v>
      </c>
      <c r="E105" s="3226">
        <v>0.1</v>
      </c>
      <c r="F105" s="3225">
        <v>15</v>
      </c>
    </row>
    <row r="106" spans="1:6" s="801" customFormat="1" ht="24">
      <c r="A106" s="3225">
        <v>34</v>
      </c>
      <c r="B106" s="3580"/>
      <c r="C106" s="3205" t="s">
        <v>3096</v>
      </c>
      <c r="D106" s="3205" t="s">
        <v>3097</v>
      </c>
      <c r="E106" s="3226">
        <v>0.1</v>
      </c>
      <c r="F106" s="3225">
        <v>15</v>
      </c>
    </row>
    <row r="107" spans="1:6" s="801" customFormat="1" ht="24">
      <c r="A107" s="3225">
        <v>35</v>
      </c>
      <c r="B107" s="3579" t="s">
        <v>3098</v>
      </c>
      <c r="C107" s="3225" t="s">
        <v>3099</v>
      </c>
      <c r="D107" s="3205" t="s">
        <v>3100</v>
      </c>
      <c r="E107" s="3226">
        <v>0.15</v>
      </c>
      <c r="F107" s="3225">
        <v>20</v>
      </c>
    </row>
    <row r="108" spans="1:6" s="801" customFormat="1" ht="24">
      <c r="A108" s="3225">
        <v>36</v>
      </c>
      <c r="B108" s="3581"/>
      <c r="C108" s="3225" t="s">
        <v>3101</v>
      </c>
      <c r="D108" s="3205" t="s">
        <v>3102</v>
      </c>
      <c r="E108" s="3226">
        <v>0.15</v>
      </c>
      <c r="F108" s="3225">
        <v>20</v>
      </c>
    </row>
    <row r="109" spans="1:6" s="801" customFormat="1" ht="24">
      <c r="A109" s="3225">
        <v>37</v>
      </c>
      <c r="B109" s="3581"/>
      <c r="C109" s="3225" t="s">
        <v>3103</v>
      </c>
      <c r="D109" s="3205" t="s">
        <v>3104</v>
      </c>
      <c r="E109" s="3226">
        <v>0.15</v>
      </c>
      <c r="F109" s="3225">
        <v>20</v>
      </c>
    </row>
    <row r="110" spans="1:6" s="801" customFormat="1" ht="13.5">
      <c r="A110" s="3225">
        <v>38</v>
      </c>
      <c r="B110" s="3581"/>
      <c r="C110" s="3225" t="s">
        <v>3105</v>
      </c>
      <c r="D110" s="3205" t="s">
        <v>3106</v>
      </c>
      <c r="E110" s="3226">
        <v>0.1</v>
      </c>
      <c r="F110" s="3225">
        <v>15</v>
      </c>
    </row>
    <row r="111" spans="1:6" s="801" customFormat="1" ht="24">
      <c r="A111" s="3225">
        <v>39</v>
      </c>
      <c r="B111" s="3581"/>
      <c r="C111" s="3225" t="s">
        <v>3107</v>
      </c>
      <c r="D111" s="3205" t="s">
        <v>3108</v>
      </c>
      <c r="E111" s="3226">
        <v>0.1</v>
      </c>
      <c r="F111" s="3225">
        <v>15</v>
      </c>
    </row>
    <row r="112" spans="1:6" s="801" customFormat="1" ht="24">
      <c r="A112" s="3225">
        <v>40</v>
      </c>
      <c r="B112" s="3580"/>
      <c r="C112" s="3225" t="s">
        <v>3109</v>
      </c>
      <c r="D112" s="3205" t="s">
        <v>3110</v>
      </c>
      <c r="E112" s="3226">
        <v>0.1</v>
      </c>
      <c r="F112" s="3225">
        <v>15</v>
      </c>
    </row>
    <row r="113" spans="1:6" s="801" customFormat="1" ht="24">
      <c r="A113" s="3225">
        <v>41</v>
      </c>
      <c r="B113" s="3578" t="s">
        <v>3111</v>
      </c>
      <c r="C113" s="3225" t="s">
        <v>3112</v>
      </c>
      <c r="D113" s="3205" t="s">
        <v>3113</v>
      </c>
      <c r="E113" s="3226">
        <v>0.1</v>
      </c>
      <c r="F113" s="3225">
        <v>15</v>
      </c>
    </row>
    <row r="114" spans="1:6" s="801" customFormat="1" ht="13.5">
      <c r="A114" s="3225">
        <v>42</v>
      </c>
      <c r="B114" s="3578"/>
      <c r="C114" s="3225" t="s">
        <v>3114</v>
      </c>
      <c r="D114" s="3205" t="s">
        <v>3115</v>
      </c>
      <c r="E114" s="3226">
        <v>0.1</v>
      </c>
      <c r="F114" s="3225">
        <v>15</v>
      </c>
    </row>
    <row r="115" spans="1:6" s="801" customFormat="1" ht="24">
      <c r="A115" s="3225">
        <v>43</v>
      </c>
      <c r="B115" s="3578"/>
      <c r="C115" s="3225" t="s">
        <v>3116</v>
      </c>
      <c r="D115" s="3205" t="s">
        <v>3117</v>
      </c>
      <c r="E115" s="3226">
        <v>0.1</v>
      </c>
      <c r="F115" s="3225">
        <v>15</v>
      </c>
    </row>
    <row r="116" spans="1:6" s="801" customFormat="1" ht="24">
      <c r="A116" s="3225">
        <v>44</v>
      </c>
      <c r="B116" s="3579" t="s">
        <v>3118</v>
      </c>
      <c r="C116" s="3225" t="s">
        <v>3119</v>
      </c>
      <c r="D116" s="3205" t="s">
        <v>3120</v>
      </c>
      <c r="E116" s="3226">
        <v>0.1</v>
      </c>
      <c r="F116" s="3225">
        <v>15</v>
      </c>
    </row>
    <row r="117" spans="1:6" s="801" customFormat="1" ht="24">
      <c r="A117" s="3225">
        <v>45</v>
      </c>
      <c r="B117" s="3580"/>
      <c r="C117" s="3205" t="s">
        <v>3121</v>
      </c>
      <c r="D117" s="3205" t="s">
        <v>3122</v>
      </c>
      <c r="E117" s="3226">
        <v>0.1</v>
      </c>
      <c r="F117" s="3225">
        <v>15</v>
      </c>
    </row>
    <row r="118" spans="1:6" s="801" customFormat="1" ht="24">
      <c r="A118" s="3225">
        <v>46</v>
      </c>
      <c r="B118" s="3579" t="s">
        <v>3123</v>
      </c>
      <c r="C118" s="3225" t="s">
        <v>3124</v>
      </c>
      <c r="D118" s="3205" t="s">
        <v>3125</v>
      </c>
      <c r="E118" s="3226">
        <v>0.1</v>
      </c>
      <c r="F118" s="3225">
        <v>15</v>
      </c>
    </row>
    <row r="119" spans="1:6" s="801" customFormat="1" ht="24">
      <c r="A119" s="3225">
        <v>47</v>
      </c>
      <c r="B119" s="3580"/>
      <c r="C119" s="3225" t="s">
        <v>3126</v>
      </c>
      <c r="D119" s="3205" t="s">
        <v>3127</v>
      </c>
      <c r="E119" s="3226">
        <v>0.1</v>
      </c>
      <c r="F119" s="3225">
        <v>15</v>
      </c>
    </row>
    <row r="120" spans="1:6" s="801" customFormat="1" ht="24">
      <c r="A120" s="3225">
        <v>48</v>
      </c>
      <c r="B120" s="3579" t="s">
        <v>3128</v>
      </c>
      <c r="C120" s="3225" t="s">
        <v>3129</v>
      </c>
      <c r="D120" s="3205" t="s">
        <v>3130</v>
      </c>
      <c r="E120" s="3226">
        <v>0.1</v>
      </c>
      <c r="F120" s="3225">
        <v>15</v>
      </c>
    </row>
    <row r="121" spans="1:6" s="801" customFormat="1" ht="13.5">
      <c r="A121" s="3225">
        <v>49</v>
      </c>
      <c r="B121" s="3580"/>
      <c r="C121" s="3225" t="s">
        <v>3131</v>
      </c>
      <c r="D121" s="3205" t="s">
        <v>3132</v>
      </c>
      <c r="E121" s="3226">
        <v>0.1</v>
      </c>
      <c r="F121" s="3225">
        <v>15</v>
      </c>
    </row>
    <row r="122" spans="1:6" s="801" customFormat="1" ht="24">
      <c r="A122" s="3225">
        <v>50</v>
      </c>
      <c r="B122" s="3578" t="s">
        <v>3133</v>
      </c>
      <c r="C122" s="3225" t="s">
        <v>3134</v>
      </c>
      <c r="D122" s="3205" t="s">
        <v>3135</v>
      </c>
      <c r="E122" s="3226">
        <v>0.1</v>
      </c>
      <c r="F122" s="3225">
        <v>15</v>
      </c>
    </row>
    <row r="123" spans="1:6" s="801" customFormat="1" ht="24">
      <c r="A123" s="3225">
        <v>51</v>
      </c>
      <c r="B123" s="3578"/>
      <c r="C123" s="3225" t="s">
        <v>3136</v>
      </c>
      <c r="D123" s="3205" t="s">
        <v>3137</v>
      </c>
      <c r="E123" s="3226">
        <v>0.1</v>
      </c>
      <c r="F123" s="3225">
        <v>15</v>
      </c>
    </row>
    <row r="124" spans="1:6" s="801" customFormat="1" ht="24">
      <c r="A124" s="3225">
        <v>52</v>
      </c>
      <c r="B124" s="3578" t="s">
        <v>3138</v>
      </c>
      <c r="C124" s="3225" t="s">
        <v>3139</v>
      </c>
      <c r="D124" s="3205" t="s">
        <v>3140</v>
      </c>
      <c r="E124" s="3226">
        <v>0.1</v>
      </c>
      <c r="F124" s="3225">
        <v>15</v>
      </c>
    </row>
    <row r="125" spans="1:6" s="801" customFormat="1" ht="24">
      <c r="A125" s="3225">
        <v>53</v>
      </c>
      <c r="B125" s="3578"/>
      <c r="C125" s="3225" t="s">
        <v>3141</v>
      </c>
      <c r="D125" s="3205" t="s">
        <v>3142</v>
      </c>
      <c r="E125" s="3226">
        <v>0.1</v>
      </c>
      <c r="F125" s="3225">
        <v>15</v>
      </c>
    </row>
    <row r="126" spans="1:6" ht="24">
      <c r="A126" s="3225">
        <v>54</v>
      </c>
      <c r="B126" s="3225" t="s">
        <v>3143</v>
      </c>
      <c r="C126" s="3225" t="s">
        <v>3144</v>
      </c>
      <c r="D126" s="3205" t="s">
        <v>3145</v>
      </c>
      <c r="E126" s="3226">
        <v>0.1</v>
      </c>
      <c r="F126" s="3225">
        <v>15</v>
      </c>
    </row>
    <row r="127" spans="1:6" ht="13.5">
      <c r="A127" s="3225">
        <v>55</v>
      </c>
      <c r="B127" s="3578" t="s">
        <v>3146</v>
      </c>
      <c r="C127" s="3225" t="s">
        <v>3147</v>
      </c>
      <c r="D127" s="3205" t="s">
        <v>3148</v>
      </c>
      <c r="E127" s="3226">
        <v>0.1</v>
      </c>
      <c r="F127" s="3225">
        <v>15</v>
      </c>
    </row>
    <row r="128" spans="1:6" ht="13.5">
      <c r="A128" s="3225">
        <v>56</v>
      </c>
      <c r="B128" s="3578"/>
      <c r="C128" s="3225" t="s">
        <v>3149</v>
      </c>
      <c r="D128" s="3205" t="s">
        <v>3150</v>
      </c>
      <c r="E128" s="3226">
        <v>0.1</v>
      </c>
      <c r="F128" s="3225">
        <v>15</v>
      </c>
    </row>
    <row r="129" spans="1:6" ht="24">
      <c r="A129" s="3225">
        <v>57</v>
      </c>
      <c r="B129" s="3578"/>
      <c r="C129" s="3225" t="s">
        <v>3151</v>
      </c>
      <c r="D129" s="3205" t="s">
        <v>3152</v>
      </c>
      <c r="E129" s="3226">
        <v>0.1</v>
      </c>
      <c r="F129" s="3225">
        <v>15</v>
      </c>
    </row>
    <row r="130" spans="1:6" ht="24">
      <c r="A130" s="3225">
        <v>58</v>
      </c>
      <c r="B130" s="3578" t="s">
        <v>3153</v>
      </c>
      <c r="C130" s="3225" t="s">
        <v>3154</v>
      </c>
      <c r="D130" s="3205" t="s">
        <v>3155</v>
      </c>
      <c r="E130" s="3226">
        <v>0.1</v>
      </c>
      <c r="F130" s="3225">
        <v>15</v>
      </c>
    </row>
    <row r="131" spans="1:6" ht="24">
      <c r="A131" s="3225">
        <v>59</v>
      </c>
      <c r="B131" s="3578"/>
      <c r="C131" s="3225" t="s">
        <v>3156</v>
      </c>
      <c r="D131" s="3205" t="s">
        <v>3157</v>
      </c>
      <c r="E131" s="3226">
        <v>0.1</v>
      </c>
      <c r="F131" s="3225">
        <v>15</v>
      </c>
    </row>
    <row r="132" spans="1:6" ht="24">
      <c r="A132" s="3225">
        <v>60</v>
      </c>
      <c r="B132" s="3579" t="s">
        <v>3158</v>
      </c>
      <c r="C132" s="3225" t="s">
        <v>3159</v>
      </c>
      <c r="D132" s="3205" t="s">
        <v>3160</v>
      </c>
      <c r="E132" s="3226">
        <v>0.1</v>
      </c>
      <c r="F132" s="3225">
        <v>15</v>
      </c>
    </row>
    <row r="133" spans="1:6" ht="24">
      <c r="A133" s="3225">
        <v>61</v>
      </c>
      <c r="B133" s="3580"/>
      <c r="C133" s="3225" t="s">
        <v>3161</v>
      </c>
      <c r="D133" s="3205" t="s">
        <v>3162</v>
      </c>
      <c r="E133" s="3226">
        <v>0.1</v>
      </c>
      <c r="F133" s="3225">
        <v>15</v>
      </c>
    </row>
    <row r="134" spans="1:6" ht="24">
      <c r="A134" s="3225">
        <v>62</v>
      </c>
      <c r="B134" s="3225" t="s">
        <v>3163</v>
      </c>
      <c r="C134" s="3225" t="s">
        <v>3164</v>
      </c>
      <c r="D134" s="3205" t="s">
        <v>3165</v>
      </c>
      <c r="E134" s="3226">
        <v>0.1</v>
      </c>
      <c r="F134" s="3225">
        <v>15</v>
      </c>
    </row>
    <row r="135" spans="1:6" ht="24">
      <c r="A135" s="3225">
        <v>63</v>
      </c>
      <c r="B135" s="3578" t="s">
        <v>3166</v>
      </c>
      <c r="C135" s="3225" t="s">
        <v>3167</v>
      </c>
      <c r="D135" s="3205" t="s">
        <v>3168</v>
      </c>
      <c r="E135" s="3226">
        <v>0.1</v>
      </c>
      <c r="F135" s="3225">
        <v>15</v>
      </c>
    </row>
    <row r="136" spans="1:6" ht="13.5">
      <c r="A136" s="3225">
        <v>64</v>
      </c>
      <c r="B136" s="3578"/>
      <c r="C136" s="3225" t="s">
        <v>3169</v>
      </c>
      <c r="D136" s="3205" t="s">
        <v>3170</v>
      </c>
      <c r="E136" s="3226">
        <v>0.1</v>
      </c>
      <c r="F136" s="3225">
        <v>15</v>
      </c>
    </row>
    <row r="137" spans="1:6" ht="24">
      <c r="A137" s="3225">
        <v>65</v>
      </c>
      <c r="B137" s="3225" t="s">
        <v>3171</v>
      </c>
      <c r="C137" s="3225" t="s">
        <v>3172</v>
      </c>
      <c r="D137" s="3205" t="s">
        <v>3173</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2580</v>
      </c>
      <c r="B1" s="2313"/>
      <c r="C1" s="2313"/>
      <c r="D1" s="2313"/>
      <c r="E1" s="2313"/>
      <c r="F1" s="2973"/>
      <c r="G1" s="2973"/>
      <c r="H1" s="2973"/>
      <c r="I1" s="2973"/>
      <c r="J1" s="2973"/>
      <c r="K1" s="2973"/>
      <c r="L1" s="2973"/>
      <c r="M1" s="2973"/>
      <c r="N1" s="2973"/>
      <c r="O1" s="2973"/>
      <c r="P1" s="2973"/>
    </row>
    <row r="2" spans="1:16" ht="15.75">
      <c r="A2" s="2311" t="s">
        <v>2572</v>
      </c>
      <c r="B2" s="2777" t="e">
        <f ca="1">SUMIF(B6:B13,"&lt;&gt;#ref!",B6:B13)</f>
        <v>#DIV/0!</v>
      </c>
      <c r="C2" s="2311" t="s">
        <v>2573</v>
      </c>
      <c r="D2" s="2311" t="s">
        <v>2574</v>
      </c>
      <c r="E2" s="2787">
        <f ca="1">SUMIF(E6:E13,"&lt;&gt;#ref!",E6:E13)</f>
        <v>0</v>
      </c>
      <c r="F2" s="2973"/>
      <c r="G2" s="2973"/>
      <c r="H2" s="2973"/>
      <c r="I2" s="2973"/>
      <c r="J2" s="2973"/>
      <c r="K2" s="2973"/>
      <c r="L2" s="2973"/>
      <c r="M2" s="2973"/>
      <c r="N2" s="2973"/>
      <c r="O2" s="2973"/>
      <c r="P2" s="2973"/>
    </row>
    <row r="3" spans="1:16" ht="15.75">
      <c r="A3" s="2311" t="s">
        <v>2575</v>
      </c>
      <c r="B3" s="2777" t="e">
        <f ca="1">ROUND(B2*10000/E2,0)</f>
        <v>#DIV/0!</v>
      </c>
      <c r="C3" s="2311" t="s">
        <v>2581</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2576</v>
      </c>
      <c r="B5" s="2785" t="s">
        <v>2577</v>
      </c>
      <c r="C5" s="2312"/>
      <c r="D5" s="2973"/>
      <c r="E5" s="2786" t="s">
        <v>2578</v>
      </c>
      <c r="F5" s="2973"/>
      <c r="G5" s="2973"/>
      <c r="H5" s="2973"/>
      <c r="I5" s="2973"/>
      <c r="J5" s="2973"/>
      <c r="K5" s="2973"/>
      <c r="L5" s="2973"/>
      <c r="M5" s="2973"/>
      <c r="N5" s="2973"/>
      <c r="O5" s="2973"/>
      <c r="P5" s="2973"/>
    </row>
    <row r="6" spans="1:16" ht="15.75">
      <c r="A6" s="2784" t="s">
        <v>2579</v>
      </c>
      <c r="B6" s="2777" t="e">
        <f ca="1">SUMIF(INDIRECT("'"&amp;A6&amp;"'"&amp;"!A:A"),"总价",INDIRECT("'"&amp;A6&amp;"'"&amp;"!B:B"))</f>
        <v>#DIV/0!</v>
      </c>
      <c r="C6" s="2311" t="s">
        <v>2573</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2573</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2573</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2573</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2573</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2573</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2573</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2573</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95" t="s">
        <v>877</v>
      </c>
      <c r="C1" s="3595"/>
      <c r="D1" s="3595"/>
      <c r="E1" s="3595"/>
      <c r="F1" s="3595"/>
      <c r="G1" s="3594" t="s">
        <v>878</v>
      </c>
      <c r="H1" s="3594"/>
      <c r="I1" s="3594"/>
      <c r="J1" s="3594"/>
      <c r="K1" s="3594"/>
      <c r="L1" s="3594"/>
      <c r="N1" s="3594" t="s">
        <v>879</v>
      </c>
      <c r="O1" s="3594"/>
      <c r="P1" s="3594"/>
      <c r="Q1" s="3594"/>
      <c r="S1" s="3594" t="s">
        <v>880</v>
      </c>
      <c r="T1" s="3594"/>
      <c r="U1" s="3594"/>
      <c r="V1" s="3594"/>
      <c r="X1" s="3593" t="s">
        <v>881</v>
      </c>
      <c r="Y1" s="3594"/>
      <c r="Z1" s="3594"/>
      <c r="AA1" s="3594"/>
      <c r="AB1" s="3594"/>
      <c r="AD1" s="3593" t="s">
        <v>882</v>
      </c>
      <c r="AE1" s="3594"/>
      <c r="AF1" s="3594"/>
      <c r="AG1" s="3594"/>
      <c r="AH1" s="3594"/>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91">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91"/>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91"/>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00"/>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596">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91"/>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91"/>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00"/>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96">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91"/>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91"/>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92"/>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90">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91"/>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91"/>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92"/>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90">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91"/>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91"/>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92"/>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97">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98"/>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98"/>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99"/>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90">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91"/>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91"/>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92"/>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90">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91">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91">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92">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90">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91">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91">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92">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90">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91">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91">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92">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90">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91">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91">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92">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90">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91">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91">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92">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90">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91">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91">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92">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90">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91">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91">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92">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90">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91">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91">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92">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90">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91">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91">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92">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90">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91">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91">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92">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9"/>
      <c r="C2" s="3269"/>
      <c r="D2" s="3269"/>
      <c r="E2" s="3269"/>
    </row>
    <row r="3" spans="1:5" ht="18">
      <c r="A3" s="3270" t="str">
        <f>IF(项目基本情况!B9="房地产市场价值","估价结果一览表（市场价值不需“结果表-1”）","估价结果一览表")</f>
        <v>估价结果一览表</v>
      </c>
      <c r="B3" s="3270"/>
      <c r="C3" s="3270"/>
      <c r="D3" s="3270"/>
      <c r="E3" s="3270"/>
    </row>
    <row r="4" spans="1:5" ht="19.5" thickBot="1">
      <c r="A4" s="1628"/>
      <c r="B4" s="3268" t="s">
        <v>1354</v>
      </c>
      <c r="C4" s="3268"/>
      <c r="D4" s="3268"/>
      <c r="E4" s="1628"/>
    </row>
    <row r="5" spans="1:5" ht="16.5" thickTop="1">
      <c r="A5" s="1626"/>
      <c r="B5" s="3266" t="s">
        <v>1346</v>
      </c>
      <c r="C5" s="1629" t="s">
        <v>1347</v>
      </c>
      <c r="D5" s="940">
        <f ca="1">结果表!H101</f>
        <v>272419</v>
      </c>
      <c r="E5" s="1626"/>
    </row>
    <row r="6" spans="1:5" ht="15.75">
      <c r="A6" s="1626"/>
      <c r="B6" s="3266"/>
      <c r="C6" s="1629" t="s">
        <v>1348</v>
      </c>
      <c r="D6" s="940" t="str">
        <f ca="1">NUMBERSTRING(INT(D5*10000),2)&amp;"元整"</f>
        <v>贰拾柒亿贰仟肆佰壹拾玖万元整</v>
      </c>
      <c r="E6" s="1626"/>
    </row>
    <row r="7" spans="1:5" ht="15.75">
      <c r="A7" s="1626"/>
      <c r="B7" s="3271"/>
      <c r="C7" s="1630" t="s">
        <v>1349</v>
      </c>
      <c r="D7" s="941">
        <f ca="1">结果表!H102</f>
        <v>22708</v>
      </c>
      <c r="E7" s="1626"/>
    </row>
    <row r="8" spans="1:5" ht="15.75">
      <c r="A8" s="1626"/>
      <c r="B8" s="3272" t="str">
        <f>结果表!E103</f>
        <v>2.估价师知悉的法定优先受偿款</v>
      </c>
      <c r="C8" s="1631" t="s">
        <v>1350</v>
      </c>
      <c r="D8" s="941">
        <f>结果表!H103</f>
        <v>0</v>
      </c>
      <c r="E8" s="1626"/>
    </row>
    <row r="9" spans="1:5" ht="15.75">
      <c r="A9" s="1626"/>
      <c r="B9" s="3274"/>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65" t="str">
        <f>结果表!E107</f>
        <v>3.房地产抵押价值</v>
      </c>
      <c r="C13" s="1634" t="s">
        <v>1347</v>
      </c>
      <c r="D13" s="943">
        <f ca="1">结果表!H107</f>
        <v>272419</v>
      </c>
      <c r="E13" s="1626"/>
    </row>
    <row r="14" spans="1:5" ht="15.75">
      <c r="A14" s="1626"/>
      <c r="B14" s="3266"/>
      <c r="C14" s="1629" t="s">
        <v>1348</v>
      </c>
      <c r="D14" s="940" t="str">
        <f ca="1">NUMBERSTRING(INT(D13*10000),2)&amp;"元整"</f>
        <v>贰拾柒亿贰仟肆佰壹拾玖万元整</v>
      </c>
      <c r="E14" s="1626"/>
    </row>
    <row r="15" spans="1:5" ht="15">
      <c r="A15" s="1626"/>
      <c r="B15" s="3271"/>
      <c r="C15" s="1630" t="s">
        <v>1358</v>
      </c>
      <c r="D15" s="949">
        <f ca="1">结果表!H108</f>
        <v>22708</v>
      </c>
      <c r="E15" s="1626"/>
    </row>
    <row r="16" spans="1:5" ht="15">
      <c r="A16" s="1626"/>
      <c r="B16" s="3272" t="str">
        <f>结果表!E109</f>
        <v>——</v>
      </c>
      <c r="C16" s="1634" t="s">
        <v>1359</v>
      </c>
      <c r="D16" s="1635" t="str">
        <f>结果表!H109</f>
        <v>——</v>
      </c>
      <c r="E16" s="1626"/>
    </row>
    <row r="17" spans="1:5" ht="15.75">
      <c r="A17" s="1626"/>
      <c r="B17" s="3273"/>
      <c r="C17" s="1629" t="s">
        <v>1360</v>
      </c>
      <c r="D17" s="940" t="e">
        <f>NUMBERSTRING(INT(D16*10000),2)&amp;"元整"</f>
        <v>#VALUE!</v>
      </c>
      <c r="E17" s="1626"/>
    </row>
    <row r="18" spans="1:5" ht="15">
      <c r="A18" s="1626"/>
      <c r="B18" s="3274"/>
      <c r="C18" s="1630" t="s">
        <v>1349</v>
      </c>
      <c r="D18" s="949" t="str">
        <f>结果表!H110</f>
        <v>——</v>
      </c>
      <c r="E18" s="1626"/>
    </row>
    <row r="19" spans="1:5" ht="15.75">
      <c r="A19" s="1626"/>
      <c r="B19" s="3265" t="str">
        <f>结果表!E111</f>
        <v>——</v>
      </c>
      <c r="C19" s="1634" t="s">
        <v>1347</v>
      </c>
      <c r="D19" s="941" t="str">
        <f>结果表!H111</f>
        <v>——</v>
      </c>
      <c r="E19" s="1626"/>
    </row>
    <row r="20" spans="1:5" ht="15.75">
      <c r="A20" s="1626"/>
      <c r="B20" s="3266"/>
      <c r="C20" s="1629" t="s">
        <v>1360</v>
      </c>
      <c r="D20" s="940" t="e">
        <f>NUMBERSTRING(INT(D19*10000),2)&amp;"元整"</f>
        <v>#VALUE!</v>
      </c>
      <c r="E20" s="1626"/>
    </row>
    <row r="21" spans="1:5" ht="15.75" thickBot="1">
      <c r="A21" s="1626"/>
      <c r="B21" s="3267"/>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604" t="s">
        <v>2583</v>
      </c>
      <c r="D1" s="3605"/>
      <c r="E1" s="3605"/>
      <c r="F1" s="3605"/>
      <c r="G1" s="3605"/>
      <c r="H1" s="3605"/>
      <c r="I1" s="3605"/>
      <c r="J1" s="3605"/>
      <c r="K1" s="3605"/>
      <c r="L1" s="3605"/>
      <c r="M1" s="3605"/>
      <c r="N1" s="3605"/>
      <c r="O1" s="3605"/>
      <c r="P1" s="3605"/>
      <c r="Q1" s="3605"/>
      <c r="R1" s="3605"/>
      <c r="S1" s="3606"/>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2586</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2587</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2588</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2592</v>
      </c>
      <c r="B17" s="2315"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2594</v>
      </c>
      <c r="E19" s="1474"/>
      <c r="F19" s="1474"/>
      <c r="G19" s="1474"/>
      <c r="H19" s="1171"/>
      <c r="I19" s="164"/>
      <c r="J19" s="164"/>
      <c r="K19" s="164"/>
      <c r="L19" s="164"/>
      <c r="M19" s="164"/>
      <c r="N19" s="164"/>
      <c r="O19" s="164"/>
      <c r="P19" s="164"/>
      <c r="Q19" s="164"/>
      <c r="R19" s="727"/>
      <c r="S19" s="134"/>
    </row>
    <row r="20" spans="1:45" ht="16.5" thickBot="1">
      <c r="A20" s="671" t="s">
        <v>2595</v>
      </c>
      <c r="B20" s="300" t="e">
        <f ca="1">IF(D20="——",S22,S22-F20)</f>
        <v>#REF!</v>
      </c>
      <c r="C20" s="164"/>
      <c r="D20" s="2317"/>
      <c r="E20" s="1475"/>
      <c r="F20" s="1095" t="e">
        <f ca="1">SUMIF(INDIRECT("'"&amp;H20&amp;"'"&amp;"!A:A"),"承租人权益价值",INDIRECT("'"&amp;H20&amp;"'"&amp;"!c:c"))</f>
        <v>#REF!</v>
      </c>
      <c r="G20" s="1095" t="s">
        <v>2596</v>
      </c>
      <c r="H20" s="2318"/>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601" t="s">
        <v>33</v>
      </c>
      <c r="D22" s="3602"/>
      <c r="E22" s="3602"/>
      <c r="F22" s="3602"/>
      <c r="G22" s="3602"/>
      <c r="H22" s="3602"/>
      <c r="I22" s="3602"/>
      <c r="J22" s="3602"/>
      <c r="K22" s="3602"/>
      <c r="L22" s="3602"/>
      <c r="M22" s="3602"/>
      <c r="N22" s="3602"/>
      <c r="O22" s="3602"/>
      <c r="P22" s="3602"/>
      <c r="Q22" s="3603"/>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128507</v>
      </c>
      <c r="C2" s="2" t="s">
        <v>133</v>
      </c>
      <c r="D2" s="205"/>
      <c r="E2" s="205"/>
      <c r="F2" s="205"/>
      <c r="G2" s="205"/>
    </row>
    <row r="3" spans="1:7" s="206" customFormat="1" ht="18" customHeight="1" thickBot="1">
      <c r="A3" s="209" t="s">
        <v>85</v>
      </c>
      <c r="B3" s="210">
        <f ca="1">ROUND(B2*10000/'数据-汇总表'!E3,0)</f>
        <v>10712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2399</v>
      </c>
      <c r="D10" s="935">
        <f>'数据-汇总表'!E6</f>
        <v>119963.53</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2399</v>
      </c>
      <c r="D19" s="939">
        <f>'数据-汇总表'!E3</f>
        <v>119963.53</v>
      </c>
      <c r="E19" s="217">
        <f>'数据-取费表'!B31</f>
        <v>200</v>
      </c>
      <c r="F19" s="237"/>
      <c r="G19" s="1" t="s">
        <v>861</v>
      </c>
    </row>
    <row r="20" spans="1:7" s="220" customFormat="1" ht="13.5" customHeight="1">
      <c r="A20" s="866" t="s">
        <v>844</v>
      </c>
      <c r="B20" s="216" t="s">
        <v>104</v>
      </c>
      <c r="C20" s="238">
        <f>ROUND((C5+C19)*F20,0)</f>
        <v>460</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1968</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203</v>
      </c>
      <c r="D24" s="244"/>
      <c r="E24" s="244"/>
      <c r="F24" s="245"/>
      <c r="G24" s="246" t="s">
        <v>109</v>
      </c>
    </row>
    <row r="25" spans="1:7" s="220" customFormat="1" ht="24">
      <c r="A25" s="869" t="s">
        <v>612</v>
      </c>
      <c r="B25" s="221" t="s">
        <v>845</v>
      </c>
      <c r="C25" s="1218">
        <f ca="1">ROUND(IF('数据-取费表'!B22&lt;=1,C20*F22*'数据-取费表'!B23/2,C20*(POWER((1+F22),'数据-取费表'!B23/2)-1)),0)</f>
        <v>19</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4694</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4694</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32651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77616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71978</v>
      </c>
      <c r="D34" s="223"/>
      <c r="E34" s="226"/>
      <c r="F34" s="263">
        <f>IF('数据-取费表'!B24=0,1,'数据-取费表'!N16)</f>
        <v>1</v>
      </c>
      <c r="G34" s="225" t="s">
        <v>116</v>
      </c>
    </row>
    <row r="35" spans="1:7" ht="13.5" customHeight="1">
      <c r="A35" s="869" t="s">
        <v>615</v>
      </c>
      <c r="B35" s="221" t="s">
        <v>60</v>
      </c>
      <c r="C35" s="226">
        <f>ROUND(C34*F35,0)</f>
        <v>2159</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2399</v>
      </c>
      <c r="D37" s="223">
        <f>'数据-汇总表'!E3</f>
        <v>119963.53</v>
      </c>
      <c r="E37" s="255">
        <f>'数据-取费表'!B35</f>
        <v>200</v>
      </c>
      <c r="F37" s="265"/>
      <c r="G37" s="267" t="s">
        <v>119</v>
      </c>
    </row>
    <row r="38" spans="1:7" ht="13.5" customHeight="1">
      <c r="A38" s="869" t="s">
        <v>618</v>
      </c>
      <c r="B38" s="221" t="s">
        <v>63</v>
      </c>
      <c r="C38" s="226">
        <f>ROUND(C34*F38,0)</f>
        <v>1080</v>
      </c>
      <c r="D38" s="226"/>
      <c r="E38" s="226"/>
      <c r="F38" s="265">
        <f>'数据-取费表'!B36</f>
        <v>1.4999999999999999E-2</v>
      </c>
      <c r="G38" s="225" t="s">
        <v>117</v>
      </c>
    </row>
    <row r="39" spans="1:7" s="220" customFormat="1" ht="13.5" customHeight="1">
      <c r="A39" s="866" t="s">
        <v>602</v>
      </c>
      <c r="B39" s="216" t="s">
        <v>104</v>
      </c>
      <c r="C39" s="238">
        <f>ROUND(C33*F20,0)</f>
        <v>1552</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3285</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3221</v>
      </c>
      <c r="D42" s="244"/>
      <c r="E42" s="244"/>
      <c r="F42" s="245"/>
      <c r="G42" s="3453" t="s">
        <v>121</v>
      </c>
    </row>
    <row r="43" spans="1:7" ht="13.5" customHeight="1">
      <c r="A43" s="869" t="s">
        <v>611</v>
      </c>
      <c r="B43" s="221" t="s">
        <v>851</v>
      </c>
      <c r="C43" s="244">
        <f ca="1">ROUND(IF('数据-取费表'!B22&lt;=1,C39*F22*'数据-取费表'!B21/2,C39*(POWER((1+F22),'数据-取费表'!B21/2)-1)),0)</f>
        <v>64</v>
      </c>
      <c r="D43" s="244"/>
      <c r="E43" s="244"/>
      <c r="F43" s="245"/>
      <c r="G43" s="3454"/>
    </row>
    <row r="44" spans="1:7" ht="13.5" customHeight="1">
      <c r="A44" s="869" t="s">
        <v>612</v>
      </c>
      <c r="B44" s="221" t="s">
        <v>853</v>
      </c>
      <c r="C44" s="244">
        <f ca="1">ROUND(IF('数据-取费表'!B22&lt;=1,C40*F22*'数据-取费表'!B21/2,C40*(POWER((1+F22),'数据-取费表'!B21/2)-1)),4)</f>
        <v>8.0000000000000004E-4</v>
      </c>
      <c r="D44" s="244"/>
      <c r="E44" s="244"/>
      <c r="F44" s="245"/>
      <c r="G44" s="3455"/>
    </row>
    <row r="45" spans="1:7" s="220" customFormat="1" ht="13.5" customHeight="1">
      <c r="A45" s="866" t="s">
        <v>605</v>
      </c>
      <c r="B45" s="250" t="s">
        <v>112</v>
      </c>
      <c r="C45" s="251">
        <f>C46</f>
        <v>15834</v>
      </c>
      <c r="D45" s="241">
        <f>C47</f>
        <v>4.0000000000000001E-3</v>
      </c>
      <c r="E45" s="242" t="s">
        <v>129</v>
      </c>
      <c r="F45" s="252"/>
      <c r="G45" s="253" t="s">
        <v>859</v>
      </c>
    </row>
    <row r="46" spans="1:7" s="220" customFormat="1" ht="13.5" customHeight="1">
      <c r="A46" s="869" t="s">
        <v>613</v>
      </c>
      <c r="B46" s="254" t="s">
        <v>852</v>
      </c>
      <c r="C46" s="255">
        <f>ROUND((C33+C39)*F27,0)</f>
        <v>15834</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106507</v>
      </c>
      <c r="D49" s="238"/>
      <c r="E49" s="238"/>
      <c r="F49" s="270"/>
      <c r="G49" s="240" t="s">
        <v>860</v>
      </c>
    </row>
    <row r="50" spans="1:7" s="264" customFormat="1" ht="24">
      <c r="A50" s="866" t="s">
        <v>608</v>
      </c>
      <c r="B50" s="216" t="s">
        <v>124</v>
      </c>
      <c r="C50" s="238"/>
      <c r="D50" s="238"/>
      <c r="E50" s="238"/>
      <c r="F50" s="270">
        <f>IF('数据-取费表'!B24=0,'数据-取费表'!N16,1)</f>
        <v>0.9</v>
      </c>
      <c r="G50" s="253" t="s">
        <v>125</v>
      </c>
    </row>
    <row r="51" spans="1:7" ht="16.5" customHeight="1">
      <c r="A51" s="866" t="s">
        <v>609</v>
      </c>
      <c r="B51" s="216" t="s">
        <v>132</v>
      </c>
      <c r="C51" s="238">
        <f ca="1">ROUND(C49*F50,0)</f>
        <v>95856</v>
      </c>
      <c r="D51" s="238"/>
      <c r="E51" s="238"/>
      <c r="F51" s="270"/>
      <c r="G51" s="240" t="s">
        <v>64</v>
      </c>
    </row>
    <row r="52" spans="1:7" s="214" customFormat="1" ht="16.5" thickBot="1">
      <c r="A52" s="271" t="s">
        <v>65</v>
      </c>
      <c r="B52" s="272"/>
      <c r="C52" s="273">
        <f ca="1">C31+C51</f>
        <v>128507</v>
      </c>
      <c r="D52" s="272"/>
      <c r="E52" s="272"/>
      <c r="F52" s="272"/>
      <c r="G52" s="274"/>
    </row>
    <row r="55" spans="1:7" ht="15">
      <c r="B55" s="276" t="s">
        <v>66</v>
      </c>
      <c r="C55" s="277"/>
    </row>
    <row r="56" spans="1:7">
      <c r="B56" s="279" t="s">
        <v>67</v>
      </c>
      <c r="C56" s="280">
        <f ca="1">ROUND(C51/C52,3)</f>
        <v>0.746</v>
      </c>
    </row>
    <row r="57" spans="1:7">
      <c r="B57" s="279" t="s">
        <v>68</v>
      </c>
      <c r="C57" s="281">
        <f ca="1">1-C56</f>
        <v>0.254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7" t="s">
        <v>156</v>
      </c>
      <c r="B1" s="3607"/>
      <c r="C1" s="3607"/>
      <c r="D1" s="3607"/>
      <c r="E1" s="3607"/>
      <c r="F1" s="360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8" t="s">
        <v>169</v>
      </c>
      <c r="B2" s="3608"/>
      <c r="C2" s="3608"/>
      <c r="D2" s="3608"/>
      <c r="E2" s="3608"/>
      <c r="F2" s="360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7" t="s">
        <v>658</v>
      </c>
      <c r="B1" s="360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44827</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6" t="s">
        <v>2814</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
  <sheetViews>
    <sheetView topLeftCell="D1" workbookViewId="0">
      <selection activeCell="F22" sqref="F22"/>
    </sheetView>
  </sheetViews>
  <sheetFormatPr defaultRowHeight="13.5"/>
  <cols>
    <col min="1" max="1" width="41.875" style="1359" customWidth="1"/>
    <col min="2" max="2" width="7.125" style="1359" bestFit="1" customWidth="1"/>
    <col min="3" max="3" width="29.375" style="1359" bestFit="1" customWidth="1"/>
    <col min="4" max="4" width="15.25" style="1359" bestFit="1" customWidth="1"/>
    <col min="5" max="6" width="17.375" style="1359" bestFit="1" customWidth="1"/>
    <col min="7" max="7" width="7.125" style="1359" bestFit="1" customWidth="1"/>
    <col min="8" max="8" width="9" style="1359" bestFit="1" customWidth="1"/>
    <col min="9" max="9" width="28.875" style="1359" bestFit="1" customWidth="1"/>
    <col min="10" max="10" width="15.5" style="1359" bestFit="1" customWidth="1"/>
    <col min="11" max="12" width="11.625" style="1359" bestFit="1" customWidth="1"/>
    <col min="13" max="13" width="9" style="1359" bestFit="1" customWidth="1"/>
    <col min="14" max="14" width="35.75" style="1359" customWidth="1"/>
    <col min="15" max="16" width="13.125" style="1359" bestFit="1" customWidth="1"/>
    <col min="17" max="17" width="18.375" style="1359" bestFit="1" customWidth="1"/>
    <col min="18" max="18" width="13.125" style="1359" bestFit="1" customWidth="1"/>
    <col min="19" max="19" width="18.5" style="1359" bestFit="1" customWidth="1"/>
    <col min="20" max="20" width="10.125" style="1359" bestFit="1" customWidth="1"/>
    <col min="21" max="21" width="20" style="1359" customWidth="1"/>
    <col min="22" max="16384" width="9" style="1359"/>
  </cols>
  <sheetData>
    <row r="1" spans="1:23">
      <c r="A1" s="1359" t="s">
        <v>3575</v>
      </c>
      <c r="B1" s="1359" t="s">
        <v>3576</v>
      </c>
      <c r="C1" s="1359" t="s">
        <v>3577</v>
      </c>
      <c r="D1" s="1359" t="s">
        <v>3578</v>
      </c>
      <c r="E1" s="1359" t="s">
        <v>3579</v>
      </c>
      <c r="F1" s="1359" t="s">
        <v>3580</v>
      </c>
      <c r="G1" s="1359" t="s">
        <v>3581</v>
      </c>
      <c r="H1" s="1359" t="s">
        <v>3582</v>
      </c>
      <c r="I1" s="1359" t="s">
        <v>3583</v>
      </c>
      <c r="J1" s="1359" t="s">
        <v>3584</v>
      </c>
      <c r="K1" s="1359" t="s">
        <v>3585</v>
      </c>
      <c r="L1" s="1359" t="s">
        <v>3586</v>
      </c>
      <c r="M1" s="1359" t="s">
        <v>3587</v>
      </c>
      <c r="N1" s="1359" t="s">
        <v>3588</v>
      </c>
      <c r="O1" s="1359" t="s">
        <v>3589</v>
      </c>
      <c r="P1" s="1359" t="s">
        <v>3590</v>
      </c>
      <c r="Q1" s="1359" t="s">
        <v>3591</v>
      </c>
      <c r="R1" s="1359" t="s">
        <v>3592</v>
      </c>
      <c r="S1" s="1359" t="s">
        <v>3593</v>
      </c>
      <c r="T1" s="1359" t="s">
        <v>3594</v>
      </c>
    </row>
    <row r="2" spans="1:23">
      <c r="A2" s="1359" t="s">
        <v>3595</v>
      </c>
      <c r="B2" s="1359" t="s">
        <v>3176</v>
      </c>
      <c r="C2" s="1359" t="s">
        <v>3596</v>
      </c>
      <c r="D2" s="1359" t="s">
        <v>3597</v>
      </c>
      <c r="E2" s="1359">
        <v>17308.8</v>
      </c>
      <c r="F2" s="1359">
        <v>86544</v>
      </c>
      <c r="G2" s="1359">
        <f>ROUND(F2/E2,2)</f>
        <v>5</v>
      </c>
      <c r="H2" s="1359" t="s">
        <v>3598</v>
      </c>
      <c r="I2" s="1359" t="s">
        <v>3599</v>
      </c>
      <c r="J2" s="1359" t="s">
        <v>3600</v>
      </c>
      <c r="K2" s="3240">
        <v>44735.000497685185</v>
      </c>
      <c r="L2" s="3240">
        <v>44735.000497685185</v>
      </c>
      <c r="M2" s="1359" t="s">
        <v>3601</v>
      </c>
      <c r="N2" s="1359" t="s">
        <v>3602</v>
      </c>
      <c r="O2" s="1359">
        <v>91400</v>
      </c>
      <c r="P2" s="1359">
        <v>18300</v>
      </c>
      <c r="Q2" s="1359" t="s">
        <v>3603</v>
      </c>
      <c r="R2" s="1359">
        <v>91400</v>
      </c>
      <c r="S2" s="1359">
        <v>10561</v>
      </c>
      <c r="T2" s="1359">
        <v>0</v>
      </c>
    </row>
    <row r="3" spans="1:23">
      <c r="A3" s="1359" t="s">
        <v>3604</v>
      </c>
      <c r="B3" s="1359" t="s">
        <v>3176</v>
      </c>
      <c r="C3" s="1359" t="s">
        <v>3605</v>
      </c>
      <c r="D3" s="1359" t="s">
        <v>3597</v>
      </c>
      <c r="E3" s="1359">
        <v>59169.74</v>
      </c>
      <c r="F3" s="1359">
        <v>130173.43</v>
      </c>
      <c r="G3" s="1359">
        <f t="shared" ref="G3:G10" si="0">ROUND(F3/E3,2)</f>
        <v>2.2000000000000002</v>
      </c>
      <c r="H3" s="1359" t="s">
        <v>3598</v>
      </c>
      <c r="I3" s="1359" t="s">
        <v>3599</v>
      </c>
      <c r="J3" s="1359" t="s">
        <v>3600</v>
      </c>
      <c r="K3" s="3240">
        <v>44680.000497685185</v>
      </c>
      <c r="L3" s="3240">
        <v>44680.000497685185</v>
      </c>
      <c r="M3" s="1359" t="s">
        <v>3601</v>
      </c>
      <c r="N3" s="1359" t="s">
        <v>3606</v>
      </c>
      <c r="O3" s="1359">
        <v>131600</v>
      </c>
      <c r="P3" s="1359">
        <v>27000</v>
      </c>
      <c r="Q3" s="1359" t="s">
        <v>3607</v>
      </c>
      <c r="R3" s="1359">
        <v>131600</v>
      </c>
      <c r="S3" s="1359">
        <v>10110</v>
      </c>
      <c r="T3" s="1359">
        <v>0</v>
      </c>
    </row>
    <row r="4" spans="1:23">
      <c r="A4" s="1359" t="s">
        <v>3608</v>
      </c>
      <c r="B4" s="1359" t="s">
        <v>3176</v>
      </c>
      <c r="C4" s="1359" t="s">
        <v>3609</v>
      </c>
      <c r="D4" s="1359" t="s">
        <v>3597</v>
      </c>
      <c r="E4" s="1359">
        <v>12066.9</v>
      </c>
      <c r="F4" s="1359">
        <v>18100.349999999999</v>
      </c>
      <c r="G4" s="1359">
        <f t="shared" si="0"/>
        <v>1.5</v>
      </c>
      <c r="H4" s="1359" t="s">
        <v>3598</v>
      </c>
      <c r="I4" s="1359" t="s">
        <v>3610</v>
      </c>
      <c r="J4" s="1359" t="s">
        <v>3600</v>
      </c>
      <c r="K4" s="3240">
        <v>44621.000497685185</v>
      </c>
      <c r="L4" s="3240">
        <v>44621.000497685185</v>
      </c>
      <c r="M4" s="1359" t="s">
        <v>3601</v>
      </c>
      <c r="N4" s="1359" t="s">
        <v>3606</v>
      </c>
      <c r="O4" s="1359">
        <v>9400</v>
      </c>
      <c r="P4" s="1359">
        <v>1900</v>
      </c>
      <c r="Q4" s="1359" t="s">
        <v>1058</v>
      </c>
      <c r="R4" s="1359">
        <v>9400</v>
      </c>
      <c r="S4" s="1359">
        <v>5193</v>
      </c>
      <c r="T4" s="1359">
        <v>0</v>
      </c>
    </row>
    <row r="5" spans="1:23" s="3241" customFormat="1">
      <c r="A5" s="3241" t="s">
        <v>3611</v>
      </c>
      <c r="B5" s="3241" t="s">
        <v>3176</v>
      </c>
      <c r="C5" s="3241" t="s">
        <v>3612</v>
      </c>
      <c r="D5" s="3241" t="s">
        <v>3597</v>
      </c>
      <c r="E5" s="3241">
        <v>15178.6</v>
      </c>
      <c r="F5" s="3241">
        <v>45535.8</v>
      </c>
      <c r="G5" s="3241">
        <f t="shared" si="0"/>
        <v>3</v>
      </c>
      <c r="H5" s="3241" t="s">
        <v>3598</v>
      </c>
      <c r="I5" s="3241" t="s">
        <v>3599</v>
      </c>
      <c r="J5" s="3241" t="s">
        <v>3600</v>
      </c>
      <c r="K5" s="3242">
        <v>44600.000497685185</v>
      </c>
      <c r="L5" s="3242">
        <v>44600.000497685185</v>
      </c>
      <c r="M5" s="3241" t="s">
        <v>3601</v>
      </c>
      <c r="N5" s="3241" t="s">
        <v>3613</v>
      </c>
      <c r="O5" s="3241">
        <v>58400</v>
      </c>
      <c r="P5" s="3241">
        <v>11700</v>
      </c>
      <c r="Q5" s="3241" t="s">
        <v>1058</v>
      </c>
      <c r="R5" s="3241">
        <v>58400</v>
      </c>
      <c r="S5" s="3241">
        <v>12825</v>
      </c>
      <c r="T5" s="3241">
        <v>0</v>
      </c>
      <c r="U5" s="3243" t="s">
        <v>3614</v>
      </c>
      <c r="V5" s="3243" t="s">
        <v>3615</v>
      </c>
      <c r="W5" s="3243" t="s">
        <v>3616</v>
      </c>
    </row>
    <row r="6" spans="1:23" s="3241" customFormat="1">
      <c r="A6" s="3241" t="s">
        <v>3617</v>
      </c>
      <c r="B6" s="3241" t="s">
        <v>3176</v>
      </c>
      <c r="C6" s="3241" t="s">
        <v>3618</v>
      </c>
      <c r="D6" s="3241" t="s">
        <v>3597</v>
      </c>
      <c r="E6" s="3241">
        <v>15197.52</v>
      </c>
      <c r="F6" s="3241">
        <v>30395.05</v>
      </c>
      <c r="G6" s="3241">
        <f t="shared" si="0"/>
        <v>2</v>
      </c>
      <c r="H6" s="3241" t="s">
        <v>3598</v>
      </c>
      <c r="I6" s="3241" t="s">
        <v>3619</v>
      </c>
      <c r="J6" s="3241" t="s">
        <v>3620</v>
      </c>
      <c r="K6" s="3242">
        <v>44554.000497685185</v>
      </c>
      <c r="L6" s="3242">
        <v>44554.000497685185</v>
      </c>
      <c r="M6" s="3241" t="s">
        <v>3601</v>
      </c>
      <c r="N6" s="3241" t="s">
        <v>3621</v>
      </c>
      <c r="O6" s="3241">
        <v>42600</v>
      </c>
      <c r="P6" s="3241">
        <v>8600</v>
      </c>
      <c r="Q6" s="3241" t="s">
        <v>3622</v>
      </c>
      <c r="R6" s="3241">
        <v>42600</v>
      </c>
      <c r="S6" s="3241">
        <v>14015</v>
      </c>
      <c r="T6" s="3241">
        <v>0</v>
      </c>
      <c r="U6" s="3243" t="s">
        <v>3623</v>
      </c>
      <c r="V6" s="3243" t="s">
        <v>3624</v>
      </c>
      <c r="W6" s="3243" t="s">
        <v>3616</v>
      </c>
    </row>
    <row r="7" spans="1:23">
      <c r="A7" s="1359" t="s">
        <v>3625</v>
      </c>
      <c r="B7" s="1359" t="s">
        <v>3176</v>
      </c>
      <c r="C7" s="1359" t="s">
        <v>3626</v>
      </c>
      <c r="D7" s="1359" t="s">
        <v>3597</v>
      </c>
      <c r="E7" s="1359">
        <v>25224.15</v>
      </c>
      <c r="F7" s="1359">
        <v>75672.45</v>
      </c>
      <c r="G7" s="1359">
        <f t="shared" si="0"/>
        <v>3</v>
      </c>
      <c r="H7" s="1359" t="s">
        <v>3598</v>
      </c>
      <c r="I7" s="1359" t="s">
        <v>3599</v>
      </c>
      <c r="J7" s="1359" t="s">
        <v>3600</v>
      </c>
      <c r="K7" s="3240">
        <v>44193.000497685185</v>
      </c>
      <c r="L7" s="3240">
        <v>44193.000497685185</v>
      </c>
      <c r="M7" s="1359" t="s">
        <v>3601</v>
      </c>
      <c r="N7" s="1359" t="s">
        <v>3627</v>
      </c>
      <c r="O7" s="1359">
        <v>60800</v>
      </c>
      <c r="P7" s="1359">
        <v>12200</v>
      </c>
      <c r="Q7" s="1359" t="s">
        <v>3628</v>
      </c>
      <c r="R7" s="1359">
        <v>60800</v>
      </c>
      <c r="S7" s="1359">
        <v>8035</v>
      </c>
      <c r="T7" s="1359">
        <v>0</v>
      </c>
    </row>
    <row r="8" spans="1:23">
      <c r="A8" s="1359" t="s">
        <v>3629</v>
      </c>
      <c r="B8" s="1359" t="s">
        <v>3176</v>
      </c>
      <c r="C8" s="1359" t="s">
        <v>3630</v>
      </c>
      <c r="D8" s="1359" t="s">
        <v>3597</v>
      </c>
      <c r="E8" s="1359">
        <v>265269.8</v>
      </c>
      <c r="F8" s="1359">
        <v>665975.69999999995</v>
      </c>
      <c r="G8" s="1359">
        <f t="shared" si="0"/>
        <v>2.5099999999999998</v>
      </c>
      <c r="H8" s="1359" t="s">
        <v>3598</v>
      </c>
      <c r="I8" s="1359" t="s">
        <v>3599</v>
      </c>
      <c r="J8" s="1359" t="s">
        <v>3600</v>
      </c>
      <c r="K8" s="3240">
        <v>44046.000497685185</v>
      </c>
      <c r="L8" s="3240">
        <v>44046.000497685185</v>
      </c>
      <c r="M8" s="1359" t="s">
        <v>3601</v>
      </c>
      <c r="N8" s="1359" t="s">
        <v>3631</v>
      </c>
      <c r="O8" s="1359">
        <v>699300</v>
      </c>
      <c r="P8" s="1359">
        <v>139900</v>
      </c>
      <c r="Q8" s="1359" t="s">
        <v>3632</v>
      </c>
      <c r="R8" s="1359">
        <v>699300</v>
      </c>
      <c r="S8" s="1359">
        <v>10500</v>
      </c>
      <c r="T8" s="1359">
        <v>0</v>
      </c>
    </row>
    <row r="9" spans="1:23" s="3241" customFormat="1">
      <c r="A9" s="3241" t="s">
        <v>3633</v>
      </c>
      <c r="B9" s="3241" t="s">
        <v>3176</v>
      </c>
      <c r="C9" s="3241" t="s">
        <v>3634</v>
      </c>
      <c r="D9" s="3241" t="s">
        <v>3597</v>
      </c>
      <c r="E9" s="3241">
        <v>42276.47</v>
      </c>
      <c r="F9" s="3241">
        <v>84552.93</v>
      </c>
      <c r="G9" s="3241">
        <f t="shared" si="0"/>
        <v>2</v>
      </c>
      <c r="H9" s="3241" t="s">
        <v>3598</v>
      </c>
      <c r="I9" s="3241" t="s">
        <v>3610</v>
      </c>
      <c r="J9" s="3241" t="s">
        <v>3600</v>
      </c>
      <c r="K9" s="3242">
        <v>43706.000497685185</v>
      </c>
      <c r="L9" s="3242">
        <v>43706.000497685185</v>
      </c>
      <c r="M9" s="3241" t="s">
        <v>3601</v>
      </c>
      <c r="N9" s="3241" t="s">
        <v>3635</v>
      </c>
      <c r="O9" s="3241">
        <v>95000</v>
      </c>
      <c r="P9" s="3241">
        <v>19000</v>
      </c>
      <c r="Q9" s="3241" t="s">
        <v>3636</v>
      </c>
      <c r="R9" s="3241">
        <v>96500</v>
      </c>
      <c r="S9" s="3241">
        <v>11413</v>
      </c>
      <c r="T9" s="3241">
        <v>1.58</v>
      </c>
      <c r="U9" s="3243" t="s">
        <v>3637</v>
      </c>
      <c r="V9" s="3243" t="s">
        <v>3638</v>
      </c>
      <c r="W9" s="3243" t="s">
        <v>3639</v>
      </c>
    </row>
    <row r="10" spans="1:23">
      <c r="A10" s="1359" t="s">
        <v>3640</v>
      </c>
      <c r="B10" s="1359" t="s">
        <v>3176</v>
      </c>
      <c r="C10" s="1359" t="s">
        <v>3641</v>
      </c>
      <c r="D10" s="1359" t="s">
        <v>3597</v>
      </c>
      <c r="E10" s="1359">
        <v>51736.9</v>
      </c>
      <c r="F10" s="1359">
        <v>81600.05</v>
      </c>
      <c r="G10" s="1359">
        <f t="shared" si="0"/>
        <v>1.58</v>
      </c>
      <c r="H10" s="1359" t="s">
        <v>3598</v>
      </c>
      <c r="I10" s="1359" t="s">
        <v>3599</v>
      </c>
      <c r="J10" s="1359" t="s">
        <v>3600</v>
      </c>
      <c r="K10" s="3240">
        <v>43613.000497685185</v>
      </c>
      <c r="L10" s="3240">
        <v>43613.000497685185</v>
      </c>
      <c r="M10" s="1359" t="s">
        <v>3601</v>
      </c>
      <c r="N10" s="1359" t="s">
        <v>3642</v>
      </c>
      <c r="O10" s="1359">
        <v>150000</v>
      </c>
      <c r="P10" s="1359">
        <v>30000</v>
      </c>
      <c r="Q10" s="1359" t="s">
        <v>1058</v>
      </c>
      <c r="R10" s="1359">
        <v>150000</v>
      </c>
      <c r="S10" s="1359">
        <v>18382</v>
      </c>
      <c r="T10" s="1359">
        <v>0</v>
      </c>
    </row>
  </sheetData>
  <phoneticPr fontId="141"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5"/>
  <sheetViews>
    <sheetView workbookViewId="0">
      <selection activeCell="G11" sqref="G11"/>
    </sheetView>
  </sheetViews>
  <sheetFormatPr defaultRowHeight="13.5"/>
  <sheetData>
    <row r="3" spans="2:5">
      <c r="B3" s="3244"/>
      <c r="C3" s="3244" t="s">
        <v>3643</v>
      </c>
      <c r="D3" s="3244" t="s">
        <v>3644</v>
      </c>
      <c r="E3" s="3244" t="s">
        <v>3645</v>
      </c>
    </row>
    <row r="4" spans="2:5">
      <c r="B4" s="3244" t="s">
        <v>3646</v>
      </c>
      <c r="C4" s="3244">
        <f ca="1">结果表!C19</f>
        <v>268485</v>
      </c>
      <c r="D4" s="3244">
        <f ca="1">结果表!D19</f>
        <v>276353</v>
      </c>
      <c r="E4" s="3244">
        <f ca="1">结果表!G19</f>
        <v>272419</v>
      </c>
    </row>
    <row r="5" spans="2:5">
      <c r="B5" s="3244" t="s">
        <v>3647</v>
      </c>
      <c r="C5" s="3244">
        <f>[2]结果表!$C$19</f>
        <v>357444</v>
      </c>
      <c r="D5" s="3244">
        <f>[2]结果表!$D$19</f>
        <v>182398</v>
      </c>
      <c r="E5" s="3244">
        <f>[2]结果表!$G$19</f>
        <v>252416</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84" t="str">
        <f>IF(项目基本情况!B9="房地产市场价值","估价结果一览表","结果表-2")</f>
        <v>结果表-2</v>
      </c>
      <c r="B1" s="3284"/>
      <c r="C1" s="3284"/>
      <c r="D1" s="3284"/>
      <c r="E1" s="3284"/>
      <c r="F1" s="3284"/>
      <c r="G1" s="3284"/>
      <c r="H1" s="3284"/>
      <c r="I1" s="3284"/>
    </row>
    <row r="2" spans="1:9" ht="30" customHeight="1" thickTop="1">
      <c r="A2" s="3285" t="s">
        <v>1365</v>
      </c>
      <c r="B2" s="3285" t="s">
        <v>1366</v>
      </c>
      <c r="C2" s="3285" t="s">
        <v>1367</v>
      </c>
      <c r="D2" s="3285" t="str">
        <f>结果表!D116</f>
        <v>出让国有建设用地使用权价值</v>
      </c>
      <c r="E2" s="3285"/>
      <c r="F2" s="3285" t="str">
        <f>结果表!F116</f>
        <v>在建建筑物价值</v>
      </c>
      <c r="G2" s="3285"/>
      <c r="H2" s="3285" t="str">
        <f>IF(项目基本情况!B9="房地产市场价值","房地产市场价值","房地产价值")</f>
        <v>房地产价值</v>
      </c>
      <c r="I2" s="3285"/>
    </row>
    <row r="3" spans="1:9" ht="15">
      <c r="A3" s="3279"/>
      <c r="B3" s="3279"/>
      <c r="C3" s="3279"/>
      <c r="D3" s="944" t="s">
        <v>1362</v>
      </c>
      <c r="E3" s="944" t="s">
        <v>1368</v>
      </c>
      <c r="F3" s="944" t="s">
        <v>1362</v>
      </c>
      <c r="G3" s="944" t="s">
        <v>1363</v>
      </c>
      <c r="H3" s="944" t="s">
        <v>1362</v>
      </c>
      <c r="I3" s="944" t="s">
        <v>1363</v>
      </c>
    </row>
    <row r="4" spans="1:9" ht="15">
      <c r="A4" s="1640" t="str">
        <f>项目基本情况!S2</f>
        <v>北京市房地产</v>
      </c>
      <c r="B4" s="944">
        <f>项目基本情况!C17</f>
        <v>119963.53</v>
      </c>
      <c r="C4" s="944">
        <f>项目基本情况!C18</f>
        <v>24498.84</v>
      </c>
      <c r="D4" s="944">
        <f ca="1">结果表!D118</f>
        <v>175165</v>
      </c>
      <c r="E4" s="944">
        <f ca="1">结果表!E118</f>
        <v>14601</v>
      </c>
      <c r="F4" s="944">
        <f ca="1">结果表!F118</f>
        <v>97254</v>
      </c>
      <c r="G4" s="944">
        <f ca="1">结果表!G118</f>
        <v>8107</v>
      </c>
      <c r="H4" s="944">
        <f ca="1">结果表!H118</f>
        <v>272419</v>
      </c>
      <c r="I4" s="944">
        <f ca="1">结果表!I118</f>
        <v>22708</v>
      </c>
    </row>
    <row r="5" spans="1:9" ht="30" customHeight="1">
      <c r="A5" s="3279" t="s">
        <v>1364</v>
      </c>
      <c r="B5" s="3279"/>
      <c r="C5" s="3279"/>
      <c r="D5" s="3280" t="str">
        <f ca="1">结果表!D119</f>
        <v>壹拾柒亿伍仟壹佰陆拾伍万元整</v>
      </c>
      <c r="E5" s="3280"/>
      <c r="F5" s="3280" t="str">
        <f ca="1">结果表!F119</f>
        <v>玖亿柒仟贰佰伍拾肆万元整</v>
      </c>
      <c r="G5" s="3280"/>
      <c r="H5" s="3280" t="str">
        <f ca="1">结果表!H119</f>
        <v>贰拾柒亿贰仟肆佰壹拾玖万元整</v>
      </c>
      <c r="I5" s="3280"/>
    </row>
    <row r="6" spans="1:9" ht="15.75">
      <c r="A6" s="3278" t="str">
        <f>结果表!A120</f>
        <v>估价师知悉的法定优先受偿款</v>
      </c>
      <c r="B6" s="3278"/>
      <c r="C6" s="3278"/>
      <c r="D6" s="3278">
        <f>结果表!D120</f>
        <v>0</v>
      </c>
      <c r="E6" s="3278"/>
      <c r="F6" s="3278"/>
      <c r="G6" s="3278"/>
      <c r="H6" s="3278"/>
      <c r="I6" s="3278"/>
    </row>
    <row r="7" spans="1:9" ht="15">
      <c r="A7" s="3279" t="s">
        <v>1364</v>
      </c>
      <c r="B7" s="3279"/>
      <c r="C7" s="3279"/>
      <c r="D7" s="3281" t="str">
        <f>结果表!D121</f>
        <v>零元整</v>
      </c>
      <c r="E7" s="3282"/>
      <c r="F7" s="3282"/>
      <c r="G7" s="3282"/>
      <c r="H7" s="3282"/>
      <c r="I7" s="3283"/>
    </row>
    <row r="8" spans="1:9" ht="15.75">
      <c r="A8" s="3278" t="str">
        <f>结果表!A122</f>
        <v>房地产抵押价值</v>
      </c>
      <c r="B8" s="3278"/>
      <c r="C8" s="3278"/>
      <c r="D8" s="3278">
        <f ca="1">结果表!D122</f>
        <v>272419</v>
      </c>
      <c r="E8" s="3278"/>
      <c r="F8" s="3278"/>
      <c r="G8" s="3278"/>
      <c r="H8" s="3278"/>
      <c r="I8" s="3278"/>
    </row>
    <row r="9" spans="1:9" ht="15">
      <c r="A9" s="3279" t="s">
        <v>1364</v>
      </c>
      <c r="B9" s="3279"/>
      <c r="C9" s="3279"/>
      <c r="D9" s="3280" t="str">
        <f ca="1">结果表!D123</f>
        <v>贰拾柒亿贰仟肆佰壹拾玖万元整</v>
      </c>
      <c r="E9" s="3280"/>
      <c r="F9" s="3280"/>
      <c r="G9" s="3280"/>
      <c r="H9" s="3280"/>
      <c r="I9" s="3280"/>
    </row>
    <row r="10" spans="1:9" ht="15.75">
      <c r="A10" s="3278" t="str">
        <f>结果表!A124</f>
        <v/>
      </c>
      <c r="B10" s="3278"/>
      <c r="C10" s="3278"/>
      <c r="D10" s="3278" t="str">
        <f>结果表!D124</f>
        <v>——</v>
      </c>
      <c r="E10" s="3278"/>
      <c r="F10" s="3278"/>
      <c r="G10" s="3278"/>
      <c r="H10" s="3278"/>
      <c r="I10" s="3278"/>
    </row>
    <row r="11" spans="1:9" ht="15">
      <c r="A11" s="3279" t="s">
        <v>1364</v>
      </c>
      <c r="B11" s="3279"/>
      <c r="C11" s="3279"/>
      <c r="D11" s="3280" t="e">
        <f>结果表!D125</f>
        <v>#VALUE!</v>
      </c>
      <c r="E11" s="3280"/>
      <c r="F11" s="3280"/>
      <c r="G11" s="3280"/>
      <c r="H11" s="3280"/>
      <c r="I11" s="3280"/>
    </row>
    <row r="12" spans="1:9" ht="15.75">
      <c r="A12" s="3278" t="str">
        <f>结果表!A126</f>
        <v/>
      </c>
      <c r="B12" s="3278"/>
      <c r="C12" s="3278"/>
      <c r="D12" s="3278" t="str">
        <f>结果表!D126</f>
        <v>——</v>
      </c>
      <c r="E12" s="3278"/>
      <c r="F12" s="3278"/>
      <c r="G12" s="3278"/>
      <c r="H12" s="3278"/>
      <c r="I12" s="3278"/>
    </row>
    <row r="13" spans="1:9" ht="15.75" thickBot="1">
      <c r="A13" s="3275" t="s">
        <v>1364</v>
      </c>
      <c r="B13" s="3275"/>
      <c r="C13" s="3275"/>
      <c r="D13" s="3276" t="e">
        <f>结果表!D127</f>
        <v>#VALUE!</v>
      </c>
      <c r="E13" s="3276"/>
      <c r="F13" s="3276"/>
      <c r="G13" s="3276"/>
      <c r="H13" s="3276"/>
      <c r="I13" s="3276"/>
    </row>
    <row r="14" spans="1:9" ht="15" thickTop="1">
      <c r="A14" s="3277" t="s">
        <v>1369</v>
      </c>
      <c r="B14" s="3277"/>
      <c r="C14" s="3277"/>
      <c r="D14" s="3277"/>
      <c r="E14" s="3277"/>
      <c r="F14" s="3277"/>
      <c r="G14" s="3277"/>
      <c r="H14" s="3277"/>
      <c r="I14" s="3277"/>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92" t="s">
        <v>1386</v>
      </c>
      <c r="B1" s="3292"/>
      <c r="C1" s="3292"/>
      <c r="D1" s="3292"/>
    </row>
    <row r="2" spans="1:4" ht="18">
      <c r="A2" s="3293" t="s">
        <v>1370</v>
      </c>
      <c r="B2" s="3293"/>
      <c r="C2" s="3293"/>
      <c r="D2" s="3293"/>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93" t="s">
        <v>1376</v>
      </c>
      <c r="B6" s="3293"/>
      <c r="C6" s="3293"/>
      <c r="D6" s="3293"/>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94" t="s">
        <v>1379</v>
      </c>
      <c r="B11" s="3286"/>
      <c r="C11" s="3286"/>
      <c r="D11" s="3286"/>
    </row>
    <row r="12" spans="1:4" ht="15.75">
      <c r="A12" s="32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1"/>
      <c r="C12" s="3291"/>
      <c r="D12" s="3291"/>
    </row>
    <row r="13" spans="1:4" ht="30" customHeight="1">
      <c r="A13" s="32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1"/>
      <c r="C13" s="3291"/>
      <c r="D13" s="3291"/>
    </row>
    <row r="14" spans="1:4" ht="15.75" customHeight="1">
      <c r="A14" s="3286" t="str">
        <f>IF(项目基本情况!B8="抵押","4.本次评估估价师所知悉的法定优先受偿款情况说明如下：","——")</f>
        <v>4.本次评估估价师所知悉的法定优先受偿款情况说明如下：</v>
      </c>
      <c r="B14" s="3291"/>
      <c r="C14" s="3291"/>
      <c r="D14" s="3291"/>
    </row>
    <row r="15" spans="1:4" ht="42" customHeight="1">
      <c r="A15" s="32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6"/>
      <c r="C15" s="3286"/>
      <c r="D15" s="3286"/>
    </row>
    <row r="16" spans="1:4" ht="30" customHeight="1">
      <c r="A16" s="3288" t="s">
        <v>1380</v>
      </c>
      <c r="B16" s="3288"/>
      <c r="C16" s="3288"/>
      <c r="D16" s="3288"/>
    </row>
    <row r="17" spans="1:4" ht="144" customHeight="1">
      <c r="A17" s="3288" t="s">
        <v>1381</v>
      </c>
      <c r="B17" s="3288"/>
      <c r="C17" s="3288"/>
      <c r="D17" s="3288"/>
    </row>
    <row r="18" spans="1:4" ht="15.75" customHeight="1">
      <c r="A18" s="3286" t="str">
        <f>IF(项目基本情况!B8="抵押",结果表!K120,"——")</f>
        <v>故，本次评估不存在估价师知悉的法定优先受偿款</v>
      </c>
      <c r="B18" s="3286"/>
      <c r="C18" s="3286"/>
      <c r="D18" s="3286"/>
    </row>
    <row r="19" spans="1:4" ht="46.5" customHeight="1">
      <c r="A19" s="32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6"/>
      <c r="C19" s="3286"/>
      <c r="D19" s="3286"/>
    </row>
    <row r="20" spans="1:4" ht="57.75" customHeight="1">
      <c r="A20" s="32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6"/>
      <c r="C20" s="3286"/>
      <c r="D20" s="3286"/>
    </row>
    <row r="21" spans="1:4" ht="57.75" customHeight="1">
      <c r="A21" s="32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9"/>
      <c r="C21" s="3289"/>
      <c r="D21" s="3289"/>
    </row>
    <row r="22" spans="1:4" ht="18.75" customHeight="1">
      <c r="A22" s="3290" t="s">
        <v>1382</v>
      </c>
      <c r="B22" s="3290"/>
      <c r="C22" s="3290"/>
      <c r="D22" s="3290"/>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87">
        <v>42551</v>
      </c>
      <c r="D31" s="32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00" t="s">
        <v>1393</v>
      </c>
      <c r="B15" s="3295" t="s">
        <v>136</v>
      </c>
      <c r="C15" s="3296"/>
    </row>
    <row r="16" spans="1:7" ht="13.5">
      <c r="A16" s="3301"/>
      <c r="B16" s="3295" t="s">
        <v>69</v>
      </c>
      <c r="C16" s="3296"/>
    </row>
    <row r="17" spans="1:3" ht="13.5">
      <c r="A17" s="3301"/>
      <c r="B17" s="3298" t="s">
        <v>1394</v>
      </c>
      <c r="C17" s="1667" t="s">
        <v>1393</v>
      </c>
    </row>
    <row r="18" spans="1:3" ht="13.5">
      <c r="A18" s="3301"/>
      <c r="B18" s="3298"/>
      <c r="C18" s="1667" t="s">
        <v>1395</v>
      </c>
    </row>
    <row r="19" spans="1:3" ht="13.5">
      <c r="A19" s="3301"/>
      <c r="B19" s="3298"/>
      <c r="C19" s="1667" t="s">
        <v>1396</v>
      </c>
    </row>
    <row r="20" spans="1:3" ht="13.5">
      <c r="A20" s="3302"/>
      <c r="B20" s="3297" t="s">
        <v>1397</v>
      </c>
      <c r="C20" s="3296"/>
    </row>
    <row r="21" spans="1:3" ht="13.5">
      <c r="A21" s="1668" t="s">
        <v>1398</v>
      </c>
      <c r="B21" s="1669"/>
      <c r="C21" s="1670"/>
    </row>
    <row r="22" spans="1:3" ht="13.5">
      <c r="A22" s="3299" t="s">
        <v>1399</v>
      </c>
      <c r="B22" s="3297" t="s">
        <v>1400</v>
      </c>
      <c r="C22" s="3296"/>
    </row>
    <row r="23" spans="1:3" ht="13.5">
      <c r="A23" s="3299"/>
      <c r="B23" s="3297" t="s">
        <v>1401</v>
      </c>
      <c r="C23" s="3296"/>
    </row>
    <row r="24" spans="1:3" ht="13.5">
      <c r="A24" s="3299"/>
      <c r="B24" s="3297" t="s">
        <v>1402</v>
      </c>
      <c r="C24" s="3296"/>
    </row>
    <row r="25" spans="1:3" ht="13.5">
      <c r="A25" s="3299"/>
      <c r="B25" s="3298" t="s">
        <v>1403</v>
      </c>
      <c r="C25" s="1667" t="s">
        <v>1404</v>
      </c>
    </row>
    <row r="26" spans="1:3" ht="13.5">
      <c r="A26" s="3299"/>
      <c r="B26" s="3298"/>
      <c r="C26" s="1667" t="s">
        <v>1405</v>
      </c>
    </row>
    <row r="27" spans="1:3" ht="13.5">
      <c r="A27" s="3299"/>
      <c r="B27" s="3298"/>
      <c r="C27" s="1667" t="s">
        <v>1406</v>
      </c>
    </row>
    <row r="28" spans="1:3" ht="13.5">
      <c r="A28" s="3299"/>
      <c r="B28" s="3298"/>
      <c r="C28" s="1667" t="s">
        <v>1407</v>
      </c>
    </row>
    <row r="29" spans="1:3" ht="13.5">
      <c r="A29" s="3299"/>
      <c r="B29" s="3298"/>
      <c r="C29" s="1667" t="s">
        <v>1408</v>
      </c>
    </row>
    <row r="30" spans="1:3" ht="13.5">
      <c r="A30" s="3299"/>
      <c r="B30" s="3298"/>
      <c r="C30" s="1667" t="s">
        <v>1409</v>
      </c>
    </row>
    <row r="31" spans="1:3" ht="13.5">
      <c r="A31" s="3299"/>
      <c r="B31" s="3298"/>
      <c r="C31" s="1667" t="s">
        <v>1410</v>
      </c>
    </row>
    <row r="32" spans="1:3" ht="13.5">
      <c r="A32" s="3299"/>
      <c r="B32" s="3298"/>
      <c r="C32" s="1667" t="s">
        <v>1411</v>
      </c>
    </row>
    <row r="33" spans="1:3" ht="13.5">
      <c r="A33" s="3299"/>
      <c r="B33" s="3298"/>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2639</v>
      </c>
      <c r="B2" s="2512">
        <f ca="1">TODAY()</f>
        <v>44827</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f ca="1">IF(C4&lt;B2,"已过期",1119970066)</f>
        <v>1119970066</v>
      </c>
      <c r="C4" s="2518">
        <v>44876</v>
      </c>
      <c r="D4" s="2519" t="str">
        <f ca="1">A4&amp;"（注册号："&amp;B4&amp;"）"</f>
        <v>梁津（注册号：1119970066）</v>
      </c>
      <c r="E4" s="2520" t="s">
        <v>2648</v>
      </c>
      <c r="F4" s="1424">
        <f ca="1">IF(G4&lt;B2,"已过期",96010014)</f>
        <v>96010014</v>
      </c>
      <c r="G4" s="2521">
        <v>47118</v>
      </c>
      <c r="H4" s="2522" t="str">
        <f ca="1">E4&amp;"（注册号："&amp;F4&amp;"）"</f>
        <v>梁津（注册号：96010014）</v>
      </c>
    </row>
    <row r="5" spans="1:8" ht="24" customHeight="1">
      <c r="A5" s="1424" t="s">
        <v>2649</v>
      </c>
      <c r="B5" s="1424">
        <f ca="1">IF(C5&lt;B2,"已过期",1119970111)</f>
        <v>1119970111</v>
      </c>
      <c r="C5" s="2518">
        <v>44876</v>
      </c>
      <c r="D5" s="2519" t="str">
        <f t="shared" ref="D5:D15" ca="1" si="0">A5&amp;"（注册号："&amp;B5&amp;"）"</f>
        <v>叶凌（注册号：1119970111）</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f ca="1">IF(C7&lt;B2,"已过期",1120000080)</f>
        <v>1120000080</v>
      </c>
      <c r="C7" s="2518">
        <v>44876</v>
      </c>
      <c r="D7" s="2519" t="str">
        <f t="shared" ca="1" si="0"/>
        <v>欧红伟（注册号：1120000080）</v>
      </c>
      <c r="E7" s="2520" t="s">
        <v>2651</v>
      </c>
      <c r="F7" s="1424">
        <f ca="1">IF(G7&lt;B2,"已过期",2000110082)</f>
        <v>2000110082</v>
      </c>
      <c r="G7" s="2521">
        <v>46387</v>
      </c>
      <c r="H7" s="2522" t="str">
        <f t="shared" ca="1" si="1"/>
        <v>欧红伟（注册号：2000110082）</v>
      </c>
    </row>
    <row r="8" spans="1:8" ht="24" customHeight="1">
      <c r="A8" s="1424" t="s">
        <v>2652</v>
      </c>
      <c r="B8" s="1424">
        <f ca="1">IF(C8&lt;B2,"已过期",1419970001)</f>
        <v>1419970001</v>
      </c>
      <c r="C8" s="2518">
        <v>44899</v>
      </c>
      <c r="D8" s="2519" t="str">
        <f t="shared" ca="1" si="0"/>
        <v>吴薇（注册号：1419970001）</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f ca="1">IF(C11&lt;B2,"已过期",1120070131)</f>
        <v>1120070131</v>
      </c>
      <c r="C11" s="2518">
        <v>44849</v>
      </c>
      <c r="D11" s="2519" t="str">
        <f t="shared" ca="1" si="0"/>
        <v>郑燚（注册号：1120070131）</v>
      </c>
      <c r="E11" s="2520" t="s">
        <v>2655</v>
      </c>
      <c r="F11" s="1424">
        <f ca="1">IF(G11&lt;B2,"已过期",2014110011)</f>
        <v>2014110011</v>
      </c>
      <c r="G11" s="2521">
        <v>49302</v>
      </c>
      <c r="H11" s="2522" t="str">
        <f t="shared" ca="1" si="1"/>
        <v>郑燚（注册号：2014110011）</v>
      </c>
    </row>
    <row r="12" spans="1:8" ht="24" customHeight="1">
      <c r="A12" s="1424" t="s">
        <v>2656</v>
      </c>
      <c r="B12" s="1424">
        <f ca="1">IF(C12&lt;B2,"已过期",1120040230)</f>
        <v>1120040230</v>
      </c>
      <c r="C12" s="2523">
        <v>44864</v>
      </c>
      <c r="D12" s="2519" t="str">
        <f t="shared" ca="1" si="0"/>
        <v>苏海（注册号：1120040230）</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303" t="s">
        <v>2660</v>
      </c>
      <c r="B17" s="3303"/>
      <c r="C17" s="3303"/>
      <c r="D17" s="3303"/>
      <c r="E17" s="3303"/>
      <c r="F17" s="3303"/>
      <c r="G17" s="3303"/>
      <c r="H17" s="3303"/>
    </row>
    <row r="18" spans="1:8" ht="24" customHeight="1">
      <c r="A18" s="3304" t="s">
        <v>2661</v>
      </c>
      <c r="B18" s="3304"/>
      <c r="C18" s="3304"/>
      <c r="D18" s="2516"/>
      <c r="E18" s="3305" t="s">
        <v>2662</v>
      </c>
      <c r="F18" s="3304"/>
      <c r="G18" s="3304"/>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面积详情</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2022-09-23T01:54:31Z</dcterms:modified>
</cp:coreProperties>
</file>